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8.xml" ContentType="application/vnd.openxmlformats-officedocument.spreadsheetml.comments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omments9.xml" ContentType="application/vnd.openxmlformats-officedocument.spreadsheetml.comments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omments10.xml" ContentType="application/vnd.openxmlformats-officedocument.spreadsheetml.comments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omments11.xml" ContentType="application/vnd.openxmlformats-officedocument.spreadsheetml.comments+xml"/>
  <Override PartName="/xl/drawings/drawing17.xml" ContentType="application/vnd.openxmlformats-officedocument.drawing+xml"/>
  <Override PartName="/xl/tables/table17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omments12.xml" ContentType="application/vnd.openxmlformats-officedocument.spreadsheetml.comments+xml"/>
  <Override PartName="/xl/drawings/drawing18.xml" ContentType="application/vnd.openxmlformats-officedocument.drawing+xml"/>
  <Override PartName="/xl/tables/table18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9.xml" ContentType="application/vnd.openxmlformats-officedocument.drawing+xml"/>
  <Override PartName="/xl/tables/table1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20.xml" ContentType="application/vnd.openxmlformats-officedocument.drawing+xml"/>
  <Override PartName="/xl/tables/table20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omments15.xml" ContentType="application/vnd.openxmlformats-officedocument.spreadsheetml.comments+xml"/>
  <Override PartName="/xl/drawings/drawing21.xml" ContentType="application/vnd.openxmlformats-officedocument.drawing+xml"/>
  <Override PartName="/xl/tables/table21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1.xml" ContentType="application/vnd.openxmlformats-officedocument.themeOverride+xml"/>
  <Override PartName="/xl/comments16.xml" ContentType="application/vnd.openxmlformats-officedocument.spreadsheetml.comments+xml"/>
  <Override PartName="/xl/drawings/drawing22.xml" ContentType="application/vnd.openxmlformats-officedocument.drawing+xml"/>
  <Override PartName="/xl/tables/table22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omments17.xml" ContentType="application/vnd.openxmlformats-officedocument.spreadsheetml.comments+xml"/>
  <Override PartName="/xl/drawings/drawing23.xml" ContentType="application/vnd.openxmlformats-officedocument.drawing+xml"/>
  <Override PartName="/xl/tables/table23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stoilplc-my.sharepoint.com/personal/enoto_oton_neconde_com_ng/Documents/"/>
    </mc:Choice>
  </mc:AlternateContent>
  <xr:revisionPtr revIDLastSave="0" documentId="8_{8391AD4B-64B4-4BE9-A7F6-34CA6F217F60}" xr6:coauthVersionLast="47" xr6:coauthVersionMax="47" xr10:uidLastSave="{00000000-0000-0000-0000-000000000000}"/>
  <bookViews>
    <workbookView xWindow="-108" yWindow="-108" windowWidth="23256" windowHeight="13176" firstSheet="43" activeTab="43" xr2:uid="{00000000-000D-0000-FFFF-FFFF00000000}"/>
  </bookViews>
  <sheets>
    <sheet name="April 2020" sheetId="7" r:id="rId1"/>
    <sheet name="May 2020 Conduit Prod Rate" sheetId="12" r:id="rId2"/>
    <sheet name="May 2020" sheetId="8" r:id="rId3"/>
    <sheet name="June 2020 Conduit Prod Rate" sheetId="14" r:id="rId4"/>
    <sheet name="June 2020" sheetId="15" r:id="rId5"/>
    <sheet name="July 2020 Conduit Prod Rate" sheetId="16" r:id="rId6"/>
    <sheet name="July 2020" sheetId="17" r:id="rId7"/>
    <sheet name="August 2020 Conduit Prod Rate" sheetId="19" r:id="rId8"/>
    <sheet name="August 2020" sheetId="18" r:id="rId9"/>
    <sheet name="Sept 2020 Conduit Prod Rate" sheetId="20" r:id="rId10"/>
    <sheet name="Sept 2020" sheetId="21" r:id="rId11"/>
    <sheet name="Oct 2020 Conduit Prod Rate" sheetId="22" r:id="rId12"/>
    <sheet name="Oct 2020" sheetId="23" r:id="rId13"/>
    <sheet name="Nov-2020 Conduit Prod Rate" sheetId="24" r:id="rId14"/>
    <sheet name="Nov 2020" sheetId="25" r:id="rId15"/>
    <sheet name="Jan 2021 Conduits on Target" sheetId="27" r:id="rId16"/>
    <sheet name="Feb 2021 Conduits on Target" sheetId="29" r:id="rId17"/>
    <sheet name="Feb 21" sheetId="28" r:id="rId18"/>
    <sheet name="Mar-2021 Conduit Prod Rate" sheetId="30" r:id="rId19"/>
    <sheet name="Mar 21" sheetId="31" r:id="rId20"/>
    <sheet name="April 2021 Target" sheetId="33" r:id="rId21"/>
    <sheet name="April 21" sheetId="35" r:id="rId22"/>
    <sheet name="May 21" sheetId="37" r:id="rId23"/>
    <sheet name="June 2021 Target" sheetId="38" r:id="rId24"/>
    <sheet name="June 21" sheetId="39" r:id="rId25"/>
    <sheet name="July 2021 Target" sheetId="41" r:id="rId26"/>
    <sheet name="July 21" sheetId="42" r:id="rId27"/>
    <sheet name="August 2021 Target" sheetId="44" r:id="rId28"/>
    <sheet name="August 21" sheetId="43" r:id="rId29"/>
    <sheet name="Sept 2021 Target" sheetId="50" r:id="rId30"/>
    <sheet name="Sept 21" sheetId="46" r:id="rId31"/>
    <sheet name="Oct 2021 Target" sheetId="51" r:id="rId32"/>
    <sheet name="Oct 21" sheetId="49" r:id="rId33"/>
    <sheet name="Nov 2021 Target" sheetId="54" r:id="rId34"/>
    <sheet name="Nov 21" sheetId="53" r:id="rId35"/>
    <sheet name="Dec 21" sheetId="58" r:id="rId36"/>
    <sheet name="Dec 2021 Target" sheetId="57" r:id="rId37"/>
    <sheet name="Jan-2022 Target" sheetId="60" r:id="rId38"/>
    <sheet name="Jan-22" sheetId="59" r:id="rId39"/>
    <sheet name="Feb-2022 Target " sheetId="61" r:id="rId40"/>
    <sheet name="Feb-22 " sheetId="62" r:id="rId41"/>
    <sheet name="Mar-2022 Target" sheetId="65" r:id="rId42"/>
    <sheet name="Mar-22  " sheetId="64" r:id="rId43"/>
    <sheet name="Apr-2022 Target " sheetId="67" r:id="rId44"/>
    <sheet name="Apr-22  " sheetId="66" r:id="rId45"/>
    <sheet name="Deferment chart" sheetId="45" r:id="rId46"/>
    <sheet name="1H 2022 MER Tracker" sheetId="56" r:id="rId47"/>
    <sheet name="All conduits with Prod Status" sheetId="13" r:id="rId4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32" i="66" l="1"/>
  <c r="AA32" i="66"/>
  <c r="AB32" i="66"/>
  <c r="AC32" i="66"/>
  <c r="AD32" i="66"/>
  <c r="AE32" i="66"/>
  <c r="AF32" i="66"/>
  <c r="AG32" i="66"/>
  <c r="O32" i="66"/>
  <c r="P32" i="66"/>
  <c r="Q32" i="66"/>
  <c r="N32" i="66"/>
  <c r="L32" i="66"/>
  <c r="Z31" i="66"/>
  <c r="AA31" i="66"/>
  <c r="AB31" i="66"/>
  <c r="AC31" i="66"/>
  <c r="AD31" i="66"/>
  <c r="AE31" i="66"/>
  <c r="AF31" i="66"/>
  <c r="AG31" i="66"/>
  <c r="N31" i="66"/>
  <c r="O31" i="66"/>
  <c r="P31" i="66"/>
  <c r="Q31" i="66"/>
  <c r="L31" i="66"/>
  <c r="AO15" i="66"/>
  <c r="Z30" i="66"/>
  <c r="AA30" i="66"/>
  <c r="AB30" i="66"/>
  <c r="AC30" i="66"/>
  <c r="AD30" i="66"/>
  <c r="AE30" i="66"/>
  <c r="AF30" i="66"/>
  <c r="AG30" i="66"/>
  <c r="AN15" i="66"/>
  <c r="AK10" i="66"/>
  <c r="AD26" i="66"/>
  <c r="AE26" i="66"/>
  <c r="AF26" i="66"/>
  <c r="AD27" i="66"/>
  <c r="AE27" i="66"/>
  <c r="AF27" i="66"/>
  <c r="AD28" i="66"/>
  <c r="AE28" i="66"/>
  <c r="AF28" i="66"/>
  <c r="AD29" i="66"/>
  <c r="AE29" i="66"/>
  <c r="AF29" i="66"/>
  <c r="Z26" i="66"/>
  <c r="AA26" i="66"/>
  <c r="AB26" i="66"/>
  <c r="AC26" i="66"/>
  <c r="Z27" i="66"/>
  <c r="AA27" i="66"/>
  <c r="AB27" i="66"/>
  <c r="AC27" i="66"/>
  <c r="Z28" i="66"/>
  <c r="AA28" i="66"/>
  <c r="AB28" i="66"/>
  <c r="AC28" i="66"/>
  <c r="Z29" i="66"/>
  <c r="AA29" i="66"/>
  <c r="AB29" i="66"/>
  <c r="AC29" i="66"/>
  <c r="N30" i="66"/>
  <c r="C92" i="66" s="1"/>
  <c r="O30" i="66"/>
  <c r="C93" i="66" s="1"/>
  <c r="P30" i="66"/>
  <c r="C94" i="66" s="1"/>
  <c r="Q30" i="66"/>
  <c r="C95" i="66" s="1"/>
  <c r="N29" i="66"/>
  <c r="O29" i="66"/>
  <c r="P29" i="66"/>
  <c r="Q29" i="66"/>
  <c r="N28" i="66"/>
  <c r="O28" i="66"/>
  <c r="P28" i="66"/>
  <c r="Q28" i="66"/>
  <c r="N27" i="66"/>
  <c r="O27" i="66"/>
  <c r="P27" i="66"/>
  <c r="Q27" i="66"/>
  <c r="N26" i="66"/>
  <c r="O26" i="66"/>
  <c r="P26" i="66"/>
  <c r="Q26" i="66"/>
  <c r="L26" i="66"/>
  <c r="L27" i="66"/>
  <c r="L28" i="66"/>
  <c r="L29" i="66"/>
  <c r="L30" i="66"/>
  <c r="L20" i="66"/>
  <c r="N20" i="66"/>
  <c r="O20" i="66"/>
  <c r="P20" i="66"/>
  <c r="Q20" i="66"/>
  <c r="Z20" i="66"/>
  <c r="AA20" i="66"/>
  <c r="AB20" i="66"/>
  <c r="AC20" i="66"/>
  <c r="AD20" i="66"/>
  <c r="AE20" i="66"/>
  <c r="AF20" i="66"/>
  <c r="AG20" i="66"/>
  <c r="L21" i="66"/>
  <c r="N21" i="66"/>
  <c r="O21" i="66"/>
  <c r="P21" i="66"/>
  <c r="Q21" i="66"/>
  <c r="Z21" i="66"/>
  <c r="AA21" i="66"/>
  <c r="AB21" i="66"/>
  <c r="AC21" i="66"/>
  <c r="AD21" i="66"/>
  <c r="AE21" i="66"/>
  <c r="AF21" i="66"/>
  <c r="AG21" i="66"/>
  <c r="L22" i="66"/>
  <c r="N22" i="66"/>
  <c r="O22" i="66"/>
  <c r="P22" i="66"/>
  <c r="Q22" i="66"/>
  <c r="Z22" i="66"/>
  <c r="AA22" i="66"/>
  <c r="AB22" i="66"/>
  <c r="AC22" i="66"/>
  <c r="AD22" i="66"/>
  <c r="AE22" i="66"/>
  <c r="AF22" i="66"/>
  <c r="AG22" i="66"/>
  <c r="L23" i="66"/>
  <c r="N23" i="66"/>
  <c r="O23" i="66"/>
  <c r="P23" i="66"/>
  <c r="Q23" i="66"/>
  <c r="Z23" i="66"/>
  <c r="AA23" i="66"/>
  <c r="AB23" i="66"/>
  <c r="AC23" i="66"/>
  <c r="AD23" i="66"/>
  <c r="AE23" i="66"/>
  <c r="AF23" i="66"/>
  <c r="AG23" i="66"/>
  <c r="L24" i="66"/>
  <c r="N24" i="66"/>
  <c r="O24" i="66"/>
  <c r="P24" i="66"/>
  <c r="Q24" i="66"/>
  <c r="Z24" i="66"/>
  <c r="AA24" i="66"/>
  <c r="AB24" i="66"/>
  <c r="AC24" i="66"/>
  <c r="AD24" i="66"/>
  <c r="AE24" i="66"/>
  <c r="AF24" i="66"/>
  <c r="AG24" i="66"/>
  <c r="L25" i="66"/>
  <c r="N25" i="66"/>
  <c r="O25" i="66"/>
  <c r="P25" i="66"/>
  <c r="Q25" i="66"/>
  <c r="Z25" i="66"/>
  <c r="AA25" i="66"/>
  <c r="AB25" i="66"/>
  <c r="AC25" i="66"/>
  <c r="AD25" i="66"/>
  <c r="AE25" i="66"/>
  <c r="AF25" i="66"/>
  <c r="AG25" i="66"/>
  <c r="AD19" i="66"/>
  <c r="AE19" i="66"/>
  <c r="AF19" i="66"/>
  <c r="AD18" i="66"/>
  <c r="AE18" i="66"/>
  <c r="AF18" i="66"/>
  <c r="Z19" i="66"/>
  <c r="AA19" i="66"/>
  <c r="AB19" i="66"/>
  <c r="AC19" i="66"/>
  <c r="Z18" i="66"/>
  <c r="AA18" i="66"/>
  <c r="AB18" i="66"/>
  <c r="AC18" i="66"/>
  <c r="N19" i="66"/>
  <c r="O19" i="66"/>
  <c r="P19" i="66"/>
  <c r="Q19" i="66"/>
  <c r="N18" i="66"/>
  <c r="O18" i="66"/>
  <c r="P18" i="66"/>
  <c r="Q18" i="66"/>
  <c r="L19" i="66"/>
  <c r="L18" i="66"/>
  <c r="AF37" i="62"/>
  <c r="AE37" i="62"/>
  <c r="AD37" i="62"/>
  <c r="AB37" i="62"/>
  <c r="Z37" i="62"/>
  <c r="AG37" i="62" s="1"/>
  <c r="Q37" i="62"/>
  <c r="P37" i="62"/>
  <c r="O37" i="62"/>
  <c r="N37" i="62"/>
  <c r="L37" i="62"/>
  <c r="G37" i="62"/>
  <c r="AF36" i="62"/>
  <c r="AE36" i="62"/>
  <c r="AD36" i="62"/>
  <c r="AC36" i="62"/>
  <c r="AB36" i="62"/>
  <c r="AA36" i="62"/>
  <c r="Z36" i="62"/>
  <c r="AG36" i="62" s="1"/>
  <c r="Q36" i="62"/>
  <c r="P36" i="62"/>
  <c r="O36" i="62"/>
  <c r="N36" i="62"/>
  <c r="L36" i="62"/>
  <c r="G36" i="62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P5" i="59"/>
  <c r="P6" i="59"/>
  <c r="P7" i="59"/>
  <c r="P8" i="59"/>
  <c r="P9" i="59"/>
  <c r="P10" i="59"/>
  <c r="P11" i="59"/>
  <c r="P12" i="59"/>
  <c r="P13" i="59"/>
  <c r="P14" i="59"/>
  <c r="P15" i="59"/>
  <c r="P16" i="59"/>
  <c r="P17" i="59"/>
  <c r="P18" i="59"/>
  <c r="P19" i="59"/>
  <c r="P20" i="59"/>
  <c r="P21" i="59"/>
  <c r="P22" i="59"/>
  <c r="P23" i="59"/>
  <c r="P24" i="59"/>
  <c r="P25" i="59"/>
  <c r="P26" i="59"/>
  <c r="P27" i="59"/>
  <c r="P28" i="59"/>
  <c r="P29" i="59"/>
  <c r="P30" i="59"/>
  <c r="P31" i="59"/>
  <c r="P32" i="59"/>
  <c r="P33" i="59"/>
  <c r="P34" i="59"/>
  <c r="P35" i="59"/>
  <c r="P36" i="59"/>
  <c r="P37" i="59"/>
  <c r="P38" i="59"/>
  <c r="P39" i="59"/>
  <c r="Q5" i="59"/>
  <c r="Q6" i="59"/>
  <c r="Q7" i="59"/>
  <c r="Q8" i="59"/>
  <c r="Q9" i="59"/>
  <c r="Q10" i="59"/>
  <c r="Q11" i="59"/>
  <c r="Q12" i="59"/>
  <c r="Q13" i="59"/>
  <c r="Q14" i="59"/>
  <c r="Q15" i="59"/>
  <c r="Q16" i="59"/>
  <c r="Q17" i="59"/>
  <c r="Q18" i="59"/>
  <c r="Q19" i="59"/>
  <c r="Q20" i="59"/>
  <c r="Q21" i="59"/>
  <c r="Q22" i="59"/>
  <c r="Q23" i="59"/>
  <c r="Q24" i="59"/>
  <c r="Q25" i="59"/>
  <c r="Q26" i="59"/>
  <c r="Q27" i="59"/>
  <c r="Q28" i="59"/>
  <c r="Q29" i="59"/>
  <c r="Q30" i="59"/>
  <c r="Q31" i="59"/>
  <c r="Q32" i="59"/>
  <c r="Q33" i="59"/>
  <c r="Q34" i="59"/>
  <c r="Q35" i="59"/>
  <c r="Q36" i="59"/>
  <c r="Q37" i="59"/>
  <c r="Q38" i="59"/>
  <c r="Q39" i="59"/>
  <c r="AA5" i="59"/>
  <c r="AA6" i="59"/>
  <c r="AA7" i="59"/>
  <c r="AA8" i="59"/>
  <c r="AA9" i="59"/>
  <c r="AA10" i="59"/>
  <c r="AA11" i="59"/>
  <c r="AA12" i="59"/>
  <c r="AA13" i="59"/>
  <c r="AA14" i="59"/>
  <c r="AA15" i="59"/>
  <c r="AA16" i="59"/>
  <c r="AA17" i="59"/>
  <c r="AA18" i="59"/>
  <c r="AA19" i="59"/>
  <c r="AA20" i="59"/>
  <c r="AA21" i="59"/>
  <c r="AA22" i="59"/>
  <c r="AA23" i="59"/>
  <c r="AA24" i="59"/>
  <c r="AA25" i="59"/>
  <c r="AA26" i="59"/>
  <c r="AA27" i="59"/>
  <c r="AA28" i="59"/>
  <c r="AA29" i="59"/>
  <c r="AA30" i="59"/>
  <c r="AA31" i="59"/>
  <c r="AA32" i="59"/>
  <c r="AA33" i="59"/>
  <c r="AA34" i="59"/>
  <c r="AA35" i="59"/>
  <c r="AA36" i="59"/>
  <c r="AA37" i="59"/>
  <c r="AA38" i="59"/>
  <c r="AA39" i="59"/>
  <c r="AB5" i="59"/>
  <c r="AB6" i="59"/>
  <c r="AB7" i="59"/>
  <c r="AB8" i="59"/>
  <c r="AB9" i="59"/>
  <c r="AB10" i="59"/>
  <c r="AB11" i="59"/>
  <c r="AB12" i="59"/>
  <c r="AB13" i="59"/>
  <c r="AB14" i="59"/>
  <c r="AB15" i="59"/>
  <c r="AB16" i="59"/>
  <c r="AB17" i="59"/>
  <c r="AB18" i="59"/>
  <c r="AB19" i="59"/>
  <c r="AB20" i="59"/>
  <c r="AB21" i="59"/>
  <c r="AB22" i="59"/>
  <c r="AB23" i="59"/>
  <c r="AB24" i="59"/>
  <c r="AB25" i="59"/>
  <c r="AB26" i="59"/>
  <c r="AB27" i="59"/>
  <c r="AB28" i="59"/>
  <c r="AB29" i="59"/>
  <c r="AB30" i="59"/>
  <c r="AB31" i="59"/>
  <c r="AB32" i="59"/>
  <c r="AB33" i="59"/>
  <c r="AB34" i="59"/>
  <c r="AB35" i="59"/>
  <c r="AB36" i="59"/>
  <c r="AB37" i="59"/>
  <c r="AB38" i="59"/>
  <c r="AB39" i="59"/>
  <c r="AD5" i="59"/>
  <c r="AD6" i="59"/>
  <c r="AD7" i="59"/>
  <c r="AD8" i="59"/>
  <c r="AD9" i="59"/>
  <c r="AD10" i="59"/>
  <c r="AD11" i="59"/>
  <c r="AD12" i="59"/>
  <c r="AD13" i="59"/>
  <c r="AD14" i="59"/>
  <c r="AD15" i="59"/>
  <c r="AD16" i="59"/>
  <c r="AD17" i="59"/>
  <c r="AD18" i="59"/>
  <c r="AD19" i="59"/>
  <c r="AD20" i="59"/>
  <c r="AD21" i="59"/>
  <c r="AD22" i="59"/>
  <c r="AD23" i="59"/>
  <c r="AD24" i="59"/>
  <c r="AD25" i="59"/>
  <c r="AD26" i="59"/>
  <c r="AD27" i="59"/>
  <c r="AD28" i="59"/>
  <c r="AD29" i="59"/>
  <c r="AD30" i="59"/>
  <c r="AD31" i="59"/>
  <c r="AD32" i="59"/>
  <c r="AD33" i="59"/>
  <c r="AD34" i="59"/>
  <c r="AD35" i="59"/>
  <c r="AD36" i="59"/>
  <c r="AD37" i="59"/>
  <c r="AD38" i="59"/>
  <c r="AD39" i="59"/>
  <c r="AE5" i="59"/>
  <c r="AE6" i="59"/>
  <c r="AE7" i="59"/>
  <c r="AE8" i="59"/>
  <c r="AE9" i="59"/>
  <c r="AE10" i="59"/>
  <c r="AE11" i="59"/>
  <c r="AE12" i="59"/>
  <c r="AE13" i="59"/>
  <c r="AE14" i="59"/>
  <c r="AE15" i="59"/>
  <c r="AE16" i="59"/>
  <c r="AE17" i="59"/>
  <c r="AE18" i="59"/>
  <c r="AE19" i="59"/>
  <c r="AE20" i="59"/>
  <c r="AE21" i="59"/>
  <c r="AE22" i="59"/>
  <c r="AE23" i="59"/>
  <c r="AE24" i="59"/>
  <c r="AE25" i="59"/>
  <c r="AE26" i="59"/>
  <c r="AE27" i="59"/>
  <c r="AE28" i="59"/>
  <c r="AE29" i="59"/>
  <c r="AE30" i="59"/>
  <c r="AE31" i="59"/>
  <c r="AE32" i="59"/>
  <c r="AE33" i="59"/>
  <c r="AE34" i="59"/>
  <c r="AE35" i="59"/>
  <c r="AE36" i="59"/>
  <c r="AE37" i="59"/>
  <c r="AE38" i="59"/>
  <c r="AE39" i="59"/>
  <c r="AF5" i="59"/>
  <c r="AF6" i="59"/>
  <c r="AF7" i="59"/>
  <c r="AF8" i="59"/>
  <c r="AF9" i="59"/>
  <c r="AF10" i="59"/>
  <c r="AF11" i="59"/>
  <c r="AF12" i="59"/>
  <c r="AF13" i="59"/>
  <c r="AF14" i="59"/>
  <c r="AF15" i="59"/>
  <c r="AF16" i="59"/>
  <c r="AF17" i="59"/>
  <c r="AF18" i="59"/>
  <c r="AF19" i="59"/>
  <c r="AF20" i="59"/>
  <c r="AF21" i="59"/>
  <c r="AF22" i="59"/>
  <c r="AF23" i="59"/>
  <c r="AF24" i="59"/>
  <c r="AF25" i="59"/>
  <c r="AF26" i="59"/>
  <c r="AF27" i="59"/>
  <c r="AF28" i="59"/>
  <c r="AF29" i="59"/>
  <c r="AF30" i="59"/>
  <c r="AF31" i="59"/>
  <c r="AF32" i="59"/>
  <c r="AF33" i="59"/>
  <c r="AF34" i="59"/>
  <c r="AF35" i="59"/>
  <c r="AF36" i="59"/>
  <c r="AF37" i="59"/>
  <c r="AF38" i="59"/>
  <c r="AF39" i="59"/>
  <c r="AG36" i="59"/>
  <c r="AC39" i="59"/>
  <c r="Z39" i="59"/>
  <c r="L39" i="59"/>
  <c r="G39" i="59"/>
  <c r="L38" i="59"/>
  <c r="G38" i="59"/>
  <c r="Z15" i="66"/>
  <c r="AA15" i="66"/>
  <c r="AB15" i="66"/>
  <c r="AC15" i="66"/>
  <c r="AD15" i="66"/>
  <c r="AE15" i="66"/>
  <c r="AF15" i="66"/>
  <c r="AG15" i="66"/>
  <c r="Z16" i="66"/>
  <c r="AA16" i="66"/>
  <c r="AB16" i="66"/>
  <c r="AC16" i="66"/>
  <c r="AD16" i="66"/>
  <c r="AE16" i="66"/>
  <c r="AF16" i="66"/>
  <c r="AG16" i="66"/>
  <c r="Z17" i="66"/>
  <c r="AA17" i="66"/>
  <c r="AB17" i="66"/>
  <c r="AC17" i="66"/>
  <c r="AD17" i="66"/>
  <c r="AE17" i="66"/>
  <c r="AF17" i="66"/>
  <c r="AG17" i="66"/>
  <c r="N17" i="66"/>
  <c r="O17" i="66"/>
  <c r="P17" i="66"/>
  <c r="Q17" i="66"/>
  <c r="N16" i="66"/>
  <c r="O16" i="66"/>
  <c r="P16" i="66"/>
  <c r="Q16" i="66"/>
  <c r="N15" i="66"/>
  <c r="O15" i="66"/>
  <c r="P15" i="66"/>
  <c r="Q15" i="66"/>
  <c r="L15" i="66"/>
  <c r="L16" i="66"/>
  <c r="L17" i="66"/>
  <c r="AM15" i="66"/>
  <c r="AD14" i="66"/>
  <c r="AE14" i="66"/>
  <c r="AF14" i="66"/>
  <c r="Z14" i="66"/>
  <c r="AA14" i="66"/>
  <c r="AB14" i="66"/>
  <c r="AC14" i="66"/>
  <c r="L14" i="66"/>
  <c r="N14" i="66"/>
  <c r="O14" i="66"/>
  <c r="P14" i="66"/>
  <c r="Q14" i="66"/>
  <c r="AL15" i="66"/>
  <c r="AK15" i="66"/>
  <c r="Z13" i="66"/>
  <c r="AA13" i="66"/>
  <c r="AB13" i="66"/>
  <c r="AC13" i="66"/>
  <c r="AD13" i="66"/>
  <c r="AE13" i="66"/>
  <c r="AF13" i="66"/>
  <c r="AG13" i="66"/>
  <c r="L13" i="66"/>
  <c r="N13" i="66"/>
  <c r="C47" i="66" s="1"/>
  <c r="O13" i="66"/>
  <c r="C48" i="66" s="1"/>
  <c r="P13" i="66"/>
  <c r="C49" i="66" s="1"/>
  <c r="Q13" i="66"/>
  <c r="C50" i="66" s="1"/>
  <c r="AC11" i="66"/>
  <c r="AC12" i="66"/>
  <c r="AB11" i="66"/>
  <c r="AB12" i="66"/>
  <c r="AA11" i="66"/>
  <c r="AA12" i="66"/>
  <c r="Z11" i="66"/>
  <c r="Z12" i="66"/>
  <c r="AD12" i="66"/>
  <c r="AE12" i="66"/>
  <c r="AF12" i="66"/>
  <c r="AG12" i="66"/>
  <c r="N12" i="66"/>
  <c r="O12" i="66"/>
  <c r="P12" i="66"/>
  <c r="Q12" i="66"/>
  <c r="L12" i="66"/>
  <c r="E8" i="45"/>
  <c r="D8" i="45"/>
  <c r="AG11" i="66"/>
  <c r="AF11" i="66"/>
  <c r="AE11" i="66"/>
  <c r="AD11" i="66"/>
  <c r="Q11" i="66"/>
  <c r="P11" i="66"/>
  <c r="O11" i="66"/>
  <c r="N11" i="66"/>
  <c r="L11" i="66"/>
  <c r="Z10" i="66"/>
  <c r="AA10" i="66"/>
  <c r="AB10" i="66"/>
  <c r="AC10" i="66"/>
  <c r="AD10" i="66"/>
  <c r="AE10" i="66"/>
  <c r="AF10" i="66"/>
  <c r="AG10" i="66"/>
  <c r="N10" i="66"/>
  <c r="O10" i="66"/>
  <c r="P10" i="66"/>
  <c r="Q10" i="66"/>
  <c r="L10" i="66"/>
  <c r="Z9" i="66"/>
  <c r="AA9" i="66"/>
  <c r="AB9" i="66"/>
  <c r="AC9" i="66"/>
  <c r="AD9" i="66"/>
  <c r="AE9" i="66"/>
  <c r="AF9" i="66"/>
  <c r="AG9" i="66"/>
  <c r="N9" i="66"/>
  <c r="O9" i="66"/>
  <c r="P9" i="66"/>
  <c r="Q9" i="66"/>
  <c r="L9" i="66"/>
  <c r="G89" i="67"/>
  <c r="G90" i="67" s="1"/>
  <c r="G80" i="67"/>
  <c r="G81" i="67" s="1"/>
  <c r="F80" i="67"/>
  <c r="G46" i="67"/>
  <c r="G47" i="67" s="1"/>
  <c r="F46" i="67"/>
  <c r="G17" i="67"/>
  <c r="G18" i="67" s="1"/>
  <c r="F17" i="67"/>
  <c r="AF8" i="66"/>
  <c r="Z8" i="66"/>
  <c r="AA8" i="66"/>
  <c r="AB8" i="66"/>
  <c r="AC8" i="66"/>
  <c r="AD8" i="66"/>
  <c r="AE8" i="66"/>
  <c r="N8" i="66"/>
  <c r="O8" i="66"/>
  <c r="P8" i="66"/>
  <c r="Q8" i="66"/>
  <c r="L8" i="66"/>
  <c r="AD7" i="66"/>
  <c r="AE7" i="66"/>
  <c r="AF7" i="66"/>
  <c r="Z7" i="66"/>
  <c r="AA7" i="66"/>
  <c r="AB7" i="66"/>
  <c r="AC7" i="66"/>
  <c r="N7" i="66"/>
  <c r="O7" i="66"/>
  <c r="P7" i="66"/>
  <c r="Q7" i="66"/>
  <c r="L7" i="66"/>
  <c r="AF6" i="66"/>
  <c r="AE6" i="66"/>
  <c r="AD6" i="66"/>
  <c r="AC6" i="66"/>
  <c r="AB6" i="66"/>
  <c r="AA6" i="66"/>
  <c r="Z6" i="66"/>
  <c r="AG6" i="66" s="1"/>
  <c r="Q6" i="66"/>
  <c r="P6" i="66"/>
  <c r="O6" i="66"/>
  <c r="N6" i="66"/>
  <c r="L6" i="66"/>
  <c r="AF5" i="66"/>
  <c r="AE5" i="66"/>
  <c r="AD5" i="66"/>
  <c r="AC5" i="66"/>
  <c r="AB5" i="66"/>
  <c r="AA5" i="66"/>
  <c r="Z5" i="66"/>
  <c r="AG5" i="66" s="1"/>
  <c r="Q5" i="66"/>
  <c r="P5" i="66"/>
  <c r="O5" i="66"/>
  <c r="N5" i="66"/>
  <c r="L5" i="66"/>
  <c r="G40" i="66"/>
  <c r="G39" i="66"/>
  <c r="G38" i="66"/>
  <c r="G37" i="66"/>
  <c r="G36" i="66"/>
  <c r="G35" i="66"/>
  <c r="G34" i="66"/>
  <c r="G33" i="66"/>
  <c r="G32" i="66"/>
  <c r="G31" i="66"/>
  <c r="G30" i="66"/>
  <c r="G29" i="66"/>
  <c r="G28" i="66"/>
  <c r="G27" i="66"/>
  <c r="G26" i="66"/>
  <c r="G25" i="66"/>
  <c r="G24" i="66"/>
  <c r="G23" i="66"/>
  <c r="G22" i="66"/>
  <c r="G21" i="66"/>
  <c r="G20" i="66"/>
  <c r="G19" i="66"/>
  <c r="G18" i="66"/>
  <c r="G17" i="66"/>
  <c r="G16" i="66"/>
  <c r="AJ15" i="66"/>
  <c r="G15" i="66"/>
  <c r="G14" i="66"/>
  <c r="G13" i="66"/>
  <c r="G12" i="66"/>
  <c r="G11" i="66"/>
  <c r="AL10" i="66"/>
  <c r="AM10" i="66" s="1"/>
  <c r="AN10" i="66" s="1"/>
  <c r="AO10" i="66" s="1"/>
  <c r="G10" i="66"/>
  <c r="G9" i="66"/>
  <c r="G8" i="66"/>
  <c r="G7" i="66"/>
  <c r="G6" i="66"/>
  <c r="G5" i="66"/>
  <c r="AC32" i="64"/>
  <c r="AC33" i="64"/>
  <c r="AC34" i="64"/>
  <c r="AC35" i="64"/>
  <c r="AC36" i="64"/>
  <c r="AB31" i="64"/>
  <c r="AB32" i="64"/>
  <c r="AB33" i="64"/>
  <c r="AB34" i="64"/>
  <c r="AB35" i="64"/>
  <c r="AB36" i="64"/>
  <c r="AA31" i="64"/>
  <c r="AA32" i="64"/>
  <c r="AA33" i="64"/>
  <c r="AA34" i="64"/>
  <c r="AA35" i="64"/>
  <c r="AA36" i="64"/>
  <c r="Z31" i="64"/>
  <c r="Z32" i="64"/>
  <c r="Z33" i="64"/>
  <c r="Z34" i="64"/>
  <c r="Z35" i="64"/>
  <c r="Z36" i="64"/>
  <c r="AO15" i="64"/>
  <c r="AK10" i="64"/>
  <c r="AD36" i="64"/>
  <c r="AE36" i="64"/>
  <c r="AF36" i="64"/>
  <c r="AG36" i="64"/>
  <c r="N36" i="64"/>
  <c r="O36" i="64"/>
  <c r="P36" i="64"/>
  <c r="Q36" i="64"/>
  <c r="L36" i="64"/>
  <c r="AG35" i="64"/>
  <c r="AF35" i="64"/>
  <c r="AE35" i="64"/>
  <c r="AD35" i="64"/>
  <c r="Q35" i="64"/>
  <c r="P35" i="64"/>
  <c r="O35" i="64"/>
  <c r="N35" i="64"/>
  <c r="L35" i="64"/>
  <c r="AG33" i="64"/>
  <c r="AG34" i="64"/>
  <c r="AF33" i="64"/>
  <c r="AF34" i="64"/>
  <c r="AE33" i="64"/>
  <c r="AE34" i="64"/>
  <c r="AD33" i="64"/>
  <c r="AD34" i="64"/>
  <c r="Q33" i="64"/>
  <c r="Q34" i="64"/>
  <c r="P33" i="64"/>
  <c r="P34" i="64"/>
  <c r="O33" i="64"/>
  <c r="O34" i="64"/>
  <c r="N34" i="64"/>
  <c r="N33" i="64"/>
  <c r="L34" i="64"/>
  <c r="L33" i="64"/>
  <c r="M53" i="65"/>
  <c r="N53" i="65"/>
  <c r="M73" i="65"/>
  <c r="N73" i="65" s="1"/>
  <c r="N76" i="65" s="1"/>
  <c r="M61" i="65"/>
  <c r="N61" i="65" s="1"/>
  <c r="M54" i="65"/>
  <c r="N54" i="65" s="1"/>
  <c r="O60" i="65" s="1"/>
  <c r="AC30" i="64"/>
  <c r="AC31" i="64"/>
  <c r="AB30" i="64"/>
  <c r="AA30" i="64"/>
  <c r="Z30" i="64"/>
  <c r="T22" i="45"/>
  <c r="S22" i="45"/>
  <c r="T21" i="45"/>
  <c r="S21" i="45"/>
  <c r="T20" i="45"/>
  <c r="S20" i="45"/>
  <c r="T19" i="45"/>
  <c r="S19" i="45"/>
  <c r="T18" i="45"/>
  <c r="S18" i="45"/>
  <c r="T17" i="45"/>
  <c r="S17" i="45"/>
  <c r="AE32" i="64"/>
  <c r="AG32" i="64"/>
  <c r="AF32" i="64"/>
  <c r="AD32" i="64"/>
  <c r="Q32" i="64"/>
  <c r="P32" i="64"/>
  <c r="O32" i="64"/>
  <c r="N32" i="64"/>
  <c r="L32" i="64"/>
  <c r="AG31" i="64"/>
  <c r="AF31" i="64"/>
  <c r="AE31" i="64"/>
  <c r="AD31" i="64"/>
  <c r="Q31" i="64"/>
  <c r="P31" i="64"/>
  <c r="O31" i="64"/>
  <c r="N31" i="64"/>
  <c r="L31" i="64"/>
  <c r="AG30" i="64"/>
  <c r="AF30" i="64"/>
  <c r="AE30" i="64"/>
  <c r="AD30" i="64"/>
  <c r="Q30" i="64"/>
  <c r="P30" i="64"/>
  <c r="O30" i="64"/>
  <c r="N30" i="64"/>
  <c r="L30" i="64"/>
  <c r="Z29" i="64"/>
  <c r="AA29" i="64"/>
  <c r="AB29" i="64"/>
  <c r="AC29" i="64"/>
  <c r="AD29" i="64"/>
  <c r="AE29" i="64"/>
  <c r="AF29" i="64"/>
  <c r="AG29" i="64"/>
  <c r="N29" i="64"/>
  <c r="O29" i="64"/>
  <c r="P29" i="64"/>
  <c r="Q29" i="64"/>
  <c r="L29" i="64"/>
  <c r="Z28" i="64"/>
  <c r="AA28" i="64"/>
  <c r="AB28" i="64"/>
  <c r="AC28" i="64"/>
  <c r="AD28" i="64"/>
  <c r="AE28" i="64"/>
  <c r="AF28" i="64"/>
  <c r="AG28" i="64"/>
  <c r="N28" i="64"/>
  <c r="O28" i="64"/>
  <c r="P28" i="64"/>
  <c r="Q28" i="64"/>
  <c r="L28" i="64"/>
  <c r="Z27" i="64"/>
  <c r="AA27" i="64"/>
  <c r="AB27" i="64"/>
  <c r="AC27" i="64"/>
  <c r="AD27" i="64"/>
  <c r="AE27" i="64"/>
  <c r="AF27" i="64"/>
  <c r="AG27" i="64"/>
  <c r="N27" i="64"/>
  <c r="O27" i="64"/>
  <c r="P27" i="64"/>
  <c r="Q27" i="64"/>
  <c r="L27" i="64"/>
  <c r="Z26" i="64"/>
  <c r="AA26" i="64"/>
  <c r="AB26" i="64"/>
  <c r="AC26" i="64"/>
  <c r="AD26" i="64"/>
  <c r="AE26" i="64"/>
  <c r="AF26" i="64"/>
  <c r="AG26" i="64"/>
  <c r="N26" i="64"/>
  <c r="O26" i="64"/>
  <c r="P26" i="64"/>
  <c r="Q26" i="64"/>
  <c r="L26" i="64"/>
  <c r="Z23" i="64"/>
  <c r="Z24" i="64"/>
  <c r="Z25" i="64"/>
  <c r="AA23" i="64"/>
  <c r="AA24" i="64"/>
  <c r="AA25" i="64"/>
  <c r="AC23" i="64"/>
  <c r="AC24" i="64"/>
  <c r="AC25" i="64"/>
  <c r="AB22" i="64"/>
  <c r="AB23" i="64"/>
  <c r="AB24" i="64"/>
  <c r="AB25" i="64"/>
  <c r="AE24" i="64"/>
  <c r="AE25" i="64"/>
  <c r="I56" i="64"/>
  <c r="AD25" i="64"/>
  <c r="AF25" i="64"/>
  <c r="N25" i="64"/>
  <c r="O25" i="64"/>
  <c r="P25" i="64"/>
  <c r="Q25" i="64"/>
  <c r="L25" i="64"/>
  <c r="AF24" i="64"/>
  <c r="AD24" i="64"/>
  <c r="Q24" i="64"/>
  <c r="P24" i="64"/>
  <c r="O24" i="64"/>
  <c r="N24" i="64"/>
  <c r="L24" i="64"/>
  <c r="AG23" i="64"/>
  <c r="AF23" i="64"/>
  <c r="AE23" i="64"/>
  <c r="AD23" i="64"/>
  <c r="Q23" i="64"/>
  <c r="P23" i="64"/>
  <c r="O23" i="64"/>
  <c r="N23" i="64"/>
  <c r="L23" i="64"/>
  <c r="Z22" i="64"/>
  <c r="AA22" i="64"/>
  <c r="AC22" i="64"/>
  <c r="AD22" i="64"/>
  <c r="AE22" i="64"/>
  <c r="AF22" i="64"/>
  <c r="AG22" i="64"/>
  <c r="N22" i="64"/>
  <c r="O22" i="64"/>
  <c r="P22" i="64"/>
  <c r="Q22" i="64"/>
  <c r="L22" i="64"/>
  <c r="AL10" i="64"/>
  <c r="AM10" i="64" s="1"/>
  <c r="AN10" i="64" s="1"/>
  <c r="AO10" i="64" s="1"/>
  <c r="AD21" i="64"/>
  <c r="AE21" i="64"/>
  <c r="AF21" i="64"/>
  <c r="Z21" i="64"/>
  <c r="AA21" i="64"/>
  <c r="AB21" i="64"/>
  <c r="AC21" i="64"/>
  <c r="N21" i="64"/>
  <c r="O21" i="64"/>
  <c r="P21" i="64"/>
  <c r="Q21" i="64"/>
  <c r="L21" i="64"/>
  <c r="G89" i="65"/>
  <c r="G90" i="65" s="1"/>
  <c r="G80" i="65"/>
  <c r="G81" i="65" s="1"/>
  <c r="F80" i="65"/>
  <c r="G46" i="65"/>
  <c r="G47" i="65" s="1"/>
  <c r="F46" i="65"/>
  <c r="G17" i="65"/>
  <c r="G18" i="65" s="1"/>
  <c r="F17" i="65"/>
  <c r="Z20" i="64"/>
  <c r="AA20" i="64"/>
  <c r="AB20" i="64"/>
  <c r="AC20" i="64"/>
  <c r="AD20" i="64"/>
  <c r="AE20" i="64"/>
  <c r="AF20" i="64"/>
  <c r="AG20" i="64"/>
  <c r="N20" i="64"/>
  <c r="O20" i="64"/>
  <c r="P20" i="64"/>
  <c r="Q20" i="64"/>
  <c r="G28" i="64"/>
  <c r="L20" i="64"/>
  <c r="Z15" i="64"/>
  <c r="Z16" i="64"/>
  <c r="Z17" i="64"/>
  <c r="Z18" i="64"/>
  <c r="Z19" i="64"/>
  <c r="AA11" i="64"/>
  <c r="AA12" i="64"/>
  <c r="AA13" i="64"/>
  <c r="AA14" i="64"/>
  <c r="AA15" i="64"/>
  <c r="AA16" i="64"/>
  <c r="AA17" i="64"/>
  <c r="AA18" i="64"/>
  <c r="AA19" i="64"/>
  <c r="AB11" i="64"/>
  <c r="AB12" i="64"/>
  <c r="AB13" i="64"/>
  <c r="AB14" i="64"/>
  <c r="AB15" i="64"/>
  <c r="AB16" i="64"/>
  <c r="AB17" i="64"/>
  <c r="AB18" i="64"/>
  <c r="AB19" i="64"/>
  <c r="AC10" i="64"/>
  <c r="AC11" i="64"/>
  <c r="AC12" i="64"/>
  <c r="AC13" i="64"/>
  <c r="AC14" i="64"/>
  <c r="AC15" i="64"/>
  <c r="AC16" i="64"/>
  <c r="AC17" i="64"/>
  <c r="AC18" i="64"/>
  <c r="AC19" i="64"/>
  <c r="AE9" i="64"/>
  <c r="AE10" i="64"/>
  <c r="AE11" i="64"/>
  <c r="AE12" i="64"/>
  <c r="AE13" i="64"/>
  <c r="AE14" i="64"/>
  <c r="AE15" i="64"/>
  <c r="AE16" i="64"/>
  <c r="AE17" i="64"/>
  <c r="AE18" i="64"/>
  <c r="AE19" i="64"/>
  <c r="AD19" i="64"/>
  <c r="AF19" i="64"/>
  <c r="N19" i="64"/>
  <c r="O19" i="64"/>
  <c r="P19" i="64"/>
  <c r="Q19" i="64"/>
  <c r="L19" i="64"/>
  <c r="AG18" i="64"/>
  <c r="AF18" i="64"/>
  <c r="AD18" i="64"/>
  <c r="Q18" i="64"/>
  <c r="P18" i="64"/>
  <c r="N18" i="64"/>
  <c r="L18" i="64"/>
  <c r="O18" i="64"/>
  <c r="R14" i="45"/>
  <c r="Q14" i="45"/>
  <c r="AF17" i="64"/>
  <c r="AD17" i="64"/>
  <c r="Q17" i="64"/>
  <c r="P17" i="64"/>
  <c r="O17" i="64"/>
  <c r="N17" i="64"/>
  <c r="L17" i="64"/>
  <c r="AG16" i="64"/>
  <c r="AF16" i="64"/>
  <c r="AD16" i="64"/>
  <c r="N15" i="64"/>
  <c r="Q16" i="64"/>
  <c r="P16" i="64"/>
  <c r="O16" i="64"/>
  <c r="N16" i="64"/>
  <c r="L16" i="64"/>
  <c r="AF15" i="64"/>
  <c r="AD15" i="64"/>
  <c r="Q15" i="64"/>
  <c r="P15" i="64"/>
  <c r="O15" i="64"/>
  <c r="L15" i="64"/>
  <c r="AF14" i="64"/>
  <c r="AD14" i="64"/>
  <c r="Z14" i="64"/>
  <c r="Q14" i="64"/>
  <c r="P14" i="64"/>
  <c r="O14" i="64"/>
  <c r="N14" i="64"/>
  <c r="L14" i="64"/>
  <c r="AK10" i="62"/>
  <c r="Z13" i="64"/>
  <c r="AD13" i="64"/>
  <c r="AF13" i="64"/>
  <c r="AG13" i="64"/>
  <c r="N13" i="64"/>
  <c r="O13" i="64"/>
  <c r="P13" i="64"/>
  <c r="Q13" i="64"/>
  <c r="L13" i="64"/>
  <c r="R10" i="45"/>
  <c r="AF12" i="64"/>
  <c r="AD12" i="64"/>
  <c r="Z12" i="64"/>
  <c r="AG12" i="64" s="1"/>
  <c r="Q12" i="64"/>
  <c r="P12" i="64"/>
  <c r="O12" i="64"/>
  <c r="N12" i="64"/>
  <c r="L12" i="64"/>
  <c r="G12" i="64"/>
  <c r="AF11" i="64"/>
  <c r="AD11" i="64"/>
  <c r="Z11" i="64"/>
  <c r="AG11" i="64" s="1"/>
  <c r="Q11" i="64"/>
  <c r="P11" i="64"/>
  <c r="O11" i="64"/>
  <c r="N11" i="64"/>
  <c r="L11" i="64"/>
  <c r="G11" i="64"/>
  <c r="AF10" i="64"/>
  <c r="AD10" i="64"/>
  <c r="AB10" i="64"/>
  <c r="AA10" i="64"/>
  <c r="Z10" i="64"/>
  <c r="AG10" i="64" s="1"/>
  <c r="Q10" i="64"/>
  <c r="P10" i="64"/>
  <c r="O10" i="64"/>
  <c r="N10" i="64"/>
  <c r="L10" i="64"/>
  <c r="G10" i="64"/>
  <c r="AF9" i="64"/>
  <c r="AD9" i="64"/>
  <c r="AC9" i="64"/>
  <c r="AB9" i="64"/>
  <c r="AA9" i="64"/>
  <c r="Z9" i="64"/>
  <c r="AG9" i="64" s="1"/>
  <c r="Q9" i="64"/>
  <c r="P9" i="64"/>
  <c r="O9" i="64"/>
  <c r="N9" i="64"/>
  <c r="L9" i="64"/>
  <c r="G9" i="64"/>
  <c r="AF8" i="64"/>
  <c r="AE8" i="64"/>
  <c r="AD8" i="64"/>
  <c r="AC8" i="64"/>
  <c r="AB8" i="64"/>
  <c r="AA8" i="64"/>
  <c r="Z8" i="64"/>
  <c r="AG8" i="64" s="1"/>
  <c r="Q8" i="64"/>
  <c r="P8" i="64"/>
  <c r="O8" i="64"/>
  <c r="N8" i="64"/>
  <c r="L8" i="64"/>
  <c r="G8" i="64"/>
  <c r="AF7" i="64"/>
  <c r="AE7" i="64"/>
  <c r="AD7" i="64"/>
  <c r="AC7" i="64"/>
  <c r="AB7" i="64"/>
  <c r="AA7" i="64"/>
  <c r="Z7" i="64"/>
  <c r="AG7" i="64" s="1"/>
  <c r="Q7" i="64"/>
  <c r="P7" i="64"/>
  <c r="O7" i="64"/>
  <c r="N7" i="64"/>
  <c r="L7" i="64"/>
  <c r="G7" i="64"/>
  <c r="AF6" i="64"/>
  <c r="AE6" i="64"/>
  <c r="AD6" i="64"/>
  <c r="AB6" i="64"/>
  <c r="Z6" i="64"/>
  <c r="AG6" i="64" s="1"/>
  <c r="Q6" i="64"/>
  <c r="P6" i="64"/>
  <c r="O6" i="64"/>
  <c r="N6" i="64"/>
  <c r="L6" i="64"/>
  <c r="G6" i="64"/>
  <c r="AF5" i="64"/>
  <c r="AE5" i="64"/>
  <c r="AD5" i="64"/>
  <c r="AB5" i="64"/>
  <c r="Z5" i="64"/>
  <c r="AG5" i="64" s="1"/>
  <c r="Q5" i="64"/>
  <c r="P5" i="64"/>
  <c r="O5" i="64"/>
  <c r="N5" i="64"/>
  <c r="L5" i="64"/>
  <c r="G5" i="64"/>
  <c r="G44" i="64"/>
  <c r="G43" i="64"/>
  <c r="G42" i="64"/>
  <c r="G41" i="64"/>
  <c r="C53" i="64"/>
  <c r="G40" i="64"/>
  <c r="G39" i="64"/>
  <c r="G38" i="64"/>
  <c r="G37" i="64"/>
  <c r="G36" i="64"/>
  <c r="G35" i="64"/>
  <c r="G34" i="64"/>
  <c r="G33" i="64"/>
  <c r="G32" i="64"/>
  <c r="G31" i="64"/>
  <c r="G30" i="64"/>
  <c r="G29" i="64"/>
  <c r="G27" i="64"/>
  <c r="G26" i="64"/>
  <c r="G25" i="64"/>
  <c r="G24" i="64"/>
  <c r="G23" i="64"/>
  <c r="G22" i="64"/>
  <c r="G21" i="64"/>
  <c r="G20" i="64"/>
  <c r="G19" i="64"/>
  <c r="G18" i="64"/>
  <c r="G17" i="64"/>
  <c r="G16" i="64"/>
  <c r="AJ15" i="64"/>
  <c r="G15" i="64"/>
  <c r="G14" i="64"/>
  <c r="G13" i="64"/>
  <c r="AL15" i="62"/>
  <c r="AK15" i="62"/>
  <c r="Q42" i="62"/>
  <c r="P42" i="62"/>
  <c r="O42" i="62"/>
  <c r="N42" i="62"/>
  <c r="Q41" i="62"/>
  <c r="P41" i="62"/>
  <c r="O41" i="62"/>
  <c r="N41" i="62"/>
  <c r="G44" i="62"/>
  <c r="L44" i="62"/>
  <c r="N44" i="62"/>
  <c r="O44" i="62"/>
  <c r="P44" i="62"/>
  <c r="Q44" i="62"/>
  <c r="Z44" i="62"/>
  <c r="AA44" i="62"/>
  <c r="AB44" i="62"/>
  <c r="AC44" i="62"/>
  <c r="AD44" i="62"/>
  <c r="AE44" i="62"/>
  <c r="AF44" i="62"/>
  <c r="AG44" i="62"/>
  <c r="G42" i="62"/>
  <c r="G43" i="62"/>
  <c r="L42" i="62"/>
  <c r="L43" i="62"/>
  <c r="N43" i="62"/>
  <c r="O43" i="62"/>
  <c r="P43" i="62"/>
  <c r="Q43" i="62"/>
  <c r="Z42" i="62"/>
  <c r="Z43" i="62"/>
  <c r="AA42" i="62"/>
  <c r="AA43" i="62"/>
  <c r="AB42" i="62"/>
  <c r="AB43" i="62"/>
  <c r="AC42" i="62"/>
  <c r="AC43" i="62"/>
  <c r="AD42" i="62"/>
  <c r="AD43" i="62"/>
  <c r="AE42" i="62"/>
  <c r="AE43" i="62"/>
  <c r="AF42" i="62"/>
  <c r="AF43" i="62"/>
  <c r="AG42" i="62"/>
  <c r="AG43" i="62"/>
  <c r="N40" i="62"/>
  <c r="AN15" i="62"/>
  <c r="AM15" i="62"/>
  <c r="Q40" i="62"/>
  <c r="C51" i="62" s="1"/>
  <c r="P40" i="62"/>
  <c r="C50" i="62" s="1"/>
  <c r="O40" i="62"/>
  <c r="G40" i="62"/>
  <c r="G41" i="62"/>
  <c r="L40" i="62"/>
  <c r="L41" i="62"/>
  <c r="Z40" i="62"/>
  <c r="Z41" i="62"/>
  <c r="AA40" i="62"/>
  <c r="AA41" i="62"/>
  <c r="AB40" i="62"/>
  <c r="AB41" i="62"/>
  <c r="AC40" i="62"/>
  <c r="AC41" i="62"/>
  <c r="AD40" i="62"/>
  <c r="AD41" i="62"/>
  <c r="AE40" i="62"/>
  <c r="AE41" i="62"/>
  <c r="AF40" i="62"/>
  <c r="AF41" i="62"/>
  <c r="AG40" i="62"/>
  <c r="AG41" i="62"/>
  <c r="Q39" i="62"/>
  <c r="P39" i="62"/>
  <c r="O39" i="62"/>
  <c r="N39" i="62"/>
  <c r="G39" i="62"/>
  <c r="L39" i="62"/>
  <c r="Z39" i="62"/>
  <c r="AA39" i="62"/>
  <c r="AB39" i="62"/>
  <c r="AC39" i="62"/>
  <c r="AD39" i="62"/>
  <c r="AE39" i="62"/>
  <c r="AF39" i="62"/>
  <c r="AG39" i="62"/>
  <c r="L38" i="62"/>
  <c r="N38" i="62"/>
  <c r="O38" i="62"/>
  <c r="P38" i="62"/>
  <c r="Q38" i="62"/>
  <c r="Z38" i="62"/>
  <c r="AB38" i="62"/>
  <c r="AD38" i="62"/>
  <c r="AE38" i="62"/>
  <c r="AF38" i="62"/>
  <c r="AG38" i="62"/>
  <c r="AO15" i="62"/>
  <c r="Z35" i="62"/>
  <c r="AA35" i="62"/>
  <c r="AB35" i="62"/>
  <c r="AC35" i="62"/>
  <c r="AD35" i="62"/>
  <c r="AE35" i="62"/>
  <c r="AF35" i="62"/>
  <c r="Z34" i="62"/>
  <c r="AA34" i="62"/>
  <c r="AB34" i="62"/>
  <c r="AC34" i="62"/>
  <c r="AD34" i="62"/>
  <c r="AE34" i="62"/>
  <c r="AF34" i="62"/>
  <c r="N35" i="62"/>
  <c r="O35" i="62"/>
  <c r="P35" i="62"/>
  <c r="Q35" i="62"/>
  <c r="L35" i="62"/>
  <c r="L34" i="62"/>
  <c r="N34" i="62"/>
  <c r="O34" i="62"/>
  <c r="P34" i="62"/>
  <c r="Q34" i="62"/>
  <c r="Z33" i="62"/>
  <c r="AA33" i="62"/>
  <c r="AB33" i="62"/>
  <c r="AC33" i="62"/>
  <c r="AD33" i="62"/>
  <c r="AE33" i="62"/>
  <c r="AF33" i="62"/>
  <c r="AG33" i="62"/>
  <c r="L33" i="62"/>
  <c r="N33" i="62"/>
  <c r="O33" i="62"/>
  <c r="P33" i="62"/>
  <c r="Q33" i="62"/>
  <c r="Z32" i="62"/>
  <c r="AA32" i="62"/>
  <c r="AB32" i="62"/>
  <c r="AC32" i="62"/>
  <c r="AD32" i="62"/>
  <c r="AE32" i="62"/>
  <c r="AF32" i="62"/>
  <c r="AG32" i="62"/>
  <c r="L32" i="62"/>
  <c r="N32" i="62"/>
  <c r="O32" i="62"/>
  <c r="P32" i="62"/>
  <c r="Q32" i="62"/>
  <c r="Z31" i="62"/>
  <c r="AA31" i="62"/>
  <c r="AB31" i="62"/>
  <c r="AC31" i="62"/>
  <c r="AD31" i="62"/>
  <c r="AE31" i="62"/>
  <c r="AF31" i="62"/>
  <c r="AG31" i="62"/>
  <c r="L31" i="62"/>
  <c r="N31" i="62"/>
  <c r="O31" i="62"/>
  <c r="P31" i="62"/>
  <c r="Q31" i="62"/>
  <c r="L30" i="62"/>
  <c r="Z30" i="62"/>
  <c r="AA30" i="62"/>
  <c r="AB30" i="62"/>
  <c r="AC30" i="62"/>
  <c r="AD30" i="62"/>
  <c r="AE30" i="62"/>
  <c r="AF30" i="62"/>
  <c r="AG30" i="62"/>
  <c r="N30" i="62"/>
  <c r="O30" i="62"/>
  <c r="P30" i="62"/>
  <c r="Q30" i="62"/>
  <c r="Z29" i="62"/>
  <c r="AA29" i="62"/>
  <c r="AB29" i="62"/>
  <c r="AC29" i="62"/>
  <c r="AD29" i="62"/>
  <c r="AE29" i="62"/>
  <c r="AF29" i="62"/>
  <c r="AG29" i="62"/>
  <c r="N29" i="62"/>
  <c r="O29" i="62"/>
  <c r="P29" i="62"/>
  <c r="Q29" i="62"/>
  <c r="L29" i="62"/>
  <c r="L28" i="62"/>
  <c r="N28" i="62"/>
  <c r="O28" i="62"/>
  <c r="P28" i="62"/>
  <c r="Q28" i="62"/>
  <c r="AC6" i="62"/>
  <c r="AC7" i="62"/>
  <c r="AC8" i="62"/>
  <c r="AC9" i="62"/>
  <c r="AC10" i="62"/>
  <c r="AC11" i="62"/>
  <c r="AC12" i="62"/>
  <c r="AC13" i="62"/>
  <c r="AC14" i="62"/>
  <c r="AC15" i="62"/>
  <c r="AC16" i="62"/>
  <c r="AC17" i="62"/>
  <c r="AC18" i="62"/>
  <c r="AC19" i="62"/>
  <c r="AC20" i="62"/>
  <c r="AC21" i="62"/>
  <c r="AC22" i="62"/>
  <c r="AC23" i="62"/>
  <c r="AC24" i="62"/>
  <c r="AC25" i="62"/>
  <c r="AC26" i="62"/>
  <c r="AC27" i="62"/>
  <c r="AC28" i="62"/>
  <c r="AC5" i="62"/>
  <c r="Z28" i="62"/>
  <c r="AA28" i="62"/>
  <c r="AB28" i="62"/>
  <c r="AD28" i="62"/>
  <c r="AE28" i="62"/>
  <c r="AF28" i="62"/>
  <c r="AG28" i="62"/>
  <c r="Z27" i="62"/>
  <c r="AA27" i="62"/>
  <c r="AB27" i="62"/>
  <c r="AD27" i="62"/>
  <c r="AE27" i="62"/>
  <c r="AF27" i="62"/>
  <c r="AG27" i="62"/>
  <c r="N27" i="62"/>
  <c r="O27" i="62"/>
  <c r="P27" i="62"/>
  <c r="Q27" i="62"/>
  <c r="L27" i="62"/>
  <c r="Z26" i="62"/>
  <c r="AA26" i="62"/>
  <c r="AB26" i="62"/>
  <c r="AD26" i="62"/>
  <c r="AE26" i="62"/>
  <c r="AF26" i="62"/>
  <c r="AG26" i="62"/>
  <c r="N26" i="62"/>
  <c r="O26" i="62"/>
  <c r="P26" i="62"/>
  <c r="Q26" i="62"/>
  <c r="L26" i="62"/>
  <c r="Z25" i="62"/>
  <c r="AA25" i="62"/>
  <c r="AB25" i="62"/>
  <c r="AD25" i="62"/>
  <c r="AE25" i="62"/>
  <c r="AF25" i="62"/>
  <c r="AG25" i="62"/>
  <c r="L25" i="62"/>
  <c r="N25" i="62"/>
  <c r="O25" i="62"/>
  <c r="P25" i="62"/>
  <c r="Q25" i="62"/>
  <c r="Z24" i="62"/>
  <c r="AA24" i="62"/>
  <c r="AB24" i="62"/>
  <c r="AD24" i="62"/>
  <c r="AE24" i="62"/>
  <c r="AF24" i="62"/>
  <c r="AG24" i="62"/>
  <c r="N24" i="62"/>
  <c r="O24" i="62"/>
  <c r="P24" i="62"/>
  <c r="Q24" i="62"/>
  <c r="L24" i="62"/>
  <c r="Z23" i="62"/>
  <c r="AA23" i="62"/>
  <c r="AB23" i="62"/>
  <c r="AD23" i="62"/>
  <c r="AE23" i="62"/>
  <c r="AF23" i="62"/>
  <c r="AG23" i="62"/>
  <c r="N23" i="62"/>
  <c r="O23" i="62"/>
  <c r="P23" i="62"/>
  <c r="Q23" i="62"/>
  <c r="L23" i="62"/>
  <c r="Z22" i="62"/>
  <c r="AA22" i="62"/>
  <c r="AB22" i="62"/>
  <c r="AD22" i="62"/>
  <c r="AE22" i="62"/>
  <c r="AF22" i="62"/>
  <c r="AG22" i="62"/>
  <c r="N22" i="62"/>
  <c r="O22" i="62"/>
  <c r="P22" i="62"/>
  <c r="Q22" i="62"/>
  <c r="L22" i="62"/>
  <c r="Z21" i="62"/>
  <c r="AA21" i="62"/>
  <c r="AB21" i="62"/>
  <c r="AD21" i="62"/>
  <c r="AE21" i="62"/>
  <c r="AF21" i="62"/>
  <c r="AG21" i="62"/>
  <c r="Z20" i="62"/>
  <c r="AA20" i="62"/>
  <c r="AB20" i="62"/>
  <c r="AD20" i="62"/>
  <c r="AE20" i="62"/>
  <c r="AF20" i="62"/>
  <c r="AG20" i="62"/>
  <c r="N21" i="62"/>
  <c r="O21" i="62"/>
  <c r="P21" i="62"/>
  <c r="Q21" i="62"/>
  <c r="L21" i="62"/>
  <c r="N20" i="62"/>
  <c r="O20" i="62"/>
  <c r="P20" i="62"/>
  <c r="Q20" i="62"/>
  <c r="L20" i="62"/>
  <c r="Z19" i="62"/>
  <c r="AA19" i="62"/>
  <c r="AB19" i="62"/>
  <c r="AD19" i="62"/>
  <c r="AE19" i="62"/>
  <c r="AF19" i="62"/>
  <c r="AG19" i="62"/>
  <c r="N19" i="62"/>
  <c r="O19" i="62"/>
  <c r="P19" i="62"/>
  <c r="Q19" i="62"/>
  <c r="L19" i="62"/>
  <c r="AE18" i="62"/>
  <c r="AF18" i="62"/>
  <c r="Z18" i="62"/>
  <c r="AA18" i="62"/>
  <c r="AB18" i="62"/>
  <c r="AD18" i="62"/>
  <c r="L18" i="62"/>
  <c r="N18" i="62"/>
  <c r="O18" i="62"/>
  <c r="P18" i="62"/>
  <c r="Q18" i="62"/>
  <c r="Z17" i="62"/>
  <c r="AA17" i="62"/>
  <c r="AB17" i="62"/>
  <c r="AD17" i="62"/>
  <c r="AE17" i="62"/>
  <c r="AF17" i="62"/>
  <c r="AG17" i="62"/>
  <c r="N17" i="62"/>
  <c r="O17" i="62"/>
  <c r="P17" i="62"/>
  <c r="Q17" i="62"/>
  <c r="L17" i="62"/>
  <c r="Z16" i="62"/>
  <c r="AA16" i="62"/>
  <c r="AB16" i="62"/>
  <c r="AD16" i="62"/>
  <c r="AE16" i="62"/>
  <c r="AF16" i="62"/>
  <c r="AG16" i="62"/>
  <c r="N16" i="62"/>
  <c r="O16" i="62"/>
  <c r="P16" i="62"/>
  <c r="Q16" i="62"/>
  <c r="L16" i="62"/>
  <c r="Z15" i="62"/>
  <c r="AA15" i="62"/>
  <c r="AB15" i="62"/>
  <c r="AD15" i="62"/>
  <c r="AE15" i="62"/>
  <c r="AF15" i="62"/>
  <c r="AG15" i="62"/>
  <c r="N15" i="62"/>
  <c r="O15" i="62"/>
  <c r="P15" i="62"/>
  <c r="Q15" i="62"/>
  <c r="L15" i="62"/>
  <c r="Z14" i="62"/>
  <c r="AA14" i="62"/>
  <c r="AB14" i="62"/>
  <c r="AD14" i="62"/>
  <c r="AE14" i="62"/>
  <c r="AF14" i="62"/>
  <c r="AG14" i="62"/>
  <c r="Z13" i="62"/>
  <c r="AA13" i="62"/>
  <c r="AB13" i="62"/>
  <c r="AD13" i="62"/>
  <c r="AE13" i="62"/>
  <c r="AF13" i="62"/>
  <c r="AG13" i="62"/>
  <c r="N14" i="62"/>
  <c r="O14" i="62"/>
  <c r="P14" i="62"/>
  <c r="Q14" i="62"/>
  <c r="N13" i="62"/>
  <c r="O13" i="62"/>
  <c r="P13" i="62"/>
  <c r="Q13" i="62"/>
  <c r="L14" i="62"/>
  <c r="L13" i="62"/>
  <c r="Z12" i="62"/>
  <c r="AA12" i="62"/>
  <c r="AB12" i="62"/>
  <c r="AD12" i="62"/>
  <c r="AE12" i="62"/>
  <c r="AF12" i="62"/>
  <c r="AG12" i="62"/>
  <c r="L12" i="62"/>
  <c r="N12" i="62"/>
  <c r="O12" i="62"/>
  <c r="P12" i="62"/>
  <c r="Q12" i="62"/>
  <c r="Z11" i="62"/>
  <c r="AA11" i="62"/>
  <c r="AB11" i="62"/>
  <c r="AD11" i="62"/>
  <c r="AE11" i="62"/>
  <c r="AF11" i="62"/>
  <c r="AG11" i="62"/>
  <c r="N12" i="45"/>
  <c r="N11" i="62"/>
  <c r="O11" i="62"/>
  <c r="P11" i="62"/>
  <c r="Q11" i="62"/>
  <c r="L11" i="62"/>
  <c r="Z10" i="62"/>
  <c r="AA10" i="62"/>
  <c r="AB10" i="62"/>
  <c r="AD10" i="62"/>
  <c r="AE10" i="62"/>
  <c r="AF10" i="62"/>
  <c r="N10" i="62"/>
  <c r="P10" i="62"/>
  <c r="Q10" i="62"/>
  <c r="L10" i="62"/>
  <c r="Z9" i="62"/>
  <c r="AA9" i="62"/>
  <c r="AB9" i="62"/>
  <c r="AD9" i="62"/>
  <c r="AE9" i="62"/>
  <c r="AF9" i="62"/>
  <c r="AG9" i="62"/>
  <c r="L9" i="62"/>
  <c r="N9" i="62"/>
  <c r="O9" i="62"/>
  <c r="P9" i="62"/>
  <c r="Q9" i="62"/>
  <c r="Z8" i="62"/>
  <c r="Z7" i="62"/>
  <c r="Z6" i="62"/>
  <c r="Z5" i="62"/>
  <c r="AF8" i="62"/>
  <c r="AE8" i="62"/>
  <c r="AD8" i="62"/>
  <c r="AB8" i="62"/>
  <c r="AA8" i="62"/>
  <c r="AG8" i="62" s="1"/>
  <c r="Q8" i="62"/>
  <c r="P8" i="62"/>
  <c r="O8" i="62"/>
  <c r="N8" i="62"/>
  <c r="L8" i="62"/>
  <c r="AF7" i="62"/>
  <c r="AE7" i="62"/>
  <c r="AD7" i="62"/>
  <c r="AB7" i="62"/>
  <c r="AA7" i="62"/>
  <c r="AG7" i="62" s="1"/>
  <c r="Q7" i="62"/>
  <c r="P7" i="62"/>
  <c r="O7" i="62"/>
  <c r="N7" i="62"/>
  <c r="L7" i="62"/>
  <c r="AF6" i="62"/>
  <c r="AE6" i="62"/>
  <c r="AD6" i="62"/>
  <c r="AB6" i="62"/>
  <c r="AA6" i="62"/>
  <c r="AG6" i="62" s="1"/>
  <c r="Q6" i="62"/>
  <c r="P6" i="62"/>
  <c r="O6" i="62"/>
  <c r="N6" i="62"/>
  <c r="L6" i="62"/>
  <c r="AF5" i="62"/>
  <c r="AE5" i="62"/>
  <c r="AD5" i="62"/>
  <c r="AB5" i="62"/>
  <c r="AA5" i="62"/>
  <c r="AG5" i="62" s="1"/>
  <c r="Q5" i="62"/>
  <c r="P5" i="62"/>
  <c r="O5" i="62"/>
  <c r="N5" i="62"/>
  <c r="L5" i="62"/>
  <c r="G38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AJ15" i="62"/>
  <c r="G15" i="62"/>
  <c r="G14" i="62"/>
  <c r="G13" i="62"/>
  <c r="G12" i="62"/>
  <c r="G11" i="62"/>
  <c r="AL10" i="62"/>
  <c r="AM10" i="62" s="1"/>
  <c r="AN10" i="62" s="1"/>
  <c r="AO10" i="62" s="1"/>
  <c r="G10" i="62"/>
  <c r="G9" i="62"/>
  <c r="G8" i="62"/>
  <c r="G7" i="62"/>
  <c r="G6" i="62"/>
  <c r="G5" i="62"/>
  <c r="G89" i="61"/>
  <c r="G90" i="61" s="1"/>
  <c r="G80" i="61"/>
  <c r="G81" i="61" s="1"/>
  <c r="F80" i="61"/>
  <c r="G46" i="61"/>
  <c r="G47" i="61" s="1"/>
  <c r="F46" i="61"/>
  <c r="G17" i="61"/>
  <c r="G18" i="61" s="1"/>
  <c r="F17" i="61"/>
  <c r="AK15" i="59"/>
  <c r="AL15" i="59"/>
  <c r="AM15" i="59"/>
  <c r="AN15" i="59"/>
  <c r="AO15" i="59"/>
  <c r="AK10" i="59"/>
  <c r="C47" i="59"/>
  <c r="C48" i="59"/>
  <c r="C49" i="59"/>
  <c r="C50" i="59"/>
  <c r="L37" i="59"/>
  <c r="L36" i="59"/>
  <c r="L35" i="59"/>
  <c r="AL10" i="59"/>
  <c r="AM10" i="59" s="1"/>
  <c r="AN10" i="59" s="1"/>
  <c r="AO10" i="59" s="1"/>
  <c r="L34" i="59"/>
  <c r="L33" i="59"/>
  <c r="L32" i="59"/>
  <c r="AC31" i="59"/>
  <c r="Z31" i="59"/>
  <c r="L31" i="59"/>
  <c r="Z30" i="59"/>
  <c r="AC30" i="59"/>
  <c r="L30" i="59"/>
  <c r="Z29" i="59"/>
  <c r="AC29" i="59"/>
  <c r="L29" i="59"/>
  <c r="I42" i="59"/>
  <c r="Z28" i="59"/>
  <c r="AC28" i="59"/>
  <c r="L28" i="59"/>
  <c r="L27" i="59"/>
  <c r="Z27" i="59"/>
  <c r="AC27" i="59"/>
  <c r="L26" i="59"/>
  <c r="Z26" i="59"/>
  <c r="AC26" i="59"/>
  <c r="Z25" i="59"/>
  <c r="AC25" i="59"/>
  <c r="Z24" i="59"/>
  <c r="AC24" i="59"/>
  <c r="Z23" i="59"/>
  <c r="AC23" i="59"/>
  <c r="Z22" i="59"/>
  <c r="AC22" i="59"/>
  <c r="L25" i="59"/>
  <c r="L22" i="59"/>
  <c r="L23" i="59"/>
  <c r="L24" i="59"/>
  <c r="Z21" i="59"/>
  <c r="AC21" i="59"/>
  <c r="L21" i="59"/>
  <c r="L20" i="59"/>
  <c r="Z20" i="59"/>
  <c r="AC20" i="59"/>
  <c r="Z19" i="59"/>
  <c r="AC19" i="59"/>
  <c r="L19" i="59"/>
  <c r="L18" i="59"/>
  <c r="Z18" i="59"/>
  <c r="AC18" i="59"/>
  <c r="Z17" i="59"/>
  <c r="AC17" i="59"/>
  <c r="L17" i="59"/>
  <c r="Z16" i="59"/>
  <c r="AC16" i="59"/>
  <c r="L16" i="59"/>
  <c r="Z15" i="59"/>
  <c r="AC15" i="59"/>
  <c r="L15" i="59"/>
  <c r="Z14" i="59"/>
  <c r="AC14" i="59"/>
  <c r="L14" i="59"/>
  <c r="L13" i="59"/>
  <c r="C11" i="45"/>
  <c r="G8" i="59"/>
  <c r="G9" i="59"/>
  <c r="G10" i="59"/>
  <c r="G11" i="59"/>
  <c r="G35" i="59"/>
  <c r="G36" i="59"/>
  <c r="G37" i="59"/>
  <c r="G12" i="59"/>
  <c r="G13" i="59"/>
  <c r="G14" i="59"/>
  <c r="G15" i="59"/>
  <c r="G16" i="59"/>
  <c r="G17" i="59"/>
  <c r="G18" i="59"/>
  <c r="G19" i="59"/>
  <c r="G20" i="59"/>
  <c r="G21" i="59"/>
  <c r="G22" i="59"/>
  <c r="G23" i="59"/>
  <c r="G24" i="59"/>
  <c r="G25" i="59"/>
  <c r="G26" i="59"/>
  <c r="G27" i="59"/>
  <c r="G28" i="59"/>
  <c r="G29" i="59"/>
  <c r="G30" i="59"/>
  <c r="G31" i="59"/>
  <c r="G32" i="59"/>
  <c r="G33" i="59"/>
  <c r="G34" i="59"/>
  <c r="L12" i="59"/>
  <c r="Z12" i="59"/>
  <c r="Z13" i="59"/>
  <c r="AC12" i="59"/>
  <c r="AC13" i="59"/>
  <c r="G80" i="60"/>
  <c r="F80" i="60"/>
  <c r="G80" i="57"/>
  <c r="G79" i="54"/>
  <c r="G81" i="60"/>
  <c r="M27" i="57"/>
  <c r="G17" i="60"/>
  <c r="F17" i="60"/>
  <c r="AJ15" i="59"/>
  <c r="L8" i="59"/>
  <c r="L9" i="59"/>
  <c r="L10" i="59"/>
  <c r="L11" i="59"/>
  <c r="Z8" i="59"/>
  <c r="AC8" i="59"/>
  <c r="Z9" i="59"/>
  <c r="AC9" i="59"/>
  <c r="Z10" i="59"/>
  <c r="AC10" i="59"/>
  <c r="Z11" i="59"/>
  <c r="AC11" i="59"/>
  <c r="G5" i="59"/>
  <c r="L5" i="59"/>
  <c r="Z5" i="59"/>
  <c r="AC5" i="59"/>
  <c r="G6" i="59"/>
  <c r="L6" i="59"/>
  <c r="Z6" i="59"/>
  <c r="AC6" i="59"/>
  <c r="G7" i="59"/>
  <c r="L7" i="59"/>
  <c r="Z7" i="59"/>
  <c r="AC7" i="59"/>
  <c r="G89" i="60"/>
  <c r="G90" i="60" s="1"/>
  <c r="G46" i="60"/>
  <c r="G47" i="60" s="1"/>
  <c r="F46" i="60"/>
  <c r="C51" i="59"/>
  <c r="AP12" i="58"/>
  <c r="AP10" i="58"/>
  <c r="AP9" i="58"/>
  <c r="AP8" i="58"/>
  <c r="AP7" i="58"/>
  <c r="AL6" i="58"/>
  <c r="Z35" i="58"/>
  <c r="AA35" i="58"/>
  <c r="AB35" i="58"/>
  <c r="AC35" i="58"/>
  <c r="AD35" i="58"/>
  <c r="AE35" i="58"/>
  <c r="AF35" i="58"/>
  <c r="AG35" i="58"/>
  <c r="N35" i="58"/>
  <c r="C44" i="58" s="1"/>
  <c r="O35" i="58"/>
  <c r="C45" i="58" s="1"/>
  <c r="P35" i="58"/>
  <c r="C46" i="58" s="1"/>
  <c r="Q35" i="58"/>
  <c r="C47" i="58" s="1"/>
  <c r="L35" i="58"/>
  <c r="AP11" i="58" s="1"/>
  <c r="Z34" i="58"/>
  <c r="AA34" i="58"/>
  <c r="AB34" i="58"/>
  <c r="AC34" i="58"/>
  <c r="AD34" i="58"/>
  <c r="AE34" i="58"/>
  <c r="AF34" i="58"/>
  <c r="AG34" i="58"/>
  <c r="N34" i="58"/>
  <c r="O34" i="58"/>
  <c r="P34" i="58"/>
  <c r="Q34" i="58"/>
  <c r="L34" i="58"/>
  <c r="Z33" i="58"/>
  <c r="AA33" i="58"/>
  <c r="AB33" i="58"/>
  <c r="AC33" i="58"/>
  <c r="AD33" i="58"/>
  <c r="AE33" i="58"/>
  <c r="AF33" i="58"/>
  <c r="AG33" i="58"/>
  <c r="N33" i="58"/>
  <c r="O33" i="58"/>
  <c r="P33" i="58"/>
  <c r="Q33" i="58"/>
  <c r="Z32" i="58"/>
  <c r="AA32" i="58"/>
  <c r="AB32" i="58"/>
  <c r="AC32" i="58"/>
  <c r="AD32" i="58"/>
  <c r="AE32" i="58"/>
  <c r="AF32" i="58"/>
  <c r="AG32" i="58"/>
  <c r="N32" i="58"/>
  <c r="O32" i="58"/>
  <c r="P32" i="58"/>
  <c r="Q32" i="58"/>
  <c r="Z31" i="58"/>
  <c r="AA31" i="58"/>
  <c r="AB31" i="58"/>
  <c r="AC31" i="58"/>
  <c r="AD31" i="58"/>
  <c r="AE31" i="58"/>
  <c r="AF31" i="58"/>
  <c r="AG31" i="58"/>
  <c r="N31" i="58"/>
  <c r="O31" i="58"/>
  <c r="P31" i="58"/>
  <c r="Q31" i="58"/>
  <c r="Z30" i="58"/>
  <c r="AA30" i="58"/>
  <c r="AB30" i="58"/>
  <c r="AC30" i="58"/>
  <c r="AD30" i="58"/>
  <c r="AE30" i="58"/>
  <c r="AF30" i="58"/>
  <c r="AG30" i="58"/>
  <c r="N30" i="58"/>
  <c r="O30" i="58"/>
  <c r="P30" i="58"/>
  <c r="Q30" i="58"/>
  <c r="Z29" i="58"/>
  <c r="AA29" i="58"/>
  <c r="AB29" i="58"/>
  <c r="AC29" i="58"/>
  <c r="AD29" i="58"/>
  <c r="AE29" i="58"/>
  <c r="AF29" i="58"/>
  <c r="AG29" i="58"/>
  <c r="L30" i="58"/>
  <c r="L31" i="58"/>
  <c r="L32" i="58"/>
  <c r="L33" i="58"/>
  <c r="L27" i="58"/>
  <c r="L28" i="58"/>
  <c r="L29" i="58"/>
  <c r="N29" i="58"/>
  <c r="O29" i="58"/>
  <c r="P29" i="58"/>
  <c r="Q29" i="58"/>
  <c r="Z28" i="58"/>
  <c r="AA28" i="58"/>
  <c r="AB28" i="58"/>
  <c r="AC28" i="58"/>
  <c r="AD28" i="58"/>
  <c r="AE28" i="58"/>
  <c r="AF28" i="58"/>
  <c r="AG28" i="58"/>
  <c r="N28" i="58"/>
  <c r="O28" i="58"/>
  <c r="P28" i="58"/>
  <c r="Q28" i="58"/>
  <c r="O27" i="58"/>
  <c r="P27" i="58"/>
  <c r="Q27" i="58"/>
  <c r="N27" i="58"/>
  <c r="Z27" i="58"/>
  <c r="AA27" i="58"/>
  <c r="AB27" i="58"/>
  <c r="AC27" i="58"/>
  <c r="AD27" i="58"/>
  <c r="AE27" i="58"/>
  <c r="AF27" i="58"/>
  <c r="AG27" i="58"/>
  <c r="L26" i="58"/>
  <c r="Z26" i="58"/>
  <c r="AA26" i="58"/>
  <c r="AB26" i="58"/>
  <c r="AC26" i="58"/>
  <c r="AD26" i="58"/>
  <c r="AE26" i="58"/>
  <c r="AF26" i="58"/>
  <c r="AG26" i="58"/>
  <c r="N26" i="58"/>
  <c r="O26" i="58"/>
  <c r="P26" i="58"/>
  <c r="Q26" i="58"/>
  <c r="AD25" i="58"/>
  <c r="AE25" i="58"/>
  <c r="AF25" i="58"/>
  <c r="Z25" i="58"/>
  <c r="AA25" i="58"/>
  <c r="AB25" i="58"/>
  <c r="AC25" i="58"/>
  <c r="N25" i="58"/>
  <c r="O25" i="58"/>
  <c r="P25" i="58"/>
  <c r="Q25" i="58"/>
  <c r="L25" i="58"/>
  <c r="Z24" i="58"/>
  <c r="AA24" i="58"/>
  <c r="AB24" i="58"/>
  <c r="AC24" i="58"/>
  <c r="AD24" i="58"/>
  <c r="AE24" i="58"/>
  <c r="AF24" i="58"/>
  <c r="AG24" i="58"/>
  <c r="N24" i="58"/>
  <c r="O24" i="58"/>
  <c r="P24" i="58"/>
  <c r="Q24" i="58"/>
  <c r="L24" i="58"/>
  <c r="AD23" i="58"/>
  <c r="AE23" i="58"/>
  <c r="AF23" i="58"/>
  <c r="Z23" i="58"/>
  <c r="AA23" i="58"/>
  <c r="AB23" i="58"/>
  <c r="AC23" i="58"/>
  <c r="N23" i="58"/>
  <c r="O23" i="58"/>
  <c r="P23" i="58"/>
  <c r="Q23" i="58"/>
  <c r="AD22" i="58"/>
  <c r="AE22" i="58"/>
  <c r="AF22" i="58"/>
  <c r="AA22" i="58"/>
  <c r="AB22" i="58"/>
  <c r="AC22" i="58"/>
  <c r="Z22" i="58"/>
  <c r="AG22" i="58" s="1"/>
  <c r="Q22" i="58"/>
  <c r="P22" i="58"/>
  <c r="O22" i="58"/>
  <c r="N22" i="58"/>
  <c r="L23" i="58"/>
  <c r="L22" i="58"/>
  <c r="Z21" i="58"/>
  <c r="AA21" i="58"/>
  <c r="AB21" i="58"/>
  <c r="AC21" i="58"/>
  <c r="AA20" i="58"/>
  <c r="AD21" i="58"/>
  <c r="AE21" i="58"/>
  <c r="AF21" i="58"/>
  <c r="AG21" i="58"/>
  <c r="N21" i="58"/>
  <c r="O21" i="58"/>
  <c r="P21" i="58"/>
  <c r="Q21" i="58"/>
  <c r="L21" i="58"/>
  <c r="Z20" i="58"/>
  <c r="AB20" i="58"/>
  <c r="AC20" i="58"/>
  <c r="AD20" i="58"/>
  <c r="AE20" i="58"/>
  <c r="AF20" i="58"/>
  <c r="AG20" i="58"/>
  <c r="L20" i="58"/>
  <c r="Q20" i="58"/>
  <c r="P20" i="58"/>
  <c r="O20" i="58"/>
  <c r="N20" i="58"/>
  <c r="AK11" i="58"/>
  <c r="AG14" i="58"/>
  <c r="AF14" i="58"/>
  <c r="AE14" i="58"/>
  <c r="AD14" i="58"/>
  <c r="AC14" i="58"/>
  <c r="AB14" i="58"/>
  <c r="AA14" i="58"/>
  <c r="Z14" i="58"/>
  <c r="Q14" i="58"/>
  <c r="P14" i="58"/>
  <c r="O14" i="58"/>
  <c r="N14" i="58"/>
  <c r="L14" i="58"/>
  <c r="AG13" i="58"/>
  <c r="AF13" i="58"/>
  <c r="AE13" i="58"/>
  <c r="AD13" i="58"/>
  <c r="AC13" i="58"/>
  <c r="AB13" i="58"/>
  <c r="AA13" i="58"/>
  <c r="Z13" i="58"/>
  <c r="Q13" i="58"/>
  <c r="P13" i="58"/>
  <c r="O13" i="58"/>
  <c r="N13" i="58"/>
  <c r="L13" i="58"/>
  <c r="AG12" i="58"/>
  <c r="AF12" i="58"/>
  <c r="AE12" i="58"/>
  <c r="AD12" i="58"/>
  <c r="AC12" i="58"/>
  <c r="AB12" i="58"/>
  <c r="AA12" i="58"/>
  <c r="Z12" i="58"/>
  <c r="Q12" i="58"/>
  <c r="P12" i="58"/>
  <c r="O12" i="58"/>
  <c r="N12" i="58"/>
  <c r="L12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15" i="58"/>
  <c r="G16" i="58"/>
  <c r="G17" i="58"/>
  <c r="G18" i="58"/>
  <c r="L15" i="58"/>
  <c r="L16" i="58"/>
  <c r="L17" i="58"/>
  <c r="L18" i="58"/>
  <c r="N15" i="58"/>
  <c r="N16" i="58"/>
  <c r="N17" i="58"/>
  <c r="N18" i="58"/>
  <c r="O15" i="58"/>
  <c r="O16" i="58"/>
  <c r="O17" i="58"/>
  <c r="O18" i="58"/>
  <c r="P15" i="58"/>
  <c r="P16" i="58"/>
  <c r="P17" i="58"/>
  <c r="P18" i="58"/>
  <c r="Q15" i="58"/>
  <c r="Q16" i="58"/>
  <c r="Q17" i="58"/>
  <c r="Q18" i="58"/>
  <c r="Z15" i="58"/>
  <c r="Z16" i="58"/>
  <c r="Z17" i="58"/>
  <c r="Z18" i="58"/>
  <c r="AA15" i="58"/>
  <c r="AA16" i="58"/>
  <c r="AA17" i="58"/>
  <c r="AA18" i="58"/>
  <c r="AB15" i="58"/>
  <c r="AB16" i="58"/>
  <c r="AB17" i="58"/>
  <c r="AB18" i="58"/>
  <c r="AC15" i="58"/>
  <c r="AC16" i="58"/>
  <c r="AC17" i="58"/>
  <c r="AC18" i="58"/>
  <c r="AD15" i="58"/>
  <c r="AD16" i="58"/>
  <c r="AD17" i="58"/>
  <c r="AD18" i="58"/>
  <c r="AE15" i="58"/>
  <c r="AE16" i="58"/>
  <c r="AE17" i="58"/>
  <c r="AE18" i="58"/>
  <c r="AF15" i="58"/>
  <c r="AF16" i="58"/>
  <c r="AF17" i="58"/>
  <c r="AF18" i="58"/>
  <c r="AG15" i="58"/>
  <c r="AG16" i="58"/>
  <c r="AG17" i="58"/>
  <c r="G14" i="58"/>
  <c r="G20" i="58"/>
  <c r="G21" i="58"/>
  <c r="G19" i="58"/>
  <c r="L19" i="58"/>
  <c r="N19" i="58"/>
  <c r="O19" i="58"/>
  <c r="P19" i="58"/>
  <c r="Q19" i="58"/>
  <c r="Z19" i="58"/>
  <c r="AA19" i="58"/>
  <c r="AB19" i="58"/>
  <c r="AC19" i="58"/>
  <c r="AD19" i="58"/>
  <c r="AE19" i="58"/>
  <c r="AF19" i="58"/>
  <c r="AG19" i="58"/>
  <c r="G22" i="58"/>
  <c r="G23" i="58"/>
  <c r="G24" i="58"/>
  <c r="G25" i="58"/>
  <c r="G38" i="58"/>
  <c r="AL5" i="53"/>
  <c r="AF44" i="53"/>
  <c r="AE44" i="53"/>
  <c r="AD44" i="53"/>
  <c r="AB44" i="53"/>
  <c r="AC44" i="53"/>
  <c r="AA44" i="53"/>
  <c r="Z44" i="53"/>
  <c r="AG44" i="53" s="1"/>
  <c r="Q44" i="53"/>
  <c r="P44" i="53"/>
  <c r="O44" i="53"/>
  <c r="N44" i="53"/>
  <c r="L44" i="53"/>
  <c r="AF43" i="53"/>
  <c r="AE43" i="53"/>
  <c r="AD43" i="53"/>
  <c r="AC43" i="53"/>
  <c r="AB43" i="53"/>
  <c r="AA43" i="53"/>
  <c r="Z43" i="53"/>
  <c r="AG43" i="53" s="1"/>
  <c r="Q43" i="53"/>
  <c r="N43" i="53"/>
  <c r="O43" i="53"/>
  <c r="P43" i="53"/>
  <c r="L43" i="53"/>
  <c r="AF42" i="53"/>
  <c r="AE42" i="53"/>
  <c r="AD42" i="53"/>
  <c r="AC42" i="53"/>
  <c r="AB42" i="53"/>
  <c r="AA42" i="53"/>
  <c r="Z42" i="53"/>
  <c r="AG42" i="53" s="1"/>
  <c r="L42" i="53"/>
  <c r="P42" i="53"/>
  <c r="O42" i="53"/>
  <c r="N42" i="53"/>
  <c r="Q42" i="53"/>
  <c r="G5" i="58"/>
  <c r="F47" i="57"/>
  <c r="G39" i="58"/>
  <c r="G13" i="58"/>
  <c r="G12" i="58"/>
  <c r="AF11" i="58"/>
  <c r="AE11" i="58"/>
  <c r="AD11" i="58"/>
  <c r="AC11" i="58"/>
  <c r="AB11" i="58"/>
  <c r="AA11" i="58"/>
  <c r="Z11" i="58"/>
  <c r="AG11" i="58" s="1"/>
  <c r="Q11" i="58"/>
  <c r="P11" i="58"/>
  <c r="O11" i="58"/>
  <c r="N11" i="58"/>
  <c r="L11" i="58"/>
  <c r="G11" i="58"/>
  <c r="AF10" i="58"/>
  <c r="AE10" i="58"/>
  <c r="AD10" i="58"/>
  <c r="AC10" i="58"/>
  <c r="AB10" i="58"/>
  <c r="AA10" i="58"/>
  <c r="Z10" i="58"/>
  <c r="AG10" i="58" s="1"/>
  <c r="Q10" i="58"/>
  <c r="P10" i="58"/>
  <c r="O10" i="58"/>
  <c r="N10" i="58"/>
  <c r="L10" i="58"/>
  <c r="G10" i="58"/>
  <c r="AF9" i="58"/>
  <c r="AE9" i="58"/>
  <c r="AD9" i="58"/>
  <c r="AC9" i="58"/>
  <c r="AB9" i="58"/>
  <c r="AA9" i="58"/>
  <c r="Z9" i="58"/>
  <c r="AG9" i="58" s="1"/>
  <c r="Q9" i="58"/>
  <c r="P9" i="58"/>
  <c r="O9" i="58"/>
  <c r="N9" i="58"/>
  <c r="L9" i="58"/>
  <c r="G9" i="58"/>
  <c r="AF8" i="58"/>
  <c r="AE8" i="58"/>
  <c r="AD8" i="58"/>
  <c r="AC8" i="58"/>
  <c r="AB8" i="58"/>
  <c r="AA8" i="58"/>
  <c r="Z8" i="58"/>
  <c r="AG8" i="58" s="1"/>
  <c r="Q8" i="58"/>
  <c r="P8" i="58"/>
  <c r="O8" i="58"/>
  <c r="N8" i="58"/>
  <c r="L8" i="58"/>
  <c r="G8" i="58"/>
  <c r="AF7" i="58"/>
  <c r="AE7" i="58"/>
  <c r="AD7" i="58"/>
  <c r="AC7" i="58"/>
  <c r="AB7" i="58"/>
  <c r="AA7" i="58"/>
  <c r="Z7" i="58"/>
  <c r="AG7" i="58" s="1"/>
  <c r="Q7" i="58"/>
  <c r="P7" i="58"/>
  <c r="O7" i="58"/>
  <c r="N7" i="58"/>
  <c r="L7" i="58"/>
  <c r="G7" i="58"/>
  <c r="AF6" i="58"/>
  <c r="AE6" i="58"/>
  <c r="AD6" i="58"/>
  <c r="AC6" i="58"/>
  <c r="AB6" i="58"/>
  <c r="AA6" i="58"/>
  <c r="Z6" i="58"/>
  <c r="AG6" i="58" s="1"/>
  <c r="Q6" i="58"/>
  <c r="P6" i="58"/>
  <c r="O6" i="58"/>
  <c r="N6" i="58"/>
  <c r="L6" i="58"/>
  <c r="G6" i="58"/>
  <c r="AF5" i="58"/>
  <c r="AE5" i="58"/>
  <c r="AD5" i="58"/>
  <c r="AC5" i="58"/>
  <c r="AB5" i="58"/>
  <c r="AA5" i="58"/>
  <c r="Z5" i="58"/>
  <c r="AG5" i="58" s="1"/>
  <c r="Q5" i="58"/>
  <c r="P5" i="58"/>
  <c r="O5" i="58"/>
  <c r="N5" i="58"/>
  <c r="L5" i="58"/>
  <c r="AM6" i="58"/>
  <c r="AN6" i="58" s="1"/>
  <c r="AO6" i="58" s="1"/>
  <c r="AP6" i="58" s="1"/>
  <c r="G89" i="57"/>
  <c r="G90" i="57" s="1"/>
  <c r="G81" i="57"/>
  <c r="F80" i="57"/>
  <c r="G47" i="57"/>
  <c r="G48" i="57" s="1"/>
  <c r="G17" i="57"/>
  <c r="G18" i="57" s="1"/>
  <c r="F17" i="57"/>
  <c r="AD41" i="53"/>
  <c r="AE41" i="53"/>
  <c r="AF41" i="53"/>
  <c r="AA41" i="53"/>
  <c r="AB41" i="53"/>
  <c r="AC41" i="53"/>
  <c r="Z41" i="53"/>
  <c r="AG41" i="53" s="1"/>
  <c r="Q41" i="53"/>
  <c r="P41" i="53"/>
  <c r="O41" i="53"/>
  <c r="N41" i="53"/>
  <c r="L41" i="53"/>
  <c r="AF40" i="53"/>
  <c r="AE40" i="53"/>
  <c r="AD40" i="53"/>
  <c r="AC40" i="53"/>
  <c r="AB40" i="53"/>
  <c r="AA40" i="53"/>
  <c r="Z40" i="53"/>
  <c r="AG40" i="53" s="1"/>
  <c r="Q40" i="53"/>
  <c r="P40" i="53"/>
  <c r="O40" i="53"/>
  <c r="N40" i="53"/>
  <c r="L40" i="53"/>
  <c r="AF39" i="53"/>
  <c r="AE39" i="53"/>
  <c r="AD39" i="53"/>
  <c r="AC39" i="53"/>
  <c r="AB39" i="53"/>
  <c r="AA39" i="53"/>
  <c r="Z39" i="53"/>
  <c r="AG39" i="53" s="1"/>
  <c r="Q39" i="53"/>
  <c r="P39" i="53"/>
  <c r="O39" i="53"/>
  <c r="N39" i="53"/>
  <c r="L39" i="53"/>
  <c r="AF38" i="53"/>
  <c r="AE38" i="53"/>
  <c r="AD38" i="53"/>
  <c r="AC38" i="53"/>
  <c r="AB38" i="53"/>
  <c r="AA38" i="53"/>
  <c r="Z38" i="53"/>
  <c r="AG38" i="53" s="1"/>
  <c r="Q38" i="53"/>
  <c r="P38" i="53"/>
  <c r="O38" i="53"/>
  <c r="N38" i="53"/>
  <c r="L38" i="53"/>
  <c r="AF37" i="53"/>
  <c r="AE37" i="53"/>
  <c r="AD37" i="53"/>
  <c r="AC37" i="53"/>
  <c r="AB37" i="53"/>
  <c r="AA37" i="53"/>
  <c r="Z37" i="53"/>
  <c r="AG37" i="53" s="1"/>
  <c r="Q37" i="53"/>
  <c r="P37" i="53"/>
  <c r="O37" i="53"/>
  <c r="N37" i="53"/>
  <c r="L37" i="53"/>
  <c r="Z35" i="53"/>
  <c r="AA35" i="53"/>
  <c r="AB35" i="53"/>
  <c r="AC35" i="53"/>
  <c r="AD35" i="53"/>
  <c r="AE35" i="53"/>
  <c r="AF35" i="53"/>
  <c r="Z36" i="53"/>
  <c r="AA36" i="53"/>
  <c r="AB36" i="53"/>
  <c r="AC36" i="53"/>
  <c r="AD36" i="53"/>
  <c r="AE36" i="53"/>
  <c r="AF36" i="53"/>
  <c r="N35" i="53"/>
  <c r="O35" i="53"/>
  <c r="P35" i="53"/>
  <c r="Q35" i="53"/>
  <c r="N36" i="53"/>
  <c r="O36" i="53"/>
  <c r="P36" i="53"/>
  <c r="Q36" i="53"/>
  <c r="L36" i="53"/>
  <c r="L35" i="53"/>
  <c r="S56" i="53"/>
  <c r="S55" i="53"/>
  <c r="AF34" i="53"/>
  <c r="AE34" i="53"/>
  <c r="AD34" i="53"/>
  <c r="Z34" i="53"/>
  <c r="N34" i="53"/>
  <c r="AC34" i="53"/>
  <c r="AB34" i="53"/>
  <c r="AA34" i="53"/>
  <c r="P34" i="53"/>
  <c r="L34" i="53"/>
  <c r="Q34" i="53"/>
  <c r="O34" i="53"/>
  <c r="D57" i="53"/>
  <c r="D56" i="53" s="1"/>
  <c r="AF33" i="53"/>
  <c r="AE33" i="53"/>
  <c r="AD33" i="53"/>
  <c r="AC33" i="53"/>
  <c r="AB33" i="53"/>
  <c r="AA33" i="53"/>
  <c r="Z33" i="53"/>
  <c r="AG33" i="53" s="1"/>
  <c r="Q33" i="53"/>
  <c r="P33" i="53"/>
  <c r="O33" i="53"/>
  <c r="N33" i="53"/>
  <c r="L33" i="53"/>
  <c r="AF32" i="53"/>
  <c r="AE32" i="53"/>
  <c r="AD32" i="53"/>
  <c r="AC32" i="53"/>
  <c r="AB32" i="53"/>
  <c r="AA32" i="53"/>
  <c r="Z32" i="53"/>
  <c r="AG32" i="53" s="1"/>
  <c r="Q32" i="53"/>
  <c r="P32" i="53"/>
  <c r="O32" i="53"/>
  <c r="N32" i="53"/>
  <c r="L32" i="53"/>
  <c r="AF31" i="53"/>
  <c r="AE31" i="53"/>
  <c r="AD31" i="53"/>
  <c r="AC31" i="53"/>
  <c r="AB31" i="53"/>
  <c r="Z31" i="53"/>
  <c r="Q31" i="53"/>
  <c r="P31" i="53"/>
  <c r="O31" i="53"/>
  <c r="L31" i="53"/>
  <c r="AA31" i="53"/>
  <c r="N31" i="53"/>
  <c r="Z30" i="53"/>
  <c r="AA30" i="53"/>
  <c r="AB30" i="53"/>
  <c r="AC30" i="53"/>
  <c r="AD30" i="53"/>
  <c r="AE30" i="53"/>
  <c r="AF30" i="53"/>
  <c r="N30" i="53"/>
  <c r="O30" i="53"/>
  <c r="P30" i="53"/>
  <c r="Q30" i="53"/>
  <c r="L30" i="53"/>
  <c r="Z29" i="53"/>
  <c r="AA29" i="53"/>
  <c r="AB29" i="53"/>
  <c r="AC29" i="53"/>
  <c r="AD29" i="53"/>
  <c r="AE29" i="53"/>
  <c r="AF29" i="53"/>
  <c r="Q29" i="53"/>
  <c r="P29" i="53"/>
  <c r="O29" i="53"/>
  <c r="N29" i="53"/>
  <c r="L29" i="53"/>
  <c r="AF28" i="53"/>
  <c r="AE28" i="53"/>
  <c r="AD28" i="53"/>
  <c r="AC28" i="53"/>
  <c r="AB28" i="53"/>
  <c r="AA28" i="53"/>
  <c r="Z28" i="53"/>
  <c r="AG28" i="53" s="1"/>
  <c r="Q28" i="53"/>
  <c r="P28" i="53"/>
  <c r="O28" i="53"/>
  <c r="N28" i="53"/>
  <c r="L28" i="53"/>
  <c r="D8" i="56"/>
  <c r="E8" i="56"/>
  <c r="F8" i="56"/>
  <c r="G8" i="56"/>
  <c r="J8" i="56" s="1"/>
  <c r="H8" i="56"/>
  <c r="I8" i="56"/>
  <c r="C8" i="56"/>
  <c r="J7" i="56"/>
  <c r="J6" i="56"/>
  <c r="J5" i="56"/>
  <c r="AF27" i="53"/>
  <c r="AE27" i="53"/>
  <c r="AD27" i="53"/>
  <c r="AC27" i="53"/>
  <c r="AB27" i="53"/>
  <c r="AA27" i="53"/>
  <c r="Z27" i="53"/>
  <c r="AG27" i="53" s="1"/>
  <c r="N27" i="53"/>
  <c r="O27" i="53"/>
  <c r="P27" i="53"/>
  <c r="Q27" i="53"/>
  <c r="L27" i="53"/>
  <c r="AF26" i="53"/>
  <c r="AF25" i="53"/>
  <c r="AF24" i="53"/>
  <c r="AE26" i="53"/>
  <c r="AE25" i="53"/>
  <c r="AE24" i="53"/>
  <c r="AD26" i="53"/>
  <c r="AD25" i="53"/>
  <c r="AD24" i="53"/>
  <c r="AC26" i="53"/>
  <c r="AC25" i="53"/>
  <c r="AC24" i="53"/>
  <c r="AB26" i="53"/>
  <c r="AB25" i="53"/>
  <c r="AA26" i="53"/>
  <c r="AA25" i="53"/>
  <c r="AA24" i="53"/>
  <c r="Z26" i="53"/>
  <c r="AG26" i="53" s="1"/>
  <c r="Z25" i="53"/>
  <c r="AG25" i="53" s="1"/>
  <c r="Z24" i="53"/>
  <c r="Q26" i="53"/>
  <c r="Q25" i="53"/>
  <c r="P26" i="53"/>
  <c r="P25" i="53"/>
  <c r="O26" i="53"/>
  <c r="O25" i="53"/>
  <c r="N26" i="53"/>
  <c r="N25" i="53"/>
  <c r="L26" i="53"/>
  <c r="L25" i="53"/>
  <c r="AB24" i="53"/>
  <c r="Q24" i="53"/>
  <c r="P24" i="53"/>
  <c r="O24" i="53"/>
  <c r="N24" i="53"/>
  <c r="L24" i="53"/>
  <c r="AF16" i="53"/>
  <c r="AF17" i="53"/>
  <c r="AF18" i="53"/>
  <c r="AF19" i="53"/>
  <c r="AF20" i="53"/>
  <c r="AF21" i="53"/>
  <c r="AF22" i="53"/>
  <c r="AF23" i="53"/>
  <c r="AB16" i="53"/>
  <c r="AC16" i="53"/>
  <c r="AD16" i="53"/>
  <c r="AB17" i="53"/>
  <c r="AC17" i="53"/>
  <c r="AD17" i="53"/>
  <c r="AB18" i="53"/>
  <c r="AC18" i="53"/>
  <c r="AD18" i="53"/>
  <c r="AB19" i="53"/>
  <c r="AC19" i="53"/>
  <c r="AD19" i="53"/>
  <c r="AB20" i="53"/>
  <c r="AC20" i="53"/>
  <c r="AD20" i="53"/>
  <c r="AB21" i="53"/>
  <c r="AC21" i="53"/>
  <c r="AD21" i="53"/>
  <c r="AB22" i="53"/>
  <c r="AC22" i="53"/>
  <c r="AD22" i="53"/>
  <c r="AB23" i="53"/>
  <c r="AC23" i="53"/>
  <c r="AD23" i="53"/>
  <c r="Z16" i="53"/>
  <c r="Z17" i="53"/>
  <c r="Z18" i="53"/>
  <c r="Z19" i="53"/>
  <c r="Z20" i="53"/>
  <c r="Z21" i="53"/>
  <c r="Z22" i="53"/>
  <c r="Z23" i="53"/>
  <c r="AE23" i="53"/>
  <c r="AA23" i="53"/>
  <c r="N23" i="53"/>
  <c r="O23" i="53"/>
  <c r="P23" i="53"/>
  <c r="Q23" i="53"/>
  <c r="L23" i="53"/>
  <c r="AE16" i="53"/>
  <c r="AE17" i="53"/>
  <c r="AE18" i="53"/>
  <c r="AE19" i="53"/>
  <c r="AE20" i="53"/>
  <c r="AE21" i="53"/>
  <c r="AE22" i="53"/>
  <c r="AA16" i="53"/>
  <c r="AA17" i="53"/>
  <c r="AA18" i="53"/>
  <c r="AA19" i="53"/>
  <c r="AA20" i="53"/>
  <c r="AA21" i="53"/>
  <c r="AA22" i="53"/>
  <c r="I56" i="53"/>
  <c r="N21" i="53"/>
  <c r="O21" i="53"/>
  <c r="P21" i="53"/>
  <c r="Q21" i="53"/>
  <c r="N22" i="53"/>
  <c r="O22" i="53"/>
  <c r="P22" i="53"/>
  <c r="Q22" i="53"/>
  <c r="L21" i="53"/>
  <c r="L22" i="53"/>
  <c r="C96" i="66" l="1"/>
  <c r="AG29" i="66"/>
  <c r="AG28" i="66"/>
  <c r="AG27" i="66"/>
  <c r="AG26" i="66"/>
  <c r="AG19" i="66"/>
  <c r="AG18" i="66"/>
  <c r="AG5" i="59"/>
  <c r="AG6" i="59"/>
  <c r="AG7" i="59"/>
  <c r="AG8" i="59"/>
  <c r="AG9" i="59"/>
  <c r="AG10" i="59"/>
  <c r="AG11" i="59"/>
  <c r="AG12" i="59"/>
  <c r="AG13" i="59"/>
  <c r="AG14" i="59"/>
  <c r="AG15" i="59"/>
  <c r="AG16" i="59"/>
  <c r="AG17" i="59"/>
  <c r="AG18" i="59"/>
  <c r="AG19" i="59"/>
  <c r="AG20" i="59"/>
  <c r="AG21" i="59"/>
  <c r="AG22" i="59"/>
  <c r="AG23" i="59"/>
  <c r="AG24" i="59"/>
  <c r="AG25" i="59"/>
  <c r="AG26" i="59"/>
  <c r="AG27" i="59"/>
  <c r="AG28" i="59"/>
  <c r="AG29" i="59"/>
  <c r="AG30" i="59"/>
  <c r="AG31" i="59"/>
  <c r="AG32" i="59"/>
  <c r="AG33" i="59"/>
  <c r="AG34" i="59"/>
  <c r="AG35" i="59"/>
  <c r="AG37" i="59"/>
  <c r="AG38" i="59"/>
  <c r="AG39" i="59"/>
  <c r="AG14" i="66"/>
  <c r="C51" i="66"/>
  <c r="AG8" i="66"/>
  <c r="AG7" i="66"/>
  <c r="E6" i="45"/>
  <c r="D6" i="45"/>
  <c r="E7" i="45"/>
  <c r="D7" i="45"/>
  <c r="AG24" i="64"/>
  <c r="AG25" i="64"/>
  <c r="AG19" i="64"/>
  <c r="AG17" i="64"/>
  <c r="AG21" i="64"/>
  <c r="D9" i="45"/>
  <c r="E9" i="45"/>
  <c r="AG15" i="64"/>
  <c r="AG14" i="64"/>
  <c r="AG35" i="62"/>
  <c r="AG34" i="62"/>
  <c r="AG18" i="62"/>
  <c r="C52" i="62"/>
  <c r="AG10" i="62"/>
  <c r="E4" i="45"/>
  <c r="D4" i="45"/>
  <c r="C48" i="58"/>
  <c r="AG25" i="58"/>
  <c r="E10" i="45"/>
  <c r="D10" i="45"/>
  <c r="E5" i="45"/>
  <c r="D5" i="45"/>
  <c r="AG23" i="58"/>
  <c r="AG18" i="58"/>
  <c r="AG35" i="53"/>
  <c r="AG36" i="53"/>
  <c r="AG34" i="53"/>
  <c r="AG31" i="53"/>
  <c r="AG30" i="53"/>
  <c r="AG29" i="53"/>
  <c r="AG24" i="53"/>
  <c r="AG23" i="53"/>
  <c r="AG22" i="53"/>
  <c r="AG21" i="53"/>
  <c r="AG20" i="53"/>
  <c r="AG19" i="53"/>
  <c r="AG18" i="53"/>
  <c r="AG17" i="53"/>
  <c r="AG16" i="53"/>
  <c r="N20" i="53"/>
  <c r="O20" i="53"/>
  <c r="P20" i="53"/>
  <c r="Q20" i="53"/>
  <c r="L20" i="53"/>
  <c r="N16" i="53" l="1"/>
  <c r="O16" i="53"/>
  <c r="P16" i="53"/>
  <c r="Q16" i="53"/>
  <c r="N17" i="53"/>
  <c r="O17" i="53"/>
  <c r="P17" i="53"/>
  <c r="Q17" i="53"/>
  <c r="N18" i="53"/>
  <c r="O18" i="53"/>
  <c r="P18" i="53"/>
  <c r="Q18" i="53"/>
  <c r="N19" i="53"/>
  <c r="O19" i="53"/>
  <c r="P19" i="53"/>
  <c r="Q19" i="53"/>
  <c r="L19" i="53"/>
  <c r="L18" i="53"/>
  <c r="L17" i="53"/>
  <c r="L16" i="53"/>
  <c r="AJ91" i="53" l="1"/>
  <c r="Z15" i="53"/>
  <c r="AA15" i="53"/>
  <c r="AB15" i="53"/>
  <c r="AC15" i="53"/>
  <c r="AD15" i="53"/>
  <c r="AE15" i="53"/>
  <c r="AF15" i="53"/>
  <c r="N15" i="53"/>
  <c r="O15" i="53"/>
  <c r="P15" i="53"/>
  <c r="Q15" i="53"/>
  <c r="L15" i="53"/>
  <c r="AG15" i="53" l="1"/>
  <c r="AD14" i="53"/>
  <c r="AE14" i="53"/>
  <c r="AF14" i="53"/>
  <c r="Z14" i="53"/>
  <c r="AA14" i="53"/>
  <c r="AB14" i="53"/>
  <c r="AC14" i="53"/>
  <c r="D58" i="53"/>
  <c r="L14" i="53"/>
  <c r="N14" i="53"/>
  <c r="O14" i="53"/>
  <c r="P14" i="53"/>
  <c r="Q14" i="53"/>
  <c r="AG14" i="53" l="1"/>
  <c r="AD13" i="53"/>
  <c r="AE13" i="53"/>
  <c r="AF13" i="53"/>
  <c r="Z13" i="53"/>
  <c r="AA13" i="53"/>
  <c r="AB13" i="53"/>
  <c r="AC13" i="53"/>
  <c r="L13" i="53"/>
  <c r="N13" i="53"/>
  <c r="O13" i="53"/>
  <c r="P13" i="53"/>
  <c r="Q13" i="53"/>
  <c r="AG13" i="53" l="1"/>
  <c r="Z6" i="53"/>
  <c r="AA6" i="53"/>
  <c r="AB6" i="53"/>
  <c r="AC6" i="53"/>
  <c r="Z7" i="53"/>
  <c r="AA7" i="53"/>
  <c r="AB7" i="53"/>
  <c r="AC7" i="53"/>
  <c r="Z8" i="53"/>
  <c r="AA8" i="53"/>
  <c r="AB8" i="53"/>
  <c r="AC8" i="53"/>
  <c r="Z9" i="53"/>
  <c r="AA9" i="53"/>
  <c r="AB9" i="53"/>
  <c r="AC9" i="53"/>
  <c r="Z10" i="53"/>
  <c r="AA10" i="53"/>
  <c r="AB10" i="53"/>
  <c r="AC10" i="53"/>
  <c r="Z11" i="53"/>
  <c r="AA11" i="53"/>
  <c r="AB11" i="53"/>
  <c r="AC11" i="53"/>
  <c r="Z12" i="53"/>
  <c r="AA12" i="53"/>
  <c r="AB12" i="53"/>
  <c r="AC12" i="53"/>
  <c r="AB5" i="53"/>
  <c r="AC5" i="53"/>
  <c r="AA5" i="53"/>
  <c r="Z5" i="53"/>
  <c r="N12" i="53"/>
  <c r="O12" i="53"/>
  <c r="P12" i="53"/>
  <c r="Q12" i="53"/>
  <c r="L12" i="53"/>
  <c r="N11" i="53"/>
  <c r="O11" i="53"/>
  <c r="P11" i="53"/>
  <c r="Q11" i="53"/>
  <c r="L11" i="53"/>
  <c r="N10" i="53"/>
  <c r="O10" i="53"/>
  <c r="P10" i="53"/>
  <c r="Q10" i="53"/>
  <c r="L10" i="53"/>
  <c r="N5" i="53" l="1"/>
  <c r="O5" i="53"/>
  <c r="P5" i="53"/>
  <c r="Q5" i="53"/>
  <c r="N6" i="53"/>
  <c r="O6" i="53"/>
  <c r="P6" i="53"/>
  <c r="Q6" i="53"/>
  <c r="N7" i="53"/>
  <c r="O7" i="53"/>
  <c r="P7" i="53"/>
  <c r="Q7" i="53"/>
  <c r="N8" i="53"/>
  <c r="O8" i="53"/>
  <c r="P8" i="53"/>
  <c r="Q8" i="53"/>
  <c r="L5" i="53"/>
  <c r="AD5" i="53"/>
  <c r="AE5" i="53"/>
  <c r="L6" i="53"/>
  <c r="AD6" i="53"/>
  <c r="AE6" i="53"/>
  <c r="L7" i="53"/>
  <c r="AD7" i="53"/>
  <c r="AE7" i="53"/>
  <c r="L8" i="53"/>
  <c r="AD8" i="53"/>
  <c r="AE8" i="53"/>
  <c r="AD9" i="53"/>
  <c r="AD10" i="53"/>
  <c r="AD11" i="53"/>
  <c r="AD12" i="53"/>
  <c r="AE9" i="53"/>
  <c r="AE10" i="53"/>
  <c r="AE11" i="53"/>
  <c r="AE12" i="53"/>
  <c r="G88" i="54" l="1"/>
  <c r="G89" i="54" s="1"/>
  <c r="G80" i="54"/>
  <c r="F56" i="54"/>
  <c r="F54" i="54"/>
  <c r="F79" i="54" s="1"/>
  <c r="G47" i="54"/>
  <c r="G48" i="54" s="1"/>
  <c r="F47" i="54"/>
  <c r="G17" i="54"/>
  <c r="G18" i="54" s="1"/>
  <c r="F17" i="54"/>
  <c r="F57" i="53"/>
  <c r="G56" i="53"/>
  <c r="F56" i="53"/>
  <c r="C53" i="53"/>
  <c r="G44" i="53"/>
  <c r="G43" i="53"/>
  <c r="G42" i="53"/>
  <c r="G41" i="53"/>
  <c r="G40" i="53"/>
  <c r="G39" i="53"/>
  <c r="G38" i="53"/>
  <c r="G37" i="53"/>
  <c r="G36" i="53"/>
  <c r="G35" i="53"/>
  <c r="G34" i="53"/>
  <c r="G33" i="53"/>
  <c r="G32" i="53"/>
  <c r="G31" i="53"/>
  <c r="G30" i="53"/>
  <c r="G29" i="53"/>
  <c r="G28" i="53"/>
  <c r="G27" i="53"/>
  <c r="G26" i="53"/>
  <c r="G25" i="53"/>
  <c r="G24" i="53"/>
  <c r="G23" i="53"/>
  <c r="G22" i="53"/>
  <c r="G21" i="53"/>
  <c r="G20" i="53"/>
  <c r="G19" i="53"/>
  <c r="G18" i="53"/>
  <c r="G17" i="53"/>
  <c r="G16" i="53"/>
  <c r="G15" i="53"/>
  <c r="G14" i="53"/>
  <c r="G13" i="53"/>
  <c r="AF12" i="53"/>
  <c r="G12" i="53"/>
  <c r="AF11" i="53"/>
  <c r="AG11" i="53"/>
  <c r="G11" i="53"/>
  <c r="AK10" i="53"/>
  <c r="AF10" i="53"/>
  <c r="G10" i="53"/>
  <c r="AF9" i="53"/>
  <c r="AG9" i="53"/>
  <c r="Q9" i="53"/>
  <c r="P9" i="53"/>
  <c r="O9" i="53"/>
  <c r="N9" i="53"/>
  <c r="L9" i="53"/>
  <c r="G9" i="53"/>
  <c r="AF8" i="53"/>
  <c r="AG8" i="53"/>
  <c r="G8" i="53"/>
  <c r="AF7" i="53"/>
  <c r="AG7" i="53"/>
  <c r="G7" i="53"/>
  <c r="AF6" i="53"/>
  <c r="AG6" i="53"/>
  <c r="G6" i="53"/>
  <c r="AM5" i="53"/>
  <c r="AN5" i="53" s="1"/>
  <c r="AO5" i="53" s="1"/>
  <c r="AP5" i="53" s="1"/>
  <c r="AF5" i="53"/>
  <c r="AG5" i="53"/>
  <c r="G5" i="53"/>
  <c r="L34" i="49"/>
  <c r="L35" i="49"/>
  <c r="L36" i="49"/>
  <c r="L37" i="49"/>
  <c r="L38" i="49"/>
  <c r="L39" i="49"/>
  <c r="N34" i="49"/>
  <c r="O34" i="49"/>
  <c r="P34" i="49"/>
  <c r="Q34" i="49"/>
  <c r="N35" i="49"/>
  <c r="O35" i="49"/>
  <c r="P35" i="49"/>
  <c r="Q35" i="49"/>
  <c r="N36" i="49"/>
  <c r="O36" i="49"/>
  <c r="P36" i="49"/>
  <c r="Q36" i="49"/>
  <c r="N37" i="49"/>
  <c r="O37" i="49"/>
  <c r="P37" i="49"/>
  <c r="Q37" i="49"/>
  <c r="N38" i="49"/>
  <c r="O38" i="49"/>
  <c r="P38" i="49"/>
  <c r="Q38" i="49"/>
  <c r="N39" i="49"/>
  <c r="O39" i="49"/>
  <c r="P39" i="49"/>
  <c r="Q39" i="49"/>
  <c r="AF5" i="49"/>
  <c r="AF6" i="49"/>
  <c r="AF7" i="49"/>
  <c r="AF8" i="49"/>
  <c r="AF9" i="49"/>
  <c r="AF10" i="49"/>
  <c r="AF11" i="49"/>
  <c r="AF12" i="49"/>
  <c r="AF13" i="49"/>
  <c r="AF14" i="49"/>
  <c r="AF15" i="49"/>
  <c r="AF16" i="49"/>
  <c r="AF17" i="49"/>
  <c r="AF18" i="49"/>
  <c r="AF19" i="49"/>
  <c r="AF20" i="49"/>
  <c r="AF21" i="49"/>
  <c r="AF22" i="49"/>
  <c r="AF23" i="49"/>
  <c r="AF24" i="49"/>
  <c r="AF25" i="49"/>
  <c r="AF26" i="49"/>
  <c r="AF27" i="49"/>
  <c r="AF28" i="49"/>
  <c r="AF29" i="49"/>
  <c r="AF30" i="49"/>
  <c r="AF31" i="49"/>
  <c r="AF32" i="49"/>
  <c r="AF33" i="49"/>
  <c r="AF34" i="49"/>
  <c r="AF35" i="49"/>
  <c r="AF36" i="49"/>
  <c r="AF37" i="49"/>
  <c r="AF38" i="49"/>
  <c r="AF39" i="49"/>
  <c r="AF40" i="49"/>
  <c r="AF41" i="49"/>
  <c r="AF42" i="49"/>
  <c r="AF43" i="49"/>
  <c r="AF44" i="49"/>
  <c r="AE5" i="49"/>
  <c r="AE6" i="49"/>
  <c r="AE7" i="49"/>
  <c r="AE8" i="49"/>
  <c r="AE9" i="49"/>
  <c r="AE10" i="49"/>
  <c r="AE11" i="49"/>
  <c r="AE12" i="49"/>
  <c r="AE13" i="49"/>
  <c r="AE14" i="49"/>
  <c r="AE15" i="49"/>
  <c r="AE16" i="49"/>
  <c r="AE17" i="49"/>
  <c r="AE18" i="49"/>
  <c r="AE19" i="49"/>
  <c r="AE20" i="49"/>
  <c r="AE21" i="49"/>
  <c r="AE22" i="49"/>
  <c r="AE23" i="49"/>
  <c r="AE24" i="49"/>
  <c r="AE25" i="49"/>
  <c r="AE26" i="49"/>
  <c r="AE27" i="49"/>
  <c r="AE28" i="49"/>
  <c r="AE29" i="49"/>
  <c r="AE30" i="49"/>
  <c r="AE31" i="49"/>
  <c r="AE32" i="49"/>
  <c r="AE33" i="49"/>
  <c r="AE34" i="49"/>
  <c r="AE35" i="49"/>
  <c r="AE36" i="49"/>
  <c r="AE37" i="49"/>
  <c r="AE38" i="49"/>
  <c r="AE39" i="49"/>
  <c r="AE40" i="49"/>
  <c r="AE41" i="49"/>
  <c r="AE42" i="49"/>
  <c r="AE43" i="49"/>
  <c r="AE44" i="49"/>
  <c r="AD5" i="49"/>
  <c r="AD6" i="49"/>
  <c r="AD7" i="49"/>
  <c r="AD8" i="49"/>
  <c r="AD9" i="49"/>
  <c r="AD10" i="49"/>
  <c r="AD11" i="49"/>
  <c r="AD12" i="49"/>
  <c r="AD13" i="49"/>
  <c r="AD14" i="49"/>
  <c r="AD15" i="49"/>
  <c r="AD16" i="49"/>
  <c r="AD17" i="49"/>
  <c r="AD18" i="49"/>
  <c r="AD19" i="49"/>
  <c r="AD20" i="49"/>
  <c r="AD21" i="49"/>
  <c r="AD22" i="49"/>
  <c r="AD23" i="49"/>
  <c r="AD24" i="49"/>
  <c r="AD25" i="49"/>
  <c r="AD26" i="49"/>
  <c r="AD27" i="49"/>
  <c r="AD28" i="49"/>
  <c r="AD29" i="49"/>
  <c r="AD30" i="49"/>
  <c r="AD31" i="49"/>
  <c r="AD32" i="49"/>
  <c r="AD33" i="49"/>
  <c r="AD34" i="49"/>
  <c r="AD35" i="49"/>
  <c r="AD36" i="49"/>
  <c r="AD37" i="49"/>
  <c r="AD38" i="49"/>
  <c r="AD39" i="49"/>
  <c r="AD40" i="49"/>
  <c r="AD41" i="49"/>
  <c r="AD42" i="49"/>
  <c r="AD43" i="49"/>
  <c r="AD44" i="49"/>
  <c r="AA5" i="49"/>
  <c r="AA6" i="49"/>
  <c r="AA7" i="49"/>
  <c r="AA8" i="49"/>
  <c r="AA9" i="49"/>
  <c r="AA10" i="49"/>
  <c r="AA11" i="49"/>
  <c r="AA12" i="49"/>
  <c r="AA13" i="49"/>
  <c r="AA14" i="49"/>
  <c r="AA15" i="49"/>
  <c r="AA16" i="49"/>
  <c r="AA17" i="49"/>
  <c r="AA18" i="49"/>
  <c r="AA19" i="49"/>
  <c r="AA20" i="49"/>
  <c r="AA21" i="49"/>
  <c r="AA22" i="49"/>
  <c r="AA23" i="49"/>
  <c r="AA24" i="49"/>
  <c r="AA25" i="49"/>
  <c r="AA26" i="49"/>
  <c r="AA27" i="49"/>
  <c r="AA28" i="49"/>
  <c r="AA29" i="49"/>
  <c r="AA30" i="49"/>
  <c r="AA31" i="49"/>
  <c r="AA32" i="49"/>
  <c r="AA33" i="49"/>
  <c r="AA34" i="49"/>
  <c r="AA35" i="49"/>
  <c r="AA36" i="49"/>
  <c r="AA37" i="49"/>
  <c r="AA38" i="49"/>
  <c r="AA39" i="49"/>
  <c r="AA40" i="49"/>
  <c r="AA41" i="49"/>
  <c r="AA42" i="49"/>
  <c r="AA43" i="49"/>
  <c r="AA44" i="49"/>
  <c r="AC5" i="49"/>
  <c r="AC6" i="49"/>
  <c r="AC7" i="49"/>
  <c r="AC8" i="49"/>
  <c r="AC9" i="49"/>
  <c r="AC10" i="49"/>
  <c r="AC11" i="49"/>
  <c r="AC12" i="49"/>
  <c r="AC13" i="49"/>
  <c r="AC14" i="49"/>
  <c r="AC15" i="49"/>
  <c r="AC16" i="49"/>
  <c r="AC17" i="49"/>
  <c r="AC18" i="49"/>
  <c r="AC19" i="49"/>
  <c r="AC20" i="49"/>
  <c r="AC21" i="49"/>
  <c r="AC22" i="49"/>
  <c r="AC23" i="49"/>
  <c r="AC24" i="49"/>
  <c r="AC25" i="49"/>
  <c r="AC26" i="49"/>
  <c r="AC27" i="49"/>
  <c r="AC28" i="49"/>
  <c r="AC29" i="49"/>
  <c r="AC30" i="49"/>
  <c r="AC31" i="49"/>
  <c r="AC32" i="49"/>
  <c r="AC33" i="49"/>
  <c r="AC34" i="49"/>
  <c r="AC35" i="49"/>
  <c r="AC36" i="49"/>
  <c r="AC37" i="49"/>
  <c r="AC38" i="49"/>
  <c r="AC39" i="49"/>
  <c r="AC40" i="49"/>
  <c r="AC41" i="49"/>
  <c r="AC42" i="49"/>
  <c r="AC43" i="49"/>
  <c r="AC44" i="49"/>
  <c r="AB5" i="49"/>
  <c r="AB6" i="49"/>
  <c r="AB7" i="49"/>
  <c r="AB8" i="49"/>
  <c r="AB9" i="49"/>
  <c r="AB10" i="49"/>
  <c r="AB11" i="49"/>
  <c r="AB12" i="49"/>
  <c r="AB13" i="49"/>
  <c r="AB14" i="49"/>
  <c r="AB15" i="49"/>
  <c r="AB16" i="49"/>
  <c r="AB17" i="49"/>
  <c r="AB18" i="49"/>
  <c r="AB19" i="49"/>
  <c r="AB20" i="49"/>
  <c r="AB21" i="49"/>
  <c r="AB22" i="49"/>
  <c r="AB23" i="49"/>
  <c r="AB24" i="49"/>
  <c r="AB25" i="49"/>
  <c r="AB26" i="49"/>
  <c r="AB27" i="49"/>
  <c r="AB28" i="49"/>
  <c r="AB29" i="49"/>
  <c r="AB30" i="49"/>
  <c r="AB31" i="49"/>
  <c r="AB32" i="49"/>
  <c r="AB33" i="49"/>
  <c r="AB34" i="49"/>
  <c r="AB35" i="49"/>
  <c r="AB36" i="49"/>
  <c r="AB37" i="49"/>
  <c r="AB38" i="49"/>
  <c r="AB39" i="49"/>
  <c r="AB40" i="49"/>
  <c r="AB41" i="49"/>
  <c r="AB42" i="49"/>
  <c r="AB43" i="49"/>
  <c r="AB44" i="49"/>
  <c r="Z5" i="49"/>
  <c r="AG5" i="49" s="1"/>
  <c r="Z6" i="49"/>
  <c r="AG6" i="49" s="1"/>
  <c r="Z7" i="49"/>
  <c r="AG7" i="49" s="1"/>
  <c r="Z8" i="49"/>
  <c r="AG8" i="49" s="1"/>
  <c r="Z9" i="49"/>
  <c r="AG9" i="49" s="1"/>
  <c r="Z10" i="49"/>
  <c r="AG10" i="49" s="1"/>
  <c r="Z11" i="49"/>
  <c r="AG11" i="49" s="1"/>
  <c r="Z12" i="49"/>
  <c r="AG12" i="49" s="1"/>
  <c r="Z13" i="49"/>
  <c r="AG13" i="49" s="1"/>
  <c r="Z14" i="49"/>
  <c r="AG14" i="49" s="1"/>
  <c r="Z15" i="49"/>
  <c r="AG15" i="49" s="1"/>
  <c r="Z16" i="49"/>
  <c r="AG16" i="49" s="1"/>
  <c r="Z17" i="49"/>
  <c r="AG17" i="49" s="1"/>
  <c r="Z18" i="49"/>
  <c r="AG18" i="49" s="1"/>
  <c r="Z19" i="49"/>
  <c r="AG19" i="49" s="1"/>
  <c r="Z20" i="49"/>
  <c r="AG20" i="49" s="1"/>
  <c r="Z21" i="49"/>
  <c r="AG21" i="49" s="1"/>
  <c r="Z22" i="49"/>
  <c r="AG22" i="49" s="1"/>
  <c r="Z23" i="49"/>
  <c r="AG23" i="49" s="1"/>
  <c r="Z24" i="49"/>
  <c r="AG24" i="49" s="1"/>
  <c r="Z25" i="49"/>
  <c r="AG25" i="49" s="1"/>
  <c r="Z26" i="49"/>
  <c r="AG26" i="49" s="1"/>
  <c r="Z27" i="49"/>
  <c r="AG27" i="49" s="1"/>
  <c r="Z28" i="49"/>
  <c r="AG28" i="49" s="1"/>
  <c r="Z29" i="49"/>
  <c r="AG29" i="49" s="1"/>
  <c r="Z30" i="49"/>
  <c r="AG30" i="49" s="1"/>
  <c r="Z31" i="49"/>
  <c r="AG31" i="49" s="1"/>
  <c r="Z32" i="49"/>
  <c r="AG32" i="49" s="1"/>
  <c r="Z33" i="49"/>
  <c r="AG33" i="49" s="1"/>
  <c r="Z34" i="49"/>
  <c r="AG34" i="49" s="1"/>
  <c r="Z35" i="49"/>
  <c r="AG35" i="49" s="1"/>
  <c r="Z36" i="49"/>
  <c r="AG36" i="49" s="1"/>
  <c r="Z37" i="49"/>
  <c r="AG37" i="49" s="1"/>
  <c r="Z38" i="49"/>
  <c r="AG38" i="49" s="1"/>
  <c r="Z39" i="49"/>
  <c r="AG39" i="49" s="1"/>
  <c r="Z40" i="49"/>
  <c r="AG40" i="49" s="1"/>
  <c r="Z41" i="49"/>
  <c r="AG41" i="49" s="1"/>
  <c r="Z42" i="49"/>
  <c r="AG42" i="49" s="1"/>
  <c r="Z43" i="49"/>
  <c r="AG43" i="49" s="1"/>
  <c r="Z44" i="49"/>
  <c r="AG44" i="49" s="1"/>
  <c r="AG12" i="53" l="1"/>
  <c r="AG10" i="53"/>
  <c r="AL5" i="49"/>
  <c r="L33" i="49"/>
  <c r="N33" i="49"/>
  <c r="O33" i="49"/>
  <c r="P33" i="49"/>
  <c r="Q33" i="49"/>
  <c r="N31" i="49"/>
  <c r="O31" i="49"/>
  <c r="P31" i="49"/>
  <c r="Q31" i="49"/>
  <c r="N32" i="49"/>
  <c r="O32" i="49"/>
  <c r="P32" i="49"/>
  <c r="Q32" i="49"/>
  <c r="L32" i="49"/>
  <c r="L31" i="49" l="1"/>
  <c r="N30" i="49" l="1"/>
  <c r="O30" i="49"/>
  <c r="P30" i="49"/>
  <c r="Q30" i="49"/>
  <c r="L30" i="49"/>
  <c r="D57" i="49" l="1"/>
  <c r="F58" i="49"/>
  <c r="N27" i="49"/>
  <c r="O27" i="49"/>
  <c r="P27" i="49"/>
  <c r="Q27" i="49"/>
  <c r="N28" i="49"/>
  <c r="O28" i="49"/>
  <c r="P28" i="49"/>
  <c r="Q28" i="49"/>
  <c r="N29" i="49"/>
  <c r="O29" i="49"/>
  <c r="P29" i="49"/>
  <c r="Q29" i="49"/>
  <c r="L27" i="49"/>
  <c r="L28" i="49"/>
  <c r="L29" i="49"/>
  <c r="D56" i="49" l="1"/>
  <c r="N26" i="49"/>
  <c r="O26" i="49"/>
  <c r="P26" i="49"/>
  <c r="Q26" i="49"/>
  <c r="L26" i="49"/>
  <c r="L25" i="49" l="1"/>
  <c r="N25" i="49"/>
  <c r="O25" i="49"/>
  <c r="P25" i="49"/>
  <c r="Q25" i="49"/>
  <c r="G88" i="51" l="1"/>
  <c r="G89" i="51" s="1"/>
  <c r="G79" i="51"/>
  <c r="G80" i="51" s="1"/>
  <c r="F56" i="51"/>
  <c r="F54" i="51"/>
  <c r="F79" i="51" s="1"/>
  <c r="G47" i="51"/>
  <c r="G48" i="51" s="1"/>
  <c r="F47" i="51"/>
  <c r="L19" i="51"/>
  <c r="G17" i="51"/>
  <c r="G18" i="51" s="1"/>
  <c r="F17" i="51"/>
  <c r="N23" i="49"/>
  <c r="O23" i="49"/>
  <c r="P23" i="49"/>
  <c r="Q23" i="49"/>
  <c r="N24" i="49"/>
  <c r="O24" i="49"/>
  <c r="P24" i="49"/>
  <c r="Q24" i="49"/>
  <c r="L23" i="49"/>
  <c r="L24" i="49"/>
  <c r="N20" i="49" l="1"/>
  <c r="O20" i="49"/>
  <c r="P20" i="49"/>
  <c r="Q20" i="49"/>
  <c r="N21" i="49"/>
  <c r="O21" i="49"/>
  <c r="P21" i="49"/>
  <c r="Q21" i="49"/>
  <c r="N22" i="49"/>
  <c r="O22" i="49"/>
  <c r="P22" i="49"/>
  <c r="Q22" i="49"/>
  <c r="L20" i="49"/>
  <c r="L21" i="49"/>
  <c r="L22" i="49"/>
  <c r="N19" i="49" l="1"/>
  <c r="O19" i="49"/>
  <c r="P19" i="49"/>
  <c r="Q19" i="49"/>
  <c r="L19" i="49"/>
  <c r="D57" i="46" l="1"/>
  <c r="N17" i="49"/>
  <c r="O17" i="49"/>
  <c r="P17" i="49"/>
  <c r="Q17" i="49"/>
  <c r="N18" i="49"/>
  <c r="O18" i="49"/>
  <c r="P18" i="49"/>
  <c r="Q18" i="49"/>
  <c r="L17" i="49"/>
  <c r="L18" i="49"/>
  <c r="G88" i="50" l="1"/>
  <c r="G89" i="50" s="1"/>
  <c r="G79" i="50"/>
  <c r="G80" i="50" s="1"/>
  <c r="F56" i="50"/>
  <c r="F54" i="50"/>
  <c r="G47" i="50"/>
  <c r="G48" i="50" s="1"/>
  <c r="F47" i="50"/>
  <c r="L19" i="50"/>
  <c r="G17" i="50"/>
  <c r="G18" i="50" s="1"/>
  <c r="F17" i="50"/>
  <c r="N12" i="49"/>
  <c r="O12" i="49"/>
  <c r="P12" i="49"/>
  <c r="Q12" i="49"/>
  <c r="N13" i="49"/>
  <c r="O13" i="49"/>
  <c r="P13" i="49"/>
  <c r="Q13" i="49"/>
  <c r="N14" i="49"/>
  <c r="O14" i="49"/>
  <c r="P14" i="49"/>
  <c r="Q14" i="49"/>
  <c r="N15" i="49"/>
  <c r="O15" i="49"/>
  <c r="P15" i="49"/>
  <c r="Q15" i="49"/>
  <c r="N16" i="49"/>
  <c r="O16" i="49"/>
  <c r="P16" i="49"/>
  <c r="Q16" i="49"/>
  <c r="L14" i="49"/>
  <c r="L15" i="49"/>
  <c r="L16" i="49"/>
  <c r="L13" i="49"/>
  <c r="L9" i="49"/>
  <c r="N9" i="49"/>
  <c r="O9" i="49"/>
  <c r="P9" i="49"/>
  <c r="Q9" i="49"/>
  <c r="L10" i="49"/>
  <c r="N10" i="49"/>
  <c r="O10" i="49"/>
  <c r="P10" i="49"/>
  <c r="Q10" i="49"/>
  <c r="L11" i="49"/>
  <c r="N11" i="49"/>
  <c r="O11" i="49"/>
  <c r="P11" i="49"/>
  <c r="Q11" i="49"/>
  <c r="L12" i="49"/>
  <c r="G14" i="49"/>
  <c r="G13" i="49"/>
  <c r="G12" i="49"/>
  <c r="G11" i="49"/>
  <c r="G10" i="49"/>
  <c r="G9" i="49"/>
  <c r="Q8" i="49"/>
  <c r="P8" i="49"/>
  <c r="O8" i="49"/>
  <c r="N8" i="49"/>
  <c r="L8" i="49"/>
  <c r="G8" i="49"/>
  <c r="Q7" i="49"/>
  <c r="P7" i="49"/>
  <c r="O7" i="49"/>
  <c r="N7" i="49"/>
  <c r="L7" i="49"/>
  <c r="G7" i="49"/>
  <c r="Q6" i="49"/>
  <c r="P6" i="49"/>
  <c r="O6" i="49"/>
  <c r="N6" i="49"/>
  <c r="L6" i="49"/>
  <c r="G6" i="49"/>
  <c r="Q5" i="49"/>
  <c r="P5" i="49"/>
  <c r="O5" i="49"/>
  <c r="N5" i="49"/>
  <c r="L5" i="49"/>
  <c r="G5" i="49"/>
  <c r="AM5" i="49"/>
  <c r="AN5" i="49" s="1"/>
  <c r="AO5" i="49" s="1"/>
  <c r="AP5" i="49" s="1"/>
  <c r="AK10" i="49"/>
  <c r="G56" i="49"/>
  <c r="F56" i="49"/>
  <c r="C53" i="49"/>
  <c r="G44" i="49"/>
  <c r="G43" i="49"/>
  <c r="G42" i="49"/>
  <c r="G41" i="49"/>
  <c r="G40" i="49"/>
  <c r="G39" i="49"/>
  <c r="G38" i="49"/>
  <c r="G37" i="49"/>
  <c r="G36" i="49"/>
  <c r="G35" i="49"/>
  <c r="G34" i="49"/>
  <c r="G33" i="49"/>
  <c r="G32" i="49"/>
  <c r="G31" i="49"/>
  <c r="G30" i="49"/>
  <c r="G29" i="49"/>
  <c r="G28" i="49"/>
  <c r="G27" i="49"/>
  <c r="G26" i="49"/>
  <c r="G25" i="49"/>
  <c r="G24" i="49"/>
  <c r="G23" i="49"/>
  <c r="G22" i="49"/>
  <c r="G21" i="49"/>
  <c r="G20" i="49"/>
  <c r="G19" i="49"/>
  <c r="G18" i="49"/>
  <c r="G17" i="49"/>
  <c r="G16" i="49"/>
  <c r="G15" i="49"/>
  <c r="F79" i="50" l="1"/>
  <c r="L41" i="46"/>
  <c r="N40" i="46" l="1"/>
  <c r="O40" i="46"/>
  <c r="P40" i="46"/>
  <c r="Q40" i="46"/>
  <c r="L40" i="46"/>
  <c r="L39" i="46" l="1"/>
  <c r="N39" i="46"/>
  <c r="O39" i="46"/>
  <c r="P39" i="46"/>
  <c r="Q39" i="46"/>
  <c r="N29" i="46" l="1"/>
  <c r="O29" i="46"/>
  <c r="P29" i="46"/>
  <c r="Q29" i="46"/>
  <c r="N30" i="46"/>
  <c r="O30" i="46"/>
  <c r="P30" i="46"/>
  <c r="Q30" i="46"/>
  <c r="N31" i="46"/>
  <c r="O31" i="46"/>
  <c r="P31" i="46"/>
  <c r="Q31" i="46"/>
  <c r="N32" i="46"/>
  <c r="O32" i="46"/>
  <c r="P32" i="46"/>
  <c r="Q32" i="46"/>
  <c r="N33" i="46"/>
  <c r="O33" i="46"/>
  <c r="P33" i="46"/>
  <c r="Q33" i="46"/>
  <c r="N34" i="46"/>
  <c r="O34" i="46"/>
  <c r="P34" i="46"/>
  <c r="Q34" i="46"/>
  <c r="N35" i="46"/>
  <c r="O35" i="46"/>
  <c r="P35" i="46"/>
  <c r="Q35" i="46"/>
  <c r="N36" i="46"/>
  <c r="O36" i="46"/>
  <c r="P36" i="46"/>
  <c r="Q36" i="46"/>
  <c r="N37" i="46"/>
  <c r="O37" i="46"/>
  <c r="P37" i="46"/>
  <c r="Q37" i="46"/>
  <c r="N38" i="46"/>
  <c r="O38" i="46"/>
  <c r="P38" i="46"/>
  <c r="Q38" i="46"/>
  <c r="L36" i="46"/>
  <c r="L37" i="46"/>
  <c r="L38" i="46"/>
  <c r="L31" i="46"/>
  <c r="L32" i="46"/>
  <c r="L33" i="46"/>
  <c r="L34" i="46"/>
  <c r="L35" i="46"/>
  <c r="L30" i="46"/>
  <c r="L29" i="46"/>
  <c r="Z27" i="46" l="1"/>
  <c r="AA27" i="46"/>
  <c r="AB27" i="46"/>
  <c r="AC27" i="46"/>
  <c r="AD27" i="46"/>
  <c r="AE27" i="46"/>
  <c r="Z28" i="46"/>
  <c r="AA28" i="46"/>
  <c r="AB28" i="46"/>
  <c r="AC28" i="46"/>
  <c r="AD28" i="46"/>
  <c r="AE28" i="46"/>
  <c r="N28" i="46"/>
  <c r="O28" i="46"/>
  <c r="P28" i="46"/>
  <c r="Q28" i="46"/>
  <c r="L28" i="46"/>
  <c r="N27" i="46" l="1"/>
  <c r="O27" i="46"/>
  <c r="P27" i="46"/>
  <c r="Q27" i="46"/>
  <c r="L27" i="46"/>
  <c r="AL5" i="46" l="1"/>
  <c r="N26" i="46"/>
  <c r="O26" i="46"/>
  <c r="P26" i="46"/>
  <c r="Q26" i="46"/>
  <c r="L26" i="46"/>
  <c r="Z26" i="46"/>
  <c r="AA26" i="46"/>
  <c r="AB26" i="46"/>
  <c r="AC26" i="46"/>
  <c r="AD26" i="46"/>
  <c r="AE26" i="46"/>
  <c r="AF26" i="46"/>
  <c r="Z25" i="46"/>
  <c r="AA25" i="46"/>
  <c r="AB25" i="46"/>
  <c r="AG25" i="46" s="1"/>
  <c r="AC25" i="46"/>
  <c r="AD25" i="46"/>
  <c r="AE25" i="46"/>
  <c r="AF25" i="46"/>
  <c r="N25" i="46"/>
  <c r="O25" i="46"/>
  <c r="P25" i="46"/>
  <c r="Q25" i="46"/>
  <c r="L25" i="46"/>
  <c r="AG26" i="46" l="1"/>
  <c r="Z24" i="46"/>
  <c r="AA24" i="46"/>
  <c r="AB24" i="46"/>
  <c r="AC24" i="46"/>
  <c r="AG24" i="46" s="1"/>
  <c r="AD24" i="46"/>
  <c r="AE24" i="46"/>
  <c r="AF24" i="46"/>
  <c r="N24" i="46"/>
  <c r="O24" i="46"/>
  <c r="P24" i="46"/>
  <c r="Q24" i="46"/>
  <c r="L24" i="46"/>
  <c r="Z22" i="46"/>
  <c r="AA22" i="46"/>
  <c r="AB22" i="46"/>
  <c r="AC22" i="46"/>
  <c r="AD22" i="46"/>
  <c r="AE22" i="46"/>
  <c r="AF22" i="46"/>
  <c r="Z23" i="46"/>
  <c r="AA23" i="46"/>
  <c r="AB23" i="46"/>
  <c r="AG23" i="46" s="1"/>
  <c r="AC23" i="46"/>
  <c r="AD23" i="46"/>
  <c r="AE23" i="46"/>
  <c r="AF23" i="46"/>
  <c r="N22" i="46"/>
  <c r="O22" i="46"/>
  <c r="P22" i="46"/>
  <c r="Q22" i="46"/>
  <c r="N23" i="46"/>
  <c r="O23" i="46"/>
  <c r="P23" i="46"/>
  <c r="Q23" i="46"/>
  <c r="L23" i="46"/>
  <c r="L22" i="46"/>
  <c r="AG22" i="46" l="1"/>
  <c r="Z21" i="46"/>
  <c r="AA21" i="46"/>
  <c r="AB21" i="46"/>
  <c r="AC21" i="46"/>
  <c r="AG21" i="46" s="1"/>
  <c r="AD21" i="46"/>
  <c r="AE21" i="46"/>
  <c r="AF21" i="46"/>
  <c r="L21" i="46"/>
  <c r="N21" i="46"/>
  <c r="O21" i="46"/>
  <c r="P21" i="46"/>
  <c r="Q21" i="46"/>
  <c r="Z20" i="46" l="1"/>
  <c r="AA20" i="46"/>
  <c r="AB20" i="46"/>
  <c r="AC20" i="46"/>
  <c r="AD20" i="46"/>
  <c r="AE20" i="46"/>
  <c r="AF20" i="46"/>
  <c r="AG20" i="46"/>
  <c r="D56" i="46"/>
  <c r="L20" i="46"/>
  <c r="N20" i="46"/>
  <c r="O20" i="46"/>
  <c r="P20" i="46"/>
  <c r="Q20" i="46"/>
  <c r="Z18" i="46" l="1"/>
  <c r="AA18" i="46"/>
  <c r="AB18" i="46"/>
  <c r="AC18" i="46"/>
  <c r="AD18" i="46"/>
  <c r="AE18" i="46"/>
  <c r="AF18" i="46"/>
  <c r="AG18" i="46"/>
  <c r="Z19" i="46"/>
  <c r="AA19" i="46"/>
  <c r="AB19" i="46"/>
  <c r="AC19" i="46"/>
  <c r="AD19" i="46"/>
  <c r="AE19" i="46"/>
  <c r="AF19" i="46"/>
  <c r="AG19" i="46"/>
  <c r="N19" i="46"/>
  <c r="O19" i="46"/>
  <c r="P19" i="46"/>
  <c r="Q19" i="46"/>
  <c r="L19" i="46"/>
  <c r="G56" i="46" l="1"/>
  <c r="L18" i="46"/>
  <c r="N18" i="46"/>
  <c r="O18" i="46"/>
  <c r="P18" i="46"/>
  <c r="Q18" i="46"/>
  <c r="AE15" i="46" l="1"/>
  <c r="AF15" i="46"/>
  <c r="AE16" i="46"/>
  <c r="AF16" i="46"/>
  <c r="AG16" i="46"/>
  <c r="AE17" i="46"/>
  <c r="AF17" i="46"/>
  <c r="AD15" i="46"/>
  <c r="AD16" i="46"/>
  <c r="AD17" i="46"/>
  <c r="Z15" i="46"/>
  <c r="AA15" i="46"/>
  <c r="AB15" i="46"/>
  <c r="AC15" i="46"/>
  <c r="AG15" i="46" s="1"/>
  <c r="Z16" i="46"/>
  <c r="AA16" i="46"/>
  <c r="AB16" i="46"/>
  <c r="AC16" i="46"/>
  <c r="Z17" i="46"/>
  <c r="AA17" i="46"/>
  <c r="AB17" i="46"/>
  <c r="AC17" i="46"/>
  <c r="AG17" i="46" s="1"/>
  <c r="F56" i="46"/>
  <c r="N16" i="46"/>
  <c r="O16" i="46"/>
  <c r="P16" i="46"/>
  <c r="Q16" i="46"/>
  <c r="N17" i="46"/>
  <c r="O17" i="46"/>
  <c r="P17" i="46"/>
  <c r="Q17" i="46"/>
  <c r="L16" i="46"/>
  <c r="L17" i="46"/>
  <c r="N15" i="46" l="1"/>
  <c r="O15" i="46"/>
  <c r="P15" i="46"/>
  <c r="Q15" i="46"/>
  <c r="L15" i="46"/>
  <c r="Z14" i="46" l="1"/>
  <c r="AA14" i="46"/>
  <c r="AB14" i="46"/>
  <c r="AC14" i="46"/>
  <c r="AD14" i="46"/>
  <c r="AE14" i="46"/>
  <c r="AF14" i="46"/>
  <c r="N14" i="46"/>
  <c r="O14" i="46"/>
  <c r="P14" i="46"/>
  <c r="Q14" i="46"/>
  <c r="L14" i="46"/>
  <c r="L13" i="46"/>
  <c r="N13" i="46"/>
  <c r="O13" i="46"/>
  <c r="P13" i="46"/>
  <c r="Q13" i="46"/>
  <c r="Z13" i="46"/>
  <c r="AA13" i="46"/>
  <c r="AB13" i="46"/>
  <c r="AC13" i="46"/>
  <c r="AD13" i="46"/>
  <c r="AE13" i="46"/>
  <c r="AF13" i="46"/>
  <c r="N12" i="46"/>
  <c r="O12" i="46"/>
  <c r="P12" i="46"/>
  <c r="Q12" i="46"/>
  <c r="Z12" i="46"/>
  <c r="AA12" i="46"/>
  <c r="AB12" i="46"/>
  <c r="AC12" i="46"/>
  <c r="AG12" i="46" s="1"/>
  <c r="AD12" i="46"/>
  <c r="AE12" i="46"/>
  <c r="AF12" i="46"/>
  <c r="L12" i="46"/>
  <c r="L11" i="46"/>
  <c r="N11" i="46"/>
  <c r="O11" i="46"/>
  <c r="P11" i="46"/>
  <c r="Q11" i="46"/>
  <c r="Z11" i="46"/>
  <c r="AA11" i="46"/>
  <c r="AB11" i="46"/>
  <c r="AC11" i="46"/>
  <c r="AG11" i="46" s="1"/>
  <c r="AD11" i="46"/>
  <c r="AE11" i="46"/>
  <c r="AF11" i="46"/>
  <c r="G43" i="46"/>
  <c r="G44" i="46"/>
  <c r="AF10" i="46"/>
  <c r="AE10" i="46"/>
  <c r="AD10" i="46"/>
  <c r="AC10" i="46"/>
  <c r="AB10" i="46"/>
  <c r="AA10" i="46"/>
  <c r="Z10" i="46"/>
  <c r="Q10" i="46"/>
  <c r="P10" i="46"/>
  <c r="O10" i="46"/>
  <c r="N10" i="46"/>
  <c r="L10" i="46"/>
  <c r="G10" i="46"/>
  <c r="AF9" i="46"/>
  <c r="AE9" i="46"/>
  <c r="AD9" i="46"/>
  <c r="AC9" i="46"/>
  <c r="AB9" i="46"/>
  <c r="AA9" i="46"/>
  <c r="Z9" i="46"/>
  <c r="Q9" i="46"/>
  <c r="P9" i="46"/>
  <c r="O9" i="46"/>
  <c r="N9" i="46"/>
  <c r="L9" i="46"/>
  <c r="G9" i="46"/>
  <c r="AF8" i="46"/>
  <c r="AE8" i="46"/>
  <c r="AD8" i="46"/>
  <c r="AC8" i="46"/>
  <c r="AG8" i="46" s="1"/>
  <c r="AB8" i="46"/>
  <c r="AA8" i="46"/>
  <c r="Z8" i="46"/>
  <c r="Q8" i="46"/>
  <c r="P8" i="46"/>
  <c r="O8" i="46"/>
  <c r="N8" i="46"/>
  <c r="L8" i="46"/>
  <c r="G8" i="46"/>
  <c r="AF7" i="46"/>
  <c r="AE7" i="46"/>
  <c r="AD7" i="46"/>
  <c r="AC7" i="46"/>
  <c r="AB7" i="46"/>
  <c r="AA7" i="46"/>
  <c r="Z7" i="46"/>
  <c r="Q7" i="46"/>
  <c r="P7" i="46"/>
  <c r="O7" i="46"/>
  <c r="N7" i="46"/>
  <c r="L7" i="46"/>
  <c r="G7" i="46"/>
  <c r="AF6" i="46"/>
  <c r="AE6" i="46"/>
  <c r="AD6" i="46"/>
  <c r="AC6" i="46"/>
  <c r="AB6" i="46"/>
  <c r="AA6" i="46"/>
  <c r="Z6" i="46"/>
  <c r="Q6" i="46"/>
  <c r="P6" i="46"/>
  <c r="O6" i="46"/>
  <c r="N6" i="46"/>
  <c r="L6" i="46"/>
  <c r="G6" i="46"/>
  <c r="AF5" i="46"/>
  <c r="AE5" i="46"/>
  <c r="AD5" i="46"/>
  <c r="AC5" i="46"/>
  <c r="AG5" i="46" s="1"/>
  <c r="AB5" i="46"/>
  <c r="AA5" i="46"/>
  <c r="Z5" i="46"/>
  <c r="Q5" i="46"/>
  <c r="P5" i="46"/>
  <c r="O5" i="46"/>
  <c r="N5" i="46"/>
  <c r="L5" i="46"/>
  <c r="G5" i="46"/>
  <c r="C53" i="46"/>
  <c r="G42" i="46"/>
  <c r="G41" i="46"/>
  <c r="G40" i="46"/>
  <c r="G39" i="46"/>
  <c r="G38" i="46"/>
  <c r="G37" i="46"/>
  <c r="G36" i="46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AK10" i="46"/>
  <c r="AM5" i="46"/>
  <c r="AN5" i="46" s="1"/>
  <c r="AO5" i="46" s="1"/>
  <c r="AP5" i="46" s="1"/>
  <c r="AG10" i="46" l="1"/>
  <c r="AG9" i="46"/>
  <c r="AG7" i="46"/>
  <c r="AG6" i="46"/>
  <c r="AG13" i="46"/>
  <c r="AG14" i="46"/>
  <c r="AE41" i="43"/>
  <c r="AB41" i="43"/>
  <c r="AC41" i="43"/>
  <c r="Z41" i="43"/>
  <c r="AA39" i="43"/>
  <c r="AA40" i="43"/>
  <c r="AA41" i="43"/>
  <c r="AG41" i="43" s="1"/>
  <c r="N41" i="43"/>
  <c r="O41" i="43"/>
  <c r="P41" i="43"/>
  <c r="Q41" i="43"/>
  <c r="L41" i="43" l="1"/>
  <c r="N40" i="43"/>
  <c r="O40" i="43"/>
  <c r="P40" i="43"/>
  <c r="Q40" i="43"/>
  <c r="L40" i="43"/>
  <c r="N39" i="43"/>
  <c r="O39" i="43"/>
  <c r="P39" i="43"/>
  <c r="Q39" i="43"/>
  <c r="L39" i="43"/>
  <c r="AL5" i="43" l="1"/>
  <c r="AA37" i="43"/>
  <c r="AA38" i="43"/>
  <c r="N38" i="43"/>
  <c r="O38" i="43"/>
  <c r="P38" i="43"/>
  <c r="Q38" i="43"/>
  <c r="L38" i="43"/>
  <c r="D56" i="43" l="1"/>
  <c r="N37" i="43"/>
  <c r="O37" i="43"/>
  <c r="P37" i="43"/>
  <c r="Q37" i="43"/>
  <c r="L37" i="43"/>
  <c r="AA36" i="43" l="1"/>
  <c r="N36" i="43"/>
  <c r="O36" i="43"/>
  <c r="P36" i="43"/>
  <c r="Q36" i="43"/>
  <c r="L36" i="43"/>
  <c r="AA35" i="43" l="1"/>
  <c r="N35" i="43"/>
  <c r="O35" i="43"/>
  <c r="P35" i="43"/>
  <c r="Q35" i="43"/>
  <c r="L35" i="43"/>
  <c r="AA34" i="43" l="1"/>
  <c r="I56" i="43"/>
  <c r="AA31" i="43"/>
  <c r="AA32" i="43"/>
  <c r="AA33" i="43"/>
  <c r="N32" i="43"/>
  <c r="O32" i="43"/>
  <c r="P32" i="43"/>
  <c r="Q32" i="43"/>
  <c r="N33" i="43"/>
  <c r="O33" i="43"/>
  <c r="P33" i="43"/>
  <c r="Q33" i="43"/>
  <c r="N34" i="43"/>
  <c r="O34" i="43"/>
  <c r="P34" i="43"/>
  <c r="Q34" i="43"/>
  <c r="L34" i="43"/>
  <c r="L32" i="43"/>
  <c r="L33" i="43"/>
  <c r="E11" i="45" l="1"/>
  <c r="N31" i="43"/>
  <c r="O31" i="43"/>
  <c r="P31" i="43"/>
  <c r="Q31" i="43"/>
  <c r="L31" i="43"/>
  <c r="G56" i="43" l="1"/>
  <c r="AA30" i="43"/>
  <c r="N30" i="43"/>
  <c r="O30" i="43"/>
  <c r="P30" i="43"/>
  <c r="Q30" i="43"/>
  <c r="L30" i="43"/>
  <c r="AA29" i="43" l="1"/>
  <c r="N29" i="43"/>
  <c r="O29" i="43"/>
  <c r="P29" i="43"/>
  <c r="Q29" i="43"/>
  <c r="L29" i="43"/>
  <c r="D11" i="45" l="1"/>
  <c r="AA28" i="43"/>
  <c r="N28" i="43"/>
  <c r="O28" i="43"/>
  <c r="P28" i="43"/>
  <c r="Q28" i="43"/>
  <c r="L28" i="43"/>
  <c r="AA27" i="43" l="1"/>
  <c r="AA25" i="43"/>
  <c r="AA26" i="43"/>
  <c r="L27" i="43"/>
  <c r="N27" i="43"/>
  <c r="O27" i="43"/>
  <c r="P27" i="43"/>
  <c r="Q27" i="43"/>
  <c r="N26" i="43"/>
  <c r="O26" i="43"/>
  <c r="P26" i="43"/>
  <c r="Q26" i="43"/>
  <c r="L26" i="43"/>
  <c r="N25" i="43"/>
  <c r="O25" i="43"/>
  <c r="P25" i="43"/>
  <c r="Q25" i="43"/>
  <c r="L25" i="43"/>
  <c r="AA24" i="43" l="1"/>
  <c r="N24" i="43"/>
  <c r="O24" i="43"/>
  <c r="P24" i="43"/>
  <c r="Q24" i="43"/>
  <c r="L24" i="43"/>
  <c r="AA23" i="43" l="1"/>
  <c r="N23" i="43"/>
  <c r="O23" i="43"/>
  <c r="P23" i="43"/>
  <c r="Q23" i="43"/>
  <c r="L23" i="43"/>
  <c r="AA21" i="43" l="1"/>
  <c r="AA22" i="43"/>
  <c r="N21" i="43"/>
  <c r="O21" i="43"/>
  <c r="P21" i="43"/>
  <c r="Q21" i="43"/>
  <c r="N22" i="43"/>
  <c r="O22" i="43"/>
  <c r="P22" i="43"/>
  <c r="Q22" i="43"/>
  <c r="L22" i="43"/>
  <c r="L21" i="43" l="1"/>
  <c r="AA18" i="43" l="1"/>
  <c r="AA19" i="43"/>
  <c r="AA20" i="43"/>
  <c r="L19" i="43"/>
  <c r="L20" i="43"/>
  <c r="N18" i="43"/>
  <c r="O18" i="43"/>
  <c r="P18" i="43"/>
  <c r="Q18" i="43"/>
  <c r="N19" i="43"/>
  <c r="O19" i="43"/>
  <c r="P19" i="43"/>
  <c r="Q19" i="43"/>
  <c r="N20" i="43"/>
  <c r="O20" i="43"/>
  <c r="P20" i="43"/>
  <c r="Q20" i="43"/>
  <c r="L18" i="43"/>
  <c r="AA16" i="43" l="1"/>
  <c r="AA17" i="43"/>
  <c r="N16" i="43"/>
  <c r="O16" i="43"/>
  <c r="P16" i="43"/>
  <c r="Q16" i="43"/>
  <c r="N17" i="43"/>
  <c r="O17" i="43"/>
  <c r="P17" i="43"/>
  <c r="Q17" i="43"/>
  <c r="L17" i="43"/>
  <c r="L16" i="43"/>
  <c r="AA15" i="43" l="1"/>
  <c r="L15" i="43"/>
  <c r="N15" i="43"/>
  <c r="O15" i="43"/>
  <c r="P15" i="43"/>
  <c r="Q15" i="43"/>
  <c r="AA14" i="43" l="1"/>
  <c r="N14" i="43"/>
  <c r="O14" i="43"/>
  <c r="P14" i="43"/>
  <c r="Q14" i="43"/>
  <c r="L14" i="43"/>
  <c r="G88" i="44" l="1"/>
  <c r="G89" i="44" s="1"/>
  <c r="G79" i="44"/>
  <c r="G80" i="44" s="1"/>
  <c r="F56" i="44"/>
  <c r="F54" i="44"/>
  <c r="G47" i="44"/>
  <c r="G48" i="44" s="1"/>
  <c r="F47" i="44"/>
  <c r="L19" i="44"/>
  <c r="G17" i="44"/>
  <c r="G18" i="44" s="1"/>
  <c r="F17" i="44"/>
  <c r="AB34" i="43"/>
  <c r="AB35" i="43"/>
  <c r="AB36" i="43"/>
  <c r="AB37" i="43"/>
  <c r="AB38" i="43"/>
  <c r="AB39" i="43"/>
  <c r="AB40" i="43"/>
  <c r="AK10" i="43"/>
  <c r="AM5" i="43"/>
  <c r="AN5" i="43" s="1"/>
  <c r="AO5" i="43" s="1"/>
  <c r="AP5" i="43" s="1"/>
  <c r="AE10" i="43"/>
  <c r="AE11" i="43"/>
  <c r="AE12" i="43"/>
  <c r="AE13" i="43"/>
  <c r="Z10" i="43"/>
  <c r="AA10" i="43"/>
  <c r="AC10" i="43"/>
  <c r="Z11" i="43"/>
  <c r="AA11" i="43"/>
  <c r="AC11" i="43"/>
  <c r="AG11" i="43" s="1"/>
  <c r="Z12" i="43"/>
  <c r="AG12" i="43" s="1"/>
  <c r="AA12" i="43"/>
  <c r="AC12" i="43"/>
  <c r="Z13" i="43"/>
  <c r="AA13" i="43"/>
  <c r="AC13" i="43"/>
  <c r="N10" i="43"/>
  <c r="O10" i="43"/>
  <c r="P10" i="43"/>
  <c r="Q10" i="43"/>
  <c r="N11" i="43"/>
  <c r="O11" i="43"/>
  <c r="P11" i="43"/>
  <c r="Q11" i="43"/>
  <c r="N12" i="43"/>
  <c r="O12" i="43"/>
  <c r="P12" i="43"/>
  <c r="Q12" i="43"/>
  <c r="N13" i="43"/>
  <c r="O13" i="43"/>
  <c r="P13" i="43"/>
  <c r="Q13" i="43"/>
  <c r="L12" i="43"/>
  <c r="L13" i="43"/>
  <c r="AF11" i="43"/>
  <c r="AD11" i="43"/>
  <c r="L11" i="43"/>
  <c r="G11" i="43"/>
  <c r="AF10" i="43"/>
  <c r="AD10" i="43"/>
  <c r="L10" i="43"/>
  <c r="G10" i="43"/>
  <c r="AF9" i="43"/>
  <c r="AE9" i="43"/>
  <c r="AD9" i="43"/>
  <c r="AC9" i="43"/>
  <c r="AG9" i="43" s="1"/>
  <c r="AA9" i="43"/>
  <c r="Z9" i="43"/>
  <c r="Q9" i="43"/>
  <c r="P9" i="43"/>
  <c r="O9" i="43"/>
  <c r="N9" i="43"/>
  <c r="L9" i="43"/>
  <c r="G9" i="43"/>
  <c r="AF8" i="43"/>
  <c r="AE8" i="43"/>
  <c r="AD8" i="43"/>
  <c r="AC8" i="43"/>
  <c r="AA8" i="43"/>
  <c r="Z8" i="43"/>
  <c r="Q8" i="43"/>
  <c r="P8" i="43"/>
  <c r="O8" i="43"/>
  <c r="N8" i="43"/>
  <c r="L8" i="43"/>
  <c r="G8" i="43"/>
  <c r="AF7" i="43"/>
  <c r="AE7" i="43"/>
  <c r="AD7" i="43"/>
  <c r="AC7" i="43"/>
  <c r="AA7" i="43"/>
  <c r="Z7" i="43"/>
  <c r="Q7" i="43"/>
  <c r="P7" i="43"/>
  <c r="O7" i="43"/>
  <c r="N7" i="43"/>
  <c r="L7" i="43"/>
  <c r="G7" i="43"/>
  <c r="AF6" i="43"/>
  <c r="AE6" i="43"/>
  <c r="AD6" i="43"/>
  <c r="AC6" i="43"/>
  <c r="AA6" i="43"/>
  <c r="Z6" i="43"/>
  <c r="Q6" i="43"/>
  <c r="P6" i="43"/>
  <c r="O6" i="43"/>
  <c r="N6" i="43"/>
  <c r="L6" i="43"/>
  <c r="G6" i="43"/>
  <c r="AF5" i="43"/>
  <c r="AE5" i="43"/>
  <c r="AD5" i="43"/>
  <c r="AC5" i="43"/>
  <c r="AA5" i="43"/>
  <c r="Z5" i="43"/>
  <c r="Q5" i="43"/>
  <c r="P5" i="43"/>
  <c r="O5" i="43"/>
  <c r="N5" i="43"/>
  <c r="L5" i="43"/>
  <c r="G5" i="43"/>
  <c r="C53" i="43"/>
  <c r="AF44" i="43"/>
  <c r="AD44" i="43"/>
  <c r="G44" i="43"/>
  <c r="AF43" i="43"/>
  <c r="AD43" i="43"/>
  <c r="G43" i="43"/>
  <c r="AF42" i="43"/>
  <c r="AD42" i="43"/>
  <c r="G42" i="43"/>
  <c r="AF41" i="43"/>
  <c r="AD41" i="43"/>
  <c r="G41" i="43"/>
  <c r="AF40" i="43"/>
  <c r="AE40" i="43"/>
  <c r="AD40" i="43"/>
  <c r="AC40" i="43"/>
  <c r="AG40" i="43" s="1"/>
  <c r="Z40" i="43"/>
  <c r="G40" i="43"/>
  <c r="AF39" i="43"/>
  <c r="AE39" i="43"/>
  <c r="AD39" i="43"/>
  <c r="AC39" i="43"/>
  <c r="AG39" i="43" s="1"/>
  <c r="Z39" i="43"/>
  <c r="G39" i="43"/>
  <c r="AF38" i="43"/>
  <c r="AE38" i="43"/>
  <c r="AD38" i="43"/>
  <c r="AC38" i="43"/>
  <c r="Z38" i="43"/>
  <c r="G38" i="43"/>
  <c r="AF37" i="43"/>
  <c r="AE37" i="43"/>
  <c r="AD37" i="43"/>
  <c r="AC37" i="43"/>
  <c r="Z37" i="43"/>
  <c r="G37" i="43"/>
  <c r="AF36" i="43"/>
  <c r="AE36" i="43"/>
  <c r="AD36" i="43"/>
  <c r="AC36" i="43"/>
  <c r="Z36" i="43"/>
  <c r="G36" i="43"/>
  <c r="AF35" i="43"/>
  <c r="AE35" i="43"/>
  <c r="AD35" i="43"/>
  <c r="AC35" i="43"/>
  <c r="Z35" i="43"/>
  <c r="G35" i="43"/>
  <c r="AF34" i="43"/>
  <c r="AE34" i="43"/>
  <c r="AD34" i="43"/>
  <c r="AC34" i="43"/>
  <c r="Z34" i="43"/>
  <c r="G34" i="43"/>
  <c r="AF33" i="43"/>
  <c r="AE33" i="43"/>
  <c r="AD33" i="43"/>
  <c r="AC33" i="43"/>
  <c r="AB33" i="43"/>
  <c r="Z33" i="43"/>
  <c r="G33" i="43"/>
  <c r="AF32" i="43"/>
  <c r="AE32" i="43"/>
  <c r="AD32" i="43"/>
  <c r="AC32" i="43"/>
  <c r="AB32" i="43"/>
  <c r="Z32" i="43"/>
  <c r="G32" i="43"/>
  <c r="AF31" i="43"/>
  <c r="AE31" i="43"/>
  <c r="AD31" i="43"/>
  <c r="AC31" i="43"/>
  <c r="AB31" i="43"/>
  <c r="Z31" i="43"/>
  <c r="G31" i="43"/>
  <c r="AF30" i="43"/>
  <c r="AE30" i="43"/>
  <c r="AD30" i="43"/>
  <c r="AC30" i="43"/>
  <c r="AB30" i="43"/>
  <c r="Z30" i="43"/>
  <c r="G30" i="43"/>
  <c r="AF29" i="43"/>
  <c r="AE29" i="43"/>
  <c r="AD29" i="43"/>
  <c r="AC29" i="43"/>
  <c r="AB29" i="43"/>
  <c r="Z29" i="43"/>
  <c r="G29" i="43"/>
  <c r="AF28" i="43"/>
  <c r="AE28" i="43"/>
  <c r="AD28" i="43"/>
  <c r="AC28" i="43"/>
  <c r="AB28" i="43"/>
  <c r="Z28" i="43"/>
  <c r="G28" i="43"/>
  <c r="AF27" i="43"/>
  <c r="AE27" i="43"/>
  <c r="AD27" i="43"/>
  <c r="AC27" i="43"/>
  <c r="AB27" i="43"/>
  <c r="Z27" i="43"/>
  <c r="G27" i="43"/>
  <c r="AF26" i="43"/>
  <c r="AE26" i="43"/>
  <c r="AD26" i="43"/>
  <c r="AC26" i="43"/>
  <c r="AB26" i="43"/>
  <c r="Z26" i="43"/>
  <c r="G26" i="43"/>
  <c r="AF25" i="43"/>
  <c r="AE25" i="43"/>
  <c r="AD25" i="43"/>
  <c r="AC25" i="43"/>
  <c r="AB25" i="43"/>
  <c r="Z25" i="43"/>
  <c r="G25" i="43"/>
  <c r="AF24" i="43"/>
  <c r="AE24" i="43"/>
  <c r="AD24" i="43"/>
  <c r="AC24" i="43"/>
  <c r="AB24" i="43"/>
  <c r="Z24" i="43"/>
  <c r="G24" i="43"/>
  <c r="AF23" i="43"/>
  <c r="AE23" i="43"/>
  <c r="AD23" i="43"/>
  <c r="AC23" i="43"/>
  <c r="AG23" i="43" s="1"/>
  <c r="AB23" i="43"/>
  <c r="Z23" i="43"/>
  <c r="G23" i="43"/>
  <c r="AF22" i="43"/>
  <c r="AE22" i="43"/>
  <c r="AD22" i="43"/>
  <c r="AC22" i="43"/>
  <c r="AG22" i="43" s="1"/>
  <c r="AB22" i="43"/>
  <c r="Z22" i="43"/>
  <c r="G22" i="43"/>
  <c r="AF21" i="43"/>
  <c r="AE21" i="43"/>
  <c r="AD21" i="43"/>
  <c r="AC21" i="43"/>
  <c r="AG21" i="43" s="1"/>
  <c r="AB21" i="43"/>
  <c r="Z21" i="43"/>
  <c r="G21" i="43"/>
  <c r="AF20" i="43"/>
  <c r="AE20" i="43"/>
  <c r="AD20" i="43"/>
  <c r="AC20" i="43"/>
  <c r="AB20" i="43"/>
  <c r="Z20" i="43"/>
  <c r="G20" i="43"/>
  <c r="AF19" i="43"/>
  <c r="AE19" i="43"/>
  <c r="AD19" i="43"/>
  <c r="AC19" i="43"/>
  <c r="AB19" i="43"/>
  <c r="Z19" i="43"/>
  <c r="G19" i="43"/>
  <c r="AF18" i="43"/>
  <c r="AE18" i="43"/>
  <c r="AD18" i="43"/>
  <c r="AC18" i="43"/>
  <c r="AB18" i="43"/>
  <c r="Z18" i="43"/>
  <c r="G18" i="43"/>
  <c r="AF17" i="43"/>
  <c r="AE17" i="43"/>
  <c r="AD17" i="43"/>
  <c r="AC17" i="43"/>
  <c r="AB17" i="43"/>
  <c r="Z17" i="43"/>
  <c r="G17" i="43"/>
  <c r="AF16" i="43"/>
  <c r="AE16" i="43"/>
  <c r="AD16" i="43"/>
  <c r="AC16" i="43"/>
  <c r="AB16" i="43"/>
  <c r="Z16" i="43"/>
  <c r="G16" i="43"/>
  <c r="AF15" i="43"/>
  <c r="AE15" i="43"/>
  <c r="AD15" i="43"/>
  <c r="AC15" i="43"/>
  <c r="AB15" i="43"/>
  <c r="Z15" i="43"/>
  <c r="G15" i="43"/>
  <c r="AF14" i="43"/>
  <c r="AE14" i="43"/>
  <c r="AD14" i="43"/>
  <c r="AC14" i="43"/>
  <c r="AB14" i="43"/>
  <c r="Z14" i="43"/>
  <c r="G14" i="43"/>
  <c r="AF13" i="43"/>
  <c r="AD13" i="43"/>
  <c r="G13" i="43"/>
  <c r="AF12" i="43"/>
  <c r="AD12" i="43"/>
  <c r="G12" i="43"/>
  <c r="AG26" i="43" l="1"/>
  <c r="AG28" i="43"/>
  <c r="AG31" i="43"/>
  <c r="F79" i="44"/>
  <c r="AG13" i="43"/>
  <c r="AG10" i="43"/>
  <c r="AG38" i="43"/>
  <c r="AG5" i="43"/>
  <c r="AG6" i="43"/>
  <c r="AG7" i="43"/>
  <c r="AG8" i="43"/>
  <c r="AG18" i="43"/>
  <c r="AG24" i="43"/>
  <c r="AG27" i="43"/>
  <c r="AG33" i="43"/>
  <c r="AG36" i="43"/>
  <c r="AG35" i="43"/>
  <c r="AG34" i="43"/>
  <c r="AG32" i="43"/>
  <c r="AG30" i="43"/>
  <c r="AG29" i="43"/>
  <c r="AG25" i="43"/>
  <c r="AG20" i="43"/>
  <c r="AG19" i="43"/>
  <c r="AG17" i="43"/>
  <c r="AG16" i="43"/>
  <c r="AG15" i="43"/>
  <c r="AG14" i="43"/>
  <c r="AG37" i="43"/>
  <c r="AE40" i="42"/>
  <c r="Z40" i="42"/>
  <c r="AA40" i="42"/>
  <c r="AC40" i="42"/>
  <c r="N40" i="42"/>
  <c r="O40" i="42"/>
  <c r="P40" i="42"/>
  <c r="Q40" i="42"/>
  <c r="AL5" i="42"/>
  <c r="N39" i="42" l="1"/>
  <c r="O39" i="42"/>
  <c r="P39" i="42"/>
  <c r="Q39" i="42"/>
  <c r="AE39" i="42"/>
  <c r="Z39" i="42"/>
  <c r="AA39" i="42"/>
  <c r="AC39" i="42"/>
  <c r="AG39" i="42" l="1"/>
  <c r="AE35" i="42"/>
  <c r="AE36" i="42"/>
  <c r="AE37" i="42"/>
  <c r="AE38" i="42"/>
  <c r="Z38" i="42"/>
  <c r="AA38" i="42"/>
  <c r="AC38" i="42"/>
  <c r="AG38" i="42" s="1"/>
  <c r="N38" i="42"/>
  <c r="O38" i="42"/>
  <c r="P38" i="42"/>
  <c r="Q38" i="42"/>
  <c r="D56" i="42" l="1"/>
  <c r="N37" i="42"/>
  <c r="O37" i="42"/>
  <c r="P37" i="42"/>
  <c r="Q37" i="42"/>
  <c r="N35" i="42"/>
  <c r="O35" i="42"/>
  <c r="P35" i="42"/>
  <c r="Q35" i="42"/>
  <c r="N36" i="42"/>
  <c r="O36" i="42"/>
  <c r="P36" i="42"/>
  <c r="Q36" i="42"/>
  <c r="Z35" i="42"/>
  <c r="AA35" i="42"/>
  <c r="AC35" i="42"/>
  <c r="AG35" i="42" s="1"/>
  <c r="Z36" i="42"/>
  <c r="AA36" i="42"/>
  <c r="AC36" i="42"/>
  <c r="AG36" i="42" s="1"/>
  <c r="Z37" i="42"/>
  <c r="AA37" i="42"/>
  <c r="AC37" i="42"/>
  <c r="AG37" i="42" s="1"/>
  <c r="L35" i="42"/>
  <c r="L36" i="42"/>
  <c r="L37" i="42"/>
  <c r="L38" i="42"/>
  <c r="L39" i="42"/>
  <c r="L40" i="42"/>
  <c r="L41" i="42"/>
  <c r="L42" i="42"/>
  <c r="L43" i="42"/>
  <c r="L44" i="42"/>
  <c r="G36" i="42"/>
  <c r="G37" i="42"/>
  <c r="G38" i="42"/>
  <c r="G39" i="42"/>
  <c r="G40" i="42"/>
  <c r="G41" i="42"/>
  <c r="G42" i="42"/>
  <c r="Z34" i="42" l="1"/>
  <c r="AE34" i="42"/>
  <c r="AA34" i="42"/>
  <c r="AC34" i="42"/>
  <c r="AG34" i="42" s="1"/>
  <c r="N34" i="42"/>
  <c r="O34" i="42"/>
  <c r="P34" i="42"/>
  <c r="Q34" i="42"/>
  <c r="L34" i="42"/>
  <c r="AE33" i="42" l="1"/>
  <c r="Z33" i="42"/>
  <c r="AA33" i="42"/>
  <c r="AB33" i="42"/>
  <c r="AC33" i="42"/>
  <c r="AG33" i="42" s="1"/>
  <c r="N33" i="42"/>
  <c r="O33" i="42"/>
  <c r="P33" i="42"/>
  <c r="Q33" i="42"/>
  <c r="L33" i="42"/>
  <c r="AE32" i="42"/>
  <c r="Z32" i="42"/>
  <c r="AA32" i="42"/>
  <c r="AB32" i="42"/>
  <c r="AG32" i="42" s="1"/>
  <c r="AC32" i="42"/>
  <c r="L32" i="42"/>
  <c r="N32" i="42"/>
  <c r="O32" i="42"/>
  <c r="P32" i="42"/>
  <c r="Q32" i="42"/>
  <c r="AE31" i="42" l="1"/>
  <c r="Z31" i="42"/>
  <c r="AA31" i="42"/>
  <c r="AB31" i="42"/>
  <c r="AC31" i="42"/>
  <c r="N31" i="42"/>
  <c r="O31" i="42"/>
  <c r="P31" i="42"/>
  <c r="Q31" i="42"/>
  <c r="L31" i="42"/>
  <c r="AG31" i="42" l="1"/>
  <c r="AE28" i="42"/>
  <c r="AE29" i="42"/>
  <c r="AE30" i="42"/>
  <c r="AC28" i="42"/>
  <c r="AG28" i="42" s="1"/>
  <c r="AC29" i="42"/>
  <c r="AG29" i="42" s="1"/>
  <c r="AC30" i="42"/>
  <c r="AC26" i="42"/>
  <c r="AC27" i="42"/>
  <c r="AB30" i="42"/>
  <c r="AB20" i="42"/>
  <c r="AB21" i="42"/>
  <c r="AB22" i="42"/>
  <c r="AB23" i="42"/>
  <c r="AB24" i="42"/>
  <c r="AB25" i="42"/>
  <c r="AB26" i="42"/>
  <c r="AB27" i="42"/>
  <c r="AB28" i="42"/>
  <c r="AB29" i="42"/>
  <c r="AA29" i="42"/>
  <c r="AA30" i="42"/>
  <c r="Z27" i="42"/>
  <c r="Z28" i="42"/>
  <c r="Z29" i="42"/>
  <c r="Z30" i="42"/>
  <c r="N30" i="42"/>
  <c r="O30" i="42"/>
  <c r="P30" i="42"/>
  <c r="Q30" i="42"/>
  <c r="L30" i="42"/>
  <c r="N29" i="42"/>
  <c r="O29" i="42"/>
  <c r="P29" i="42"/>
  <c r="Q29" i="42"/>
  <c r="L29" i="42"/>
  <c r="N28" i="42"/>
  <c r="O28" i="42"/>
  <c r="P28" i="42"/>
  <c r="Q28" i="42"/>
  <c r="L28" i="42"/>
  <c r="AA28" i="42"/>
  <c r="AA27" i="42"/>
  <c r="AG30" i="42" l="1"/>
  <c r="N27" i="42"/>
  <c r="O27" i="42"/>
  <c r="P27" i="42"/>
  <c r="Q27" i="42"/>
  <c r="L27" i="42"/>
  <c r="AG27" i="42"/>
  <c r="AE27" i="42"/>
  <c r="AE25" i="42" l="1"/>
  <c r="AE26" i="42"/>
  <c r="Z25" i="42"/>
  <c r="AA25" i="42"/>
  <c r="AC25" i="42"/>
  <c r="AG25" i="42" s="1"/>
  <c r="Z26" i="42"/>
  <c r="AA26" i="42"/>
  <c r="N25" i="42"/>
  <c r="O25" i="42"/>
  <c r="P25" i="42"/>
  <c r="Q25" i="42"/>
  <c r="N26" i="42"/>
  <c r="O26" i="42"/>
  <c r="P26" i="42"/>
  <c r="Q26" i="42"/>
  <c r="L25" i="42"/>
  <c r="L26" i="42"/>
  <c r="N24" i="42"/>
  <c r="O24" i="42"/>
  <c r="P24" i="42"/>
  <c r="Q24" i="42"/>
  <c r="L24" i="42"/>
  <c r="AG24" i="42"/>
  <c r="AE24" i="42"/>
  <c r="AC24" i="42"/>
  <c r="AA24" i="42"/>
  <c r="AA20" i="42"/>
  <c r="AA21" i="42"/>
  <c r="AA22" i="42"/>
  <c r="AA23" i="42"/>
  <c r="Z24" i="42"/>
  <c r="AG26" i="42" l="1"/>
  <c r="AE23" i="42"/>
  <c r="AC23" i="42"/>
  <c r="Z23" i="42"/>
  <c r="N23" i="42"/>
  <c r="O23" i="42"/>
  <c r="P23" i="42"/>
  <c r="Q23" i="42"/>
  <c r="L23" i="42"/>
  <c r="AE21" i="42"/>
  <c r="AE22" i="42"/>
  <c r="AC22" i="42"/>
  <c r="AG22" i="42" s="1"/>
  <c r="Z22" i="42"/>
  <c r="N22" i="42"/>
  <c r="O22" i="42"/>
  <c r="P22" i="42"/>
  <c r="Q22" i="42"/>
  <c r="L22" i="42"/>
  <c r="AC21" i="42"/>
  <c r="AG21" i="42" s="1"/>
  <c r="Z21" i="42"/>
  <c r="N21" i="42"/>
  <c r="O21" i="42"/>
  <c r="P21" i="42"/>
  <c r="Q21" i="42"/>
  <c r="L21" i="42"/>
  <c r="AG23" i="42" l="1"/>
  <c r="Z20" i="42"/>
  <c r="AE20" i="42" l="1"/>
  <c r="AC20" i="42"/>
  <c r="AG20" i="42" s="1"/>
  <c r="N20" i="42"/>
  <c r="O20" i="42"/>
  <c r="P20" i="42"/>
  <c r="Q20" i="42"/>
  <c r="L20" i="42"/>
  <c r="AK10" i="42"/>
  <c r="L19" i="42" l="1"/>
  <c r="N19" i="42"/>
  <c r="O19" i="42"/>
  <c r="P19" i="42"/>
  <c r="Q19" i="42"/>
  <c r="AE19" i="42"/>
  <c r="Z19" i="42"/>
  <c r="AA19" i="42"/>
  <c r="AB19" i="42"/>
  <c r="AC19" i="42"/>
  <c r="AG19" i="42" l="1"/>
  <c r="L18" i="42"/>
  <c r="N18" i="42"/>
  <c r="O18" i="42"/>
  <c r="P18" i="42"/>
  <c r="Q18" i="42"/>
  <c r="AE18" i="42" l="1"/>
  <c r="Z18" i="42"/>
  <c r="AA18" i="42"/>
  <c r="AB18" i="42"/>
  <c r="AC18" i="42"/>
  <c r="AB6" i="42"/>
  <c r="AB7" i="42"/>
  <c r="AB8" i="42"/>
  <c r="AB9" i="42"/>
  <c r="AB10" i="42"/>
  <c r="AB11" i="42"/>
  <c r="AB12" i="42"/>
  <c r="AB13" i="42"/>
  <c r="AB14" i="42"/>
  <c r="AB15" i="42"/>
  <c r="AB16" i="42"/>
  <c r="AB17" i="42"/>
  <c r="AA6" i="42"/>
  <c r="AA7" i="42"/>
  <c r="AA8" i="42"/>
  <c r="AA9" i="42"/>
  <c r="AA10" i="42"/>
  <c r="AA11" i="42"/>
  <c r="AA12" i="42"/>
  <c r="AA13" i="42"/>
  <c r="AA14" i="42"/>
  <c r="AA15" i="42"/>
  <c r="AA16" i="42"/>
  <c r="AA17" i="42"/>
  <c r="Z6" i="42"/>
  <c r="Z7" i="42"/>
  <c r="Z8" i="42"/>
  <c r="Z9" i="42"/>
  <c r="Z10" i="42"/>
  <c r="Z11" i="42"/>
  <c r="Z12" i="42"/>
  <c r="Z13" i="42"/>
  <c r="Z14" i="42"/>
  <c r="Z15" i="42"/>
  <c r="Z16" i="42"/>
  <c r="Z17" i="42"/>
  <c r="AG18" i="42" l="1"/>
  <c r="AC17" i="42"/>
  <c r="L17" i="42"/>
  <c r="N17" i="42"/>
  <c r="O17" i="42"/>
  <c r="P17" i="42"/>
  <c r="Q17" i="42"/>
  <c r="AG17" i="42"/>
  <c r="AE17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43" i="42"/>
  <c r="G44" i="42"/>
  <c r="C53" i="42" l="1"/>
  <c r="AF44" i="42"/>
  <c r="AD44" i="42"/>
  <c r="AF43" i="42"/>
  <c r="AD43" i="42"/>
  <c r="AF42" i="42"/>
  <c r="AD42" i="42"/>
  <c r="AF41" i="42"/>
  <c r="AD41" i="42"/>
  <c r="AF40" i="42"/>
  <c r="AD40" i="42"/>
  <c r="AF39" i="42"/>
  <c r="AD39" i="42"/>
  <c r="AF38" i="42"/>
  <c r="AD38" i="42"/>
  <c r="AF37" i="42"/>
  <c r="AD37" i="42"/>
  <c r="AF36" i="42"/>
  <c r="AD36" i="42"/>
  <c r="AF35" i="42"/>
  <c r="AD35" i="42"/>
  <c r="AF34" i="42"/>
  <c r="AD34" i="42"/>
  <c r="AF33" i="42"/>
  <c r="AD33" i="42"/>
  <c r="AF32" i="42"/>
  <c r="AD32" i="42"/>
  <c r="AF31" i="42"/>
  <c r="AD31" i="42"/>
  <c r="AF30" i="42"/>
  <c r="AD30" i="42"/>
  <c r="AF29" i="42"/>
  <c r="AD29" i="42"/>
  <c r="AF28" i="42"/>
  <c r="AD28" i="42"/>
  <c r="AF27" i="42"/>
  <c r="AD27" i="42"/>
  <c r="AF26" i="42"/>
  <c r="AD26" i="42"/>
  <c r="AF25" i="42"/>
  <c r="AD25" i="42"/>
  <c r="AF24" i="42"/>
  <c r="AD24" i="42"/>
  <c r="AF23" i="42"/>
  <c r="AD23" i="42"/>
  <c r="AF22" i="42"/>
  <c r="AD22" i="42"/>
  <c r="AF21" i="42"/>
  <c r="AD21" i="42"/>
  <c r="AF20" i="42"/>
  <c r="AD20" i="42"/>
  <c r="AF19" i="42"/>
  <c r="AD19" i="42"/>
  <c r="AF18" i="42"/>
  <c r="AD18" i="42"/>
  <c r="AF17" i="42"/>
  <c r="AD17" i="42"/>
  <c r="AF16" i="42"/>
  <c r="AE16" i="42"/>
  <c r="AD16" i="42"/>
  <c r="AC16" i="42"/>
  <c r="AG16" i="42" s="1"/>
  <c r="Q16" i="42"/>
  <c r="P16" i="42"/>
  <c r="O16" i="42"/>
  <c r="N16" i="42"/>
  <c r="L16" i="42"/>
  <c r="AF15" i="42"/>
  <c r="AE15" i="42"/>
  <c r="AD15" i="42"/>
  <c r="AC15" i="42"/>
  <c r="AG15" i="42" s="1"/>
  <c r="Q15" i="42"/>
  <c r="P15" i="42"/>
  <c r="O15" i="42"/>
  <c r="N15" i="42"/>
  <c r="L15" i="42"/>
  <c r="AF14" i="42"/>
  <c r="AE14" i="42"/>
  <c r="AD14" i="42"/>
  <c r="AC14" i="42"/>
  <c r="AG14" i="42" s="1"/>
  <c r="Q14" i="42"/>
  <c r="P14" i="42"/>
  <c r="O14" i="42"/>
  <c r="N14" i="42"/>
  <c r="L14" i="42"/>
  <c r="AF13" i="42"/>
  <c r="AE13" i="42"/>
  <c r="AD13" i="42"/>
  <c r="AC13" i="42"/>
  <c r="AG13" i="42" s="1"/>
  <c r="Q13" i="42"/>
  <c r="P13" i="42"/>
  <c r="O13" i="42"/>
  <c r="N13" i="42"/>
  <c r="L13" i="42"/>
  <c r="AF12" i="42"/>
  <c r="AE12" i="42"/>
  <c r="AD12" i="42"/>
  <c r="AC12" i="42"/>
  <c r="Q12" i="42"/>
  <c r="P12" i="42"/>
  <c r="O12" i="42"/>
  <c r="N12" i="42"/>
  <c r="L12" i="42"/>
  <c r="AF11" i="42"/>
  <c r="AE11" i="42"/>
  <c r="AD11" i="42"/>
  <c r="AC11" i="42"/>
  <c r="AG11" i="42" s="1"/>
  <c r="Q11" i="42"/>
  <c r="P11" i="42"/>
  <c r="O11" i="42"/>
  <c r="N11" i="42"/>
  <c r="L11" i="42"/>
  <c r="AF10" i="42"/>
  <c r="AE10" i="42"/>
  <c r="AD10" i="42"/>
  <c r="AC10" i="42"/>
  <c r="Q10" i="42"/>
  <c r="P10" i="42"/>
  <c r="O10" i="42"/>
  <c r="N10" i="42"/>
  <c r="L10" i="42"/>
  <c r="AF9" i="42"/>
  <c r="AE9" i="42"/>
  <c r="AD9" i="42"/>
  <c r="AC9" i="42"/>
  <c r="Q9" i="42"/>
  <c r="P9" i="42"/>
  <c r="O9" i="42"/>
  <c r="N9" i="42"/>
  <c r="L9" i="42"/>
  <c r="AF8" i="42"/>
  <c r="AE8" i="42"/>
  <c r="AD8" i="42"/>
  <c r="AC8" i="42"/>
  <c r="Q8" i="42"/>
  <c r="P8" i="42"/>
  <c r="O8" i="42"/>
  <c r="N8" i="42"/>
  <c r="L8" i="42"/>
  <c r="AF7" i="42"/>
  <c r="AE7" i="42"/>
  <c r="AD7" i="42"/>
  <c r="AC7" i="42"/>
  <c r="Q7" i="42"/>
  <c r="P7" i="42"/>
  <c r="O7" i="42"/>
  <c r="N7" i="42"/>
  <c r="L7" i="42"/>
  <c r="AF6" i="42"/>
  <c r="AE6" i="42"/>
  <c r="AD6" i="42"/>
  <c r="AC6" i="42"/>
  <c r="Q6" i="42"/>
  <c r="P6" i="42"/>
  <c r="O6" i="42"/>
  <c r="N6" i="42"/>
  <c r="L6" i="42"/>
  <c r="AM5" i="42"/>
  <c r="AN5" i="42" s="1"/>
  <c r="AO5" i="42" s="1"/>
  <c r="AP5" i="42" s="1"/>
  <c r="AF5" i="42"/>
  <c r="AE5" i="42"/>
  <c r="AD5" i="42"/>
  <c r="AC5" i="42"/>
  <c r="AG5" i="42" s="1"/>
  <c r="AB5" i="42"/>
  <c r="AA5" i="42"/>
  <c r="Z5" i="42"/>
  <c r="Q5" i="42"/>
  <c r="P5" i="42"/>
  <c r="O5" i="42"/>
  <c r="N5" i="42"/>
  <c r="L5" i="42"/>
  <c r="AG8" i="42" l="1"/>
  <c r="AG10" i="42"/>
  <c r="AG12" i="42"/>
  <c r="AG6" i="42"/>
  <c r="AG7" i="42"/>
  <c r="AG9" i="42"/>
  <c r="G88" i="41"/>
  <c r="G89" i="41" s="1"/>
  <c r="G79" i="41"/>
  <c r="G80" i="41" s="1"/>
  <c r="F56" i="41"/>
  <c r="F54" i="41"/>
  <c r="F79" i="41" s="1"/>
  <c r="G47" i="41"/>
  <c r="G48" i="41" s="1"/>
  <c r="F47" i="41"/>
  <c r="G17" i="41"/>
  <c r="G18" i="41" s="1"/>
  <c r="F17" i="41"/>
  <c r="L19" i="41"/>
  <c r="Y5" i="39" l="1"/>
  <c r="L37" i="39"/>
  <c r="M37" i="39"/>
  <c r="N37" i="39"/>
  <c r="O37" i="39"/>
  <c r="L38" i="39"/>
  <c r="M38" i="39"/>
  <c r="N38" i="39"/>
  <c r="O38" i="39"/>
  <c r="L39" i="39"/>
  <c r="M39" i="39"/>
  <c r="N39" i="39"/>
  <c r="O39" i="39"/>
  <c r="L36" i="39" l="1"/>
  <c r="M36" i="39"/>
  <c r="N36" i="39"/>
  <c r="O36" i="39"/>
  <c r="L35" i="39" l="1"/>
  <c r="M35" i="39"/>
  <c r="N35" i="39"/>
  <c r="O35" i="39"/>
  <c r="L34" i="39" l="1"/>
  <c r="M34" i="39"/>
  <c r="N34" i="39"/>
  <c r="O34" i="39"/>
  <c r="L33" i="39" l="1"/>
  <c r="M33" i="39"/>
  <c r="N33" i="39"/>
  <c r="O33" i="39"/>
  <c r="L29" i="39" l="1"/>
  <c r="M29" i="39"/>
  <c r="N29" i="39"/>
  <c r="O29" i="39"/>
  <c r="L30" i="39"/>
  <c r="M30" i="39"/>
  <c r="N30" i="39"/>
  <c r="O30" i="39"/>
  <c r="L31" i="39"/>
  <c r="M31" i="39"/>
  <c r="N31" i="39"/>
  <c r="O31" i="39"/>
  <c r="L32" i="39"/>
  <c r="M32" i="39"/>
  <c r="N32" i="39"/>
  <c r="O32" i="39"/>
  <c r="L28" i="39" l="1"/>
  <c r="M28" i="39"/>
  <c r="N28" i="39"/>
  <c r="O28" i="39"/>
  <c r="L27" i="39" l="1"/>
  <c r="M27" i="39"/>
  <c r="N27" i="39"/>
  <c r="O27" i="39"/>
  <c r="L26" i="39" l="1"/>
  <c r="M26" i="39"/>
  <c r="N26" i="39"/>
  <c r="O26" i="39"/>
  <c r="L23" i="39" l="1"/>
  <c r="M23" i="39"/>
  <c r="N23" i="39"/>
  <c r="O23" i="39"/>
  <c r="L24" i="39"/>
  <c r="M24" i="39"/>
  <c r="N24" i="39"/>
  <c r="O24" i="39"/>
  <c r="L25" i="39"/>
  <c r="M25" i="39"/>
  <c r="N25" i="39"/>
  <c r="O25" i="39"/>
  <c r="L22" i="39"/>
  <c r="M22" i="39" l="1"/>
  <c r="N22" i="39"/>
  <c r="O22" i="39"/>
  <c r="L21" i="39" l="1"/>
  <c r="M21" i="39"/>
  <c r="N21" i="39"/>
  <c r="O21" i="39"/>
  <c r="L20" i="39" l="1"/>
  <c r="M20" i="39"/>
  <c r="N20" i="39"/>
  <c r="O20" i="39"/>
  <c r="L16" i="39" l="1"/>
  <c r="M16" i="39"/>
  <c r="N16" i="39"/>
  <c r="O16" i="39"/>
  <c r="L17" i="39"/>
  <c r="M17" i="39"/>
  <c r="N17" i="39"/>
  <c r="O17" i="39"/>
  <c r="L18" i="39"/>
  <c r="M18" i="39"/>
  <c r="N18" i="39"/>
  <c r="O18" i="39"/>
  <c r="L19" i="39"/>
  <c r="M19" i="39"/>
  <c r="N19" i="39"/>
  <c r="O19" i="39"/>
  <c r="L15" i="39" l="1"/>
  <c r="M15" i="39"/>
  <c r="N15" i="39"/>
  <c r="O15" i="39"/>
  <c r="L14" i="39" l="1"/>
  <c r="M14" i="39"/>
  <c r="N14" i="39"/>
  <c r="O14" i="39"/>
  <c r="T13" i="39" l="1"/>
  <c r="L13" i="39"/>
  <c r="M13" i="39"/>
  <c r="N13" i="39"/>
  <c r="O13" i="39"/>
  <c r="L12" i="39" l="1"/>
  <c r="M12" i="39"/>
  <c r="N12" i="39"/>
  <c r="O12" i="39"/>
  <c r="C53" i="39" l="1"/>
  <c r="K5" i="39"/>
  <c r="K6" i="39"/>
  <c r="K7" i="39"/>
  <c r="K8" i="39"/>
  <c r="K9" i="39"/>
  <c r="K10" i="39"/>
  <c r="K11" i="39"/>
  <c r="L5" i="39"/>
  <c r="M5" i="39"/>
  <c r="N5" i="39"/>
  <c r="O5" i="39"/>
  <c r="T5" i="39"/>
  <c r="L6" i="39"/>
  <c r="M6" i="39"/>
  <c r="N6" i="39"/>
  <c r="O6" i="39"/>
  <c r="T6" i="39"/>
  <c r="L7" i="39"/>
  <c r="M7" i="39"/>
  <c r="N7" i="39"/>
  <c r="O7" i="39"/>
  <c r="T7" i="39"/>
  <c r="L8" i="39"/>
  <c r="M8" i="39"/>
  <c r="N8" i="39"/>
  <c r="O8" i="39"/>
  <c r="T8" i="39"/>
  <c r="L9" i="39"/>
  <c r="M9" i="39"/>
  <c r="N9" i="39"/>
  <c r="O9" i="39"/>
  <c r="T9" i="39"/>
  <c r="L10" i="39"/>
  <c r="M10" i="39"/>
  <c r="N10" i="39"/>
  <c r="O10" i="39"/>
  <c r="T10" i="39"/>
  <c r="L11" i="39"/>
  <c r="M11" i="39"/>
  <c r="N11" i="39"/>
  <c r="O11" i="39"/>
  <c r="T11" i="39"/>
  <c r="K12" i="39"/>
  <c r="T12" i="39"/>
  <c r="K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Y5" i="37"/>
  <c r="D56" i="37"/>
  <c r="L40" i="37"/>
  <c r="M40" i="37"/>
  <c r="N40" i="37"/>
  <c r="O40" i="37"/>
  <c r="L41" i="37"/>
  <c r="M41" i="37"/>
  <c r="N41" i="37"/>
  <c r="O41" i="37"/>
  <c r="L42" i="37"/>
  <c r="M42" i="37"/>
  <c r="N42" i="37"/>
  <c r="O42" i="37"/>
  <c r="L39" i="37" l="1"/>
  <c r="M39" i="37"/>
  <c r="N39" i="37"/>
  <c r="O39" i="37"/>
  <c r="L38" i="37" l="1"/>
  <c r="M38" i="37"/>
  <c r="N38" i="37"/>
  <c r="O38" i="37"/>
  <c r="L19" i="38" l="1"/>
  <c r="L37" i="37"/>
  <c r="M37" i="37"/>
  <c r="N37" i="37"/>
  <c r="O37" i="37"/>
  <c r="K44" i="39" l="1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28" i="39"/>
  <c r="K27" i="39"/>
  <c r="K26" i="39"/>
  <c r="K25" i="39"/>
  <c r="K24" i="39"/>
  <c r="K23" i="39"/>
  <c r="K22" i="39"/>
  <c r="K21" i="39"/>
  <c r="K20" i="39"/>
  <c r="K19" i="39"/>
  <c r="K18" i="39"/>
  <c r="K17" i="39"/>
  <c r="K16" i="39"/>
  <c r="K15" i="39"/>
  <c r="K14" i="39"/>
  <c r="Z5" i="39"/>
  <c r="AA5" i="39" s="1"/>
  <c r="AB5" i="39" s="1"/>
  <c r="AC5" i="39" s="1"/>
  <c r="T5" i="37"/>
  <c r="T6" i="37"/>
  <c r="T7" i="37"/>
  <c r="T8" i="37"/>
  <c r="T9" i="37"/>
  <c r="T10" i="37"/>
  <c r="T11" i="37"/>
  <c r="T12" i="37"/>
  <c r="T13" i="37"/>
  <c r="T14" i="37"/>
  <c r="T15" i="37"/>
  <c r="T16" i="37"/>
  <c r="T17" i="37"/>
  <c r="T18" i="37"/>
  <c r="T19" i="37"/>
  <c r="T20" i="37"/>
  <c r="T21" i="37"/>
  <c r="T22" i="37"/>
  <c r="T23" i="37"/>
  <c r="T24" i="37"/>
  <c r="T25" i="37"/>
  <c r="T26" i="37"/>
  <c r="T27" i="37"/>
  <c r="T28" i="37"/>
  <c r="T29" i="37"/>
  <c r="T30" i="37"/>
  <c r="T31" i="37"/>
  <c r="T32" i="37"/>
  <c r="T33" i="37"/>
  <c r="T34" i="37"/>
  <c r="T35" i="37"/>
  <c r="T36" i="37"/>
  <c r="T37" i="37"/>
  <c r="T38" i="37"/>
  <c r="T39" i="37"/>
  <c r="T40" i="37"/>
  <c r="T41" i="37"/>
  <c r="T42" i="37"/>
  <c r="T43" i="37"/>
  <c r="T44" i="37"/>
  <c r="L36" i="37"/>
  <c r="M36" i="37"/>
  <c r="N36" i="37"/>
  <c r="O36" i="37"/>
  <c r="K44" i="37" l="1"/>
  <c r="K43" i="37"/>
  <c r="K42" i="37"/>
  <c r="K41" i="37"/>
  <c r="K40" i="37"/>
  <c r="K39" i="37"/>
  <c r="K38" i="37"/>
  <c r="K37" i="37"/>
  <c r="K36" i="37"/>
  <c r="O35" i="37"/>
  <c r="N35" i="37"/>
  <c r="C51" i="37" s="1"/>
  <c r="M35" i="37"/>
  <c r="L35" i="37"/>
  <c r="K35" i="37"/>
  <c r="O34" i="37"/>
  <c r="N34" i="37"/>
  <c r="M34" i="37"/>
  <c r="L34" i="37"/>
  <c r="K34" i="37"/>
  <c r="O33" i="37"/>
  <c r="N33" i="37"/>
  <c r="M33" i="37"/>
  <c r="L33" i="37"/>
  <c r="K33" i="37"/>
  <c r="O32" i="37"/>
  <c r="N32" i="37"/>
  <c r="M32" i="37"/>
  <c r="L32" i="37"/>
  <c r="K32" i="37"/>
  <c r="O31" i="37"/>
  <c r="N31" i="37"/>
  <c r="M31" i="37"/>
  <c r="L31" i="37"/>
  <c r="K31" i="37"/>
  <c r="O30" i="37"/>
  <c r="N30" i="37"/>
  <c r="M30" i="37"/>
  <c r="L30" i="37"/>
  <c r="K30" i="37"/>
  <c r="O29" i="37"/>
  <c r="N29" i="37"/>
  <c r="M29" i="37"/>
  <c r="L29" i="37"/>
  <c r="K29" i="37"/>
  <c r="O28" i="37"/>
  <c r="N28" i="37"/>
  <c r="M28" i="37"/>
  <c r="L28" i="37"/>
  <c r="K28" i="37"/>
  <c r="O27" i="37"/>
  <c r="N27" i="37"/>
  <c r="M27" i="37"/>
  <c r="L27" i="37"/>
  <c r="K27" i="37"/>
  <c r="O26" i="37"/>
  <c r="N26" i="37"/>
  <c r="M26" i="37"/>
  <c r="L26" i="37"/>
  <c r="K26" i="37"/>
  <c r="O25" i="37"/>
  <c r="N25" i="37"/>
  <c r="M25" i="37"/>
  <c r="L25" i="37"/>
  <c r="K25" i="37"/>
  <c r="O24" i="37"/>
  <c r="N24" i="37"/>
  <c r="M24" i="37"/>
  <c r="L24" i="37"/>
  <c r="K24" i="37"/>
  <c r="O23" i="37"/>
  <c r="N23" i="37"/>
  <c r="M23" i="37"/>
  <c r="L23" i="37"/>
  <c r="K23" i="37"/>
  <c r="O22" i="37"/>
  <c r="N22" i="37"/>
  <c r="M22" i="37"/>
  <c r="L22" i="37"/>
  <c r="K22" i="37"/>
  <c r="O21" i="37"/>
  <c r="N21" i="37"/>
  <c r="M21" i="37"/>
  <c r="L21" i="37"/>
  <c r="K21" i="37"/>
  <c r="O20" i="37"/>
  <c r="N20" i="37"/>
  <c r="M20" i="37"/>
  <c r="L20" i="37"/>
  <c r="K20" i="37"/>
  <c r="O19" i="37"/>
  <c r="N19" i="37"/>
  <c r="M19" i="37"/>
  <c r="L19" i="37"/>
  <c r="K19" i="37"/>
  <c r="O18" i="37"/>
  <c r="N18" i="37"/>
  <c r="M18" i="37"/>
  <c r="L18" i="37"/>
  <c r="K18" i="37"/>
  <c r="O17" i="37"/>
  <c r="N17" i="37"/>
  <c r="M17" i="37"/>
  <c r="L17" i="37"/>
  <c r="K17" i="37"/>
  <c r="O16" i="37"/>
  <c r="N16" i="37"/>
  <c r="M16" i="37"/>
  <c r="L16" i="37"/>
  <c r="K16" i="37"/>
  <c r="O15" i="37"/>
  <c r="N15" i="37"/>
  <c r="M15" i="37"/>
  <c r="L15" i="37"/>
  <c r="K15" i="37"/>
  <c r="O14" i="37"/>
  <c r="N14" i="37"/>
  <c r="M14" i="37"/>
  <c r="L14" i="37"/>
  <c r="K14" i="37"/>
  <c r="O13" i="37"/>
  <c r="N13" i="37"/>
  <c r="M13" i="37"/>
  <c r="L13" i="37"/>
  <c r="K13" i="37"/>
  <c r="O12" i="37"/>
  <c r="N12" i="37"/>
  <c r="M12" i="37"/>
  <c r="L12" i="37"/>
  <c r="K12" i="37"/>
  <c r="O11" i="37"/>
  <c r="N11" i="37"/>
  <c r="M11" i="37"/>
  <c r="L11" i="37"/>
  <c r="K11" i="37"/>
  <c r="O10" i="37"/>
  <c r="N10" i="37"/>
  <c r="M10" i="37"/>
  <c r="L10" i="37"/>
  <c r="K10" i="37"/>
  <c r="O9" i="37"/>
  <c r="N9" i="37"/>
  <c r="M9" i="37"/>
  <c r="L9" i="37"/>
  <c r="K9" i="37"/>
  <c r="O8" i="37"/>
  <c r="N8" i="37"/>
  <c r="M8" i="37"/>
  <c r="L8" i="37"/>
  <c r="K8" i="37"/>
  <c r="O7" i="37"/>
  <c r="N7" i="37"/>
  <c r="M7" i="37"/>
  <c r="L7" i="37"/>
  <c r="K7" i="37"/>
  <c r="O6" i="37"/>
  <c r="N6" i="37"/>
  <c r="M6" i="37"/>
  <c r="L6" i="37"/>
  <c r="K6" i="37"/>
  <c r="Z5" i="37"/>
  <c r="AA5" i="37" s="1"/>
  <c r="AB5" i="37" s="1"/>
  <c r="AC5" i="37" s="1"/>
  <c r="O5" i="37"/>
  <c r="N5" i="37"/>
  <c r="M5" i="37"/>
  <c r="L5" i="37"/>
  <c r="K5" i="37"/>
  <c r="C53" i="37" l="1"/>
  <c r="O49" i="35" l="1"/>
  <c r="D57" i="35"/>
  <c r="T5" i="35"/>
  <c r="L35" i="35"/>
  <c r="M35" i="35"/>
  <c r="N35" i="35"/>
  <c r="O35" i="35"/>
  <c r="L36" i="35"/>
  <c r="M36" i="35"/>
  <c r="N36" i="35"/>
  <c r="O36" i="35"/>
  <c r="L37" i="35"/>
  <c r="M37" i="35"/>
  <c r="N37" i="35"/>
  <c r="O37" i="35"/>
  <c r="L38" i="35"/>
  <c r="M38" i="35"/>
  <c r="N38" i="35"/>
  <c r="O38" i="35"/>
  <c r="L33" i="35" l="1"/>
  <c r="M33" i="35"/>
  <c r="N33" i="35"/>
  <c r="O33" i="35"/>
  <c r="L34" i="35"/>
  <c r="M34" i="35"/>
  <c r="N34" i="35"/>
  <c r="O34" i="35"/>
  <c r="L32" i="35" l="1"/>
  <c r="M32" i="35"/>
  <c r="N32" i="35"/>
  <c r="O32" i="35"/>
  <c r="L31" i="35" l="1"/>
  <c r="M31" i="35"/>
  <c r="N31" i="35"/>
  <c r="O31" i="35"/>
  <c r="L28" i="35" l="1"/>
  <c r="M28" i="35"/>
  <c r="N28" i="35"/>
  <c r="O28" i="35"/>
  <c r="L29" i="35"/>
  <c r="M29" i="35"/>
  <c r="N29" i="35"/>
  <c r="O29" i="35"/>
  <c r="L30" i="35"/>
  <c r="M30" i="35"/>
  <c r="N30" i="35"/>
  <c r="O30" i="35"/>
  <c r="L27" i="35" l="1"/>
  <c r="M27" i="35"/>
  <c r="N27" i="35"/>
  <c r="O27" i="35"/>
  <c r="C53" i="35" l="1"/>
  <c r="K38" i="35"/>
  <c r="K37" i="35"/>
  <c r="K36" i="35"/>
  <c r="K35" i="35"/>
  <c r="K34" i="35"/>
  <c r="K33" i="35"/>
  <c r="K32" i="35"/>
  <c r="K31" i="35"/>
  <c r="K30" i="35"/>
  <c r="K29" i="35"/>
  <c r="K28" i="35"/>
  <c r="K27" i="35"/>
  <c r="O26" i="35"/>
  <c r="N26" i="35"/>
  <c r="M26" i="35"/>
  <c r="L26" i="35"/>
  <c r="K26" i="35"/>
  <c r="O25" i="35"/>
  <c r="N25" i="35"/>
  <c r="M25" i="35"/>
  <c r="L25" i="35"/>
  <c r="K25" i="35"/>
  <c r="O24" i="35"/>
  <c r="N24" i="35"/>
  <c r="M24" i="35"/>
  <c r="L24" i="35"/>
  <c r="K24" i="35"/>
  <c r="O23" i="35"/>
  <c r="N23" i="35"/>
  <c r="M23" i="35"/>
  <c r="L23" i="35"/>
  <c r="K23" i="35"/>
  <c r="O22" i="35"/>
  <c r="N22" i="35"/>
  <c r="M22" i="35"/>
  <c r="L22" i="35"/>
  <c r="K22" i="35"/>
  <c r="O21" i="35"/>
  <c r="N21" i="35"/>
  <c r="M21" i="35"/>
  <c r="L21" i="35"/>
  <c r="K21" i="35"/>
  <c r="O20" i="35"/>
  <c r="N20" i="35"/>
  <c r="M20" i="35"/>
  <c r="L20" i="35"/>
  <c r="K20" i="35"/>
  <c r="O19" i="35"/>
  <c r="N19" i="35"/>
  <c r="M19" i="35"/>
  <c r="L19" i="35"/>
  <c r="K19" i="35"/>
  <c r="O18" i="35"/>
  <c r="N18" i="35"/>
  <c r="M18" i="35"/>
  <c r="L18" i="35"/>
  <c r="K18" i="35"/>
  <c r="O17" i="35"/>
  <c r="N17" i="35"/>
  <c r="M17" i="35"/>
  <c r="L17" i="35"/>
  <c r="K17" i="35"/>
  <c r="O16" i="35"/>
  <c r="N16" i="35"/>
  <c r="M16" i="35"/>
  <c r="L16" i="35"/>
  <c r="K16" i="35"/>
  <c r="O15" i="35"/>
  <c r="N15" i="35"/>
  <c r="M15" i="35"/>
  <c r="L15" i="35"/>
  <c r="K15" i="35"/>
  <c r="O14" i="35"/>
  <c r="N14" i="35"/>
  <c r="M14" i="35"/>
  <c r="L14" i="35"/>
  <c r="K14" i="35"/>
  <c r="O13" i="35"/>
  <c r="N13" i="35"/>
  <c r="M13" i="35"/>
  <c r="L13" i="35"/>
  <c r="K13" i="35"/>
  <c r="O12" i="35"/>
  <c r="N12" i="35"/>
  <c r="M12" i="35"/>
  <c r="L12" i="35"/>
  <c r="K12" i="35"/>
  <c r="O11" i="35"/>
  <c r="N11" i="35"/>
  <c r="M11" i="35"/>
  <c r="L11" i="35"/>
  <c r="K11" i="35"/>
  <c r="O10" i="35"/>
  <c r="N10" i="35"/>
  <c r="M10" i="35"/>
  <c r="L10" i="35"/>
  <c r="K10" i="35"/>
  <c r="O9" i="35"/>
  <c r="N9" i="35"/>
  <c r="M9" i="35"/>
  <c r="L9" i="35"/>
  <c r="K9" i="35"/>
  <c r="O8" i="35"/>
  <c r="N8" i="35"/>
  <c r="M8" i="35"/>
  <c r="L8" i="35"/>
  <c r="K8" i="35"/>
  <c r="O7" i="35"/>
  <c r="N7" i="35"/>
  <c r="M7" i="35"/>
  <c r="L7" i="35"/>
  <c r="K7" i="35"/>
  <c r="O6" i="35"/>
  <c r="N6" i="35"/>
  <c r="M6" i="35"/>
  <c r="L6" i="35"/>
  <c r="K6" i="35"/>
  <c r="U5" i="35"/>
  <c r="V5" i="35" s="1"/>
  <c r="W5" i="35" s="1"/>
  <c r="X5" i="35" s="1"/>
  <c r="O5" i="35"/>
  <c r="N5" i="35"/>
  <c r="M5" i="35"/>
  <c r="L5" i="35"/>
  <c r="K5" i="35"/>
  <c r="T5" i="31" l="1"/>
  <c r="K36" i="31"/>
  <c r="L36" i="31"/>
  <c r="M36" i="31"/>
  <c r="N36" i="31"/>
  <c r="O36" i="31"/>
  <c r="D57" i="31" l="1"/>
  <c r="K35" i="31"/>
  <c r="L35" i="31"/>
  <c r="M35" i="31"/>
  <c r="N35" i="31"/>
  <c r="O35" i="31"/>
  <c r="K34" i="31" l="1"/>
  <c r="L34" i="31"/>
  <c r="M34" i="31"/>
  <c r="N34" i="31"/>
  <c r="O34" i="31"/>
  <c r="K31" i="31" l="1"/>
  <c r="L31" i="31"/>
  <c r="M31" i="31"/>
  <c r="N31" i="31"/>
  <c r="O31" i="31"/>
  <c r="K32" i="31"/>
  <c r="L32" i="31"/>
  <c r="M32" i="31"/>
  <c r="N32" i="31"/>
  <c r="O32" i="31"/>
  <c r="K33" i="31"/>
  <c r="L33" i="31"/>
  <c r="M33" i="31"/>
  <c r="N33" i="31"/>
  <c r="O33" i="31"/>
  <c r="K30" i="31" l="1"/>
  <c r="L30" i="31"/>
  <c r="M30" i="31"/>
  <c r="N30" i="31"/>
  <c r="O30" i="31"/>
  <c r="K29" i="31" l="1"/>
  <c r="L29" i="31"/>
  <c r="M29" i="31"/>
  <c r="N29" i="31"/>
  <c r="O29" i="31"/>
  <c r="K28" i="31" l="1"/>
  <c r="L28" i="31"/>
  <c r="M28" i="31"/>
  <c r="N28" i="31"/>
  <c r="O28" i="31"/>
  <c r="K27" i="31" l="1"/>
  <c r="L27" i="31"/>
  <c r="M27" i="31"/>
  <c r="N27" i="31"/>
  <c r="O27" i="31"/>
  <c r="K24" i="31" l="1"/>
  <c r="L24" i="31"/>
  <c r="M24" i="31"/>
  <c r="N24" i="31"/>
  <c r="O24" i="31"/>
  <c r="K25" i="31"/>
  <c r="L25" i="31"/>
  <c r="M25" i="31"/>
  <c r="N25" i="31"/>
  <c r="O25" i="31"/>
  <c r="K26" i="31"/>
  <c r="L26" i="31"/>
  <c r="M26" i="31"/>
  <c r="N26" i="31"/>
  <c r="O26" i="31"/>
  <c r="K22" i="31" l="1"/>
  <c r="L22" i="31"/>
  <c r="M22" i="31"/>
  <c r="N22" i="31"/>
  <c r="O22" i="31"/>
  <c r="K23" i="31"/>
  <c r="L23" i="31"/>
  <c r="M23" i="31"/>
  <c r="N23" i="31"/>
  <c r="O23" i="31"/>
  <c r="K21" i="31" l="1"/>
  <c r="L21" i="31"/>
  <c r="M21" i="31"/>
  <c r="N21" i="31"/>
  <c r="O21" i="31"/>
  <c r="K20" i="31"/>
  <c r="L20" i="31"/>
  <c r="M20" i="31"/>
  <c r="N20" i="31"/>
  <c r="O20" i="31"/>
  <c r="K19" i="31" l="1"/>
  <c r="L19" i="31"/>
  <c r="M19" i="31"/>
  <c r="N19" i="31"/>
  <c r="O19" i="31"/>
  <c r="K17" i="31" l="1"/>
  <c r="L17" i="31"/>
  <c r="M17" i="31"/>
  <c r="N17" i="31"/>
  <c r="O17" i="31"/>
  <c r="K18" i="31"/>
  <c r="L18" i="31"/>
  <c r="M18" i="31"/>
  <c r="N18" i="31"/>
  <c r="O18" i="31"/>
  <c r="K16" i="31" l="1"/>
  <c r="L16" i="31"/>
  <c r="M16" i="31"/>
  <c r="N16" i="31"/>
  <c r="O16" i="31"/>
  <c r="K15" i="31" l="1"/>
  <c r="L15" i="31"/>
  <c r="M15" i="31"/>
  <c r="N15" i="31"/>
  <c r="O15" i="31"/>
  <c r="C53" i="31" l="1"/>
  <c r="K14" i="31"/>
  <c r="L14" i="31"/>
  <c r="M14" i="31"/>
  <c r="N14" i="31"/>
  <c r="O14" i="31"/>
  <c r="N71" i="30" l="1"/>
  <c r="L6" i="31"/>
  <c r="M6" i="31"/>
  <c r="N6" i="31"/>
  <c r="O6" i="31"/>
  <c r="L7" i="31"/>
  <c r="M7" i="31"/>
  <c r="N7" i="31"/>
  <c r="O7" i="31"/>
  <c r="L8" i="31"/>
  <c r="M8" i="31"/>
  <c r="N8" i="31"/>
  <c r="O8" i="31"/>
  <c r="L9" i="31"/>
  <c r="M9" i="31"/>
  <c r="N9" i="31"/>
  <c r="O9" i="31"/>
  <c r="L10" i="31"/>
  <c r="M10" i="31"/>
  <c r="N10" i="31"/>
  <c r="O10" i="31"/>
  <c r="L11" i="31"/>
  <c r="M11" i="31"/>
  <c r="N11" i="31"/>
  <c r="O11" i="31"/>
  <c r="L12" i="31"/>
  <c r="M12" i="31"/>
  <c r="N12" i="31"/>
  <c r="O12" i="31"/>
  <c r="L13" i="31"/>
  <c r="M13" i="31"/>
  <c r="N13" i="31"/>
  <c r="O13" i="31"/>
  <c r="O5" i="31"/>
  <c r="N5" i="31"/>
  <c r="M5" i="31"/>
  <c r="L5" i="31"/>
  <c r="K13" i="31"/>
  <c r="K6" i="31"/>
  <c r="K7" i="31"/>
  <c r="K8" i="31"/>
  <c r="K9" i="31"/>
  <c r="K10" i="31"/>
  <c r="K11" i="31"/>
  <c r="K12" i="31"/>
  <c r="K5" i="31"/>
  <c r="U5" i="31" l="1"/>
  <c r="V5" i="31" s="1"/>
  <c r="W5" i="31" s="1"/>
  <c r="X5" i="31" s="1"/>
  <c r="T5" i="28" l="1"/>
  <c r="K38" i="28"/>
  <c r="L38" i="28"/>
  <c r="M38" i="28"/>
  <c r="N38" i="28"/>
  <c r="O38" i="28"/>
  <c r="K39" i="28"/>
  <c r="L39" i="28"/>
  <c r="M39" i="28"/>
  <c r="N39" i="28"/>
  <c r="O39" i="28"/>
  <c r="K40" i="28"/>
  <c r="L40" i="28"/>
  <c r="M40" i="28"/>
  <c r="N40" i="28"/>
  <c r="O40" i="28"/>
  <c r="K37" i="28" l="1"/>
  <c r="L37" i="28"/>
  <c r="M37" i="28"/>
  <c r="N37" i="28"/>
  <c r="O37" i="28"/>
  <c r="H86" i="30" l="1"/>
  <c r="H77" i="30"/>
  <c r="G77" i="30"/>
  <c r="H44" i="30"/>
  <c r="H45" i="30" s="1"/>
  <c r="G33" i="30"/>
  <c r="G44" i="30" s="1"/>
  <c r="J18" i="30"/>
  <c r="H17" i="30"/>
  <c r="G17" i="30"/>
  <c r="D57" i="28" l="1"/>
  <c r="K36" i="28" l="1"/>
  <c r="L36" i="28"/>
  <c r="M36" i="28"/>
  <c r="N36" i="28"/>
  <c r="O36" i="28"/>
  <c r="K35" i="28" l="1"/>
  <c r="L35" i="28"/>
  <c r="M35" i="28"/>
  <c r="N35" i="28"/>
  <c r="O35" i="28"/>
  <c r="K34" i="28" l="1"/>
  <c r="L34" i="28"/>
  <c r="M34" i="28"/>
  <c r="N34" i="28"/>
  <c r="O34" i="28"/>
  <c r="K31" i="28" l="1"/>
  <c r="L31" i="28"/>
  <c r="M31" i="28"/>
  <c r="N31" i="28"/>
  <c r="O31" i="28"/>
  <c r="K32" i="28"/>
  <c r="L32" i="28"/>
  <c r="M32" i="28"/>
  <c r="N32" i="28"/>
  <c r="O32" i="28"/>
  <c r="K33" i="28"/>
  <c r="L33" i="28"/>
  <c r="M33" i="28"/>
  <c r="N33" i="28"/>
  <c r="O33" i="28"/>
  <c r="K30" i="28" l="1"/>
  <c r="L30" i="28"/>
  <c r="M30" i="28"/>
  <c r="N30" i="28"/>
  <c r="O30" i="28"/>
  <c r="K29" i="28" l="1"/>
  <c r="L29" i="28"/>
  <c r="M29" i="28"/>
  <c r="N29" i="28"/>
  <c r="O29" i="28"/>
  <c r="K28" i="28" l="1"/>
  <c r="L28" i="28"/>
  <c r="M28" i="28"/>
  <c r="N28" i="28"/>
  <c r="O28" i="28"/>
  <c r="N85" i="29"/>
  <c r="N83" i="29"/>
  <c r="N82" i="29"/>
  <c r="N84" i="29"/>
  <c r="K27" i="28" l="1"/>
  <c r="L27" i="28"/>
  <c r="M27" i="28"/>
  <c r="N27" i="28"/>
  <c r="O27" i="28"/>
  <c r="K24" i="28" l="1"/>
  <c r="K25" i="28"/>
  <c r="K26" i="28"/>
  <c r="L24" i="28"/>
  <c r="L25" i="28"/>
  <c r="L26" i="28"/>
  <c r="M24" i="28"/>
  <c r="M25" i="28"/>
  <c r="M26" i="28"/>
  <c r="N24" i="28"/>
  <c r="N25" i="28"/>
  <c r="N26" i="28"/>
  <c r="O24" i="28"/>
  <c r="O25" i="28"/>
  <c r="O26" i="28"/>
  <c r="K23" i="28" l="1"/>
  <c r="L23" i="28"/>
  <c r="M23" i="28"/>
  <c r="N23" i="28"/>
  <c r="O23" i="28"/>
  <c r="K22" i="28" l="1"/>
  <c r="L22" i="28"/>
  <c r="M22" i="28"/>
  <c r="N22" i="28"/>
  <c r="O22" i="28"/>
  <c r="K21" i="28" l="1"/>
  <c r="L21" i="28"/>
  <c r="M21" i="28"/>
  <c r="N21" i="28"/>
  <c r="O21" i="28"/>
  <c r="K20" i="28" l="1"/>
  <c r="L20" i="28"/>
  <c r="M20" i="28"/>
  <c r="N20" i="28"/>
  <c r="O20" i="28"/>
  <c r="L6" i="28" l="1"/>
  <c r="M6" i="28"/>
  <c r="N6" i="28"/>
  <c r="O6" i="28"/>
  <c r="L7" i="28"/>
  <c r="M7" i="28"/>
  <c r="N7" i="28"/>
  <c r="O7" i="28"/>
  <c r="L8" i="28"/>
  <c r="M8" i="28"/>
  <c r="N8" i="28"/>
  <c r="O8" i="28"/>
  <c r="L9" i="28"/>
  <c r="M9" i="28"/>
  <c r="N9" i="28"/>
  <c r="O9" i="28"/>
  <c r="L10" i="28"/>
  <c r="M10" i="28"/>
  <c r="N10" i="28"/>
  <c r="O10" i="28"/>
  <c r="L11" i="28"/>
  <c r="M11" i="28"/>
  <c r="N11" i="28"/>
  <c r="O11" i="28"/>
  <c r="L12" i="28"/>
  <c r="M12" i="28"/>
  <c r="N12" i="28"/>
  <c r="O12" i="28"/>
  <c r="L13" i="28"/>
  <c r="M13" i="28"/>
  <c r="N13" i="28"/>
  <c r="O13" i="28"/>
  <c r="L14" i="28"/>
  <c r="M14" i="28"/>
  <c r="N14" i="28"/>
  <c r="O14" i="28"/>
  <c r="L15" i="28"/>
  <c r="M15" i="28"/>
  <c r="N15" i="28"/>
  <c r="O15" i="28"/>
  <c r="L16" i="28"/>
  <c r="M16" i="28"/>
  <c r="N16" i="28"/>
  <c r="O16" i="28"/>
  <c r="L17" i="28"/>
  <c r="M17" i="28"/>
  <c r="N17" i="28"/>
  <c r="O17" i="28"/>
  <c r="L18" i="28"/>
  <c r="M18" i="28"/>
  <c r="N18" i="28"/>
  <c r="O18" i="28"/>
  <c r="L19" i="28"/>
  <c r="M19" i="28"/>
  <c r="N19" i="28"/>
  <c r="O19" i="28"/>
  <c r="O5" i="28"/>
  <c r="N5" i="28"/>
  <c r="M5" i="28"/>
  <c r="L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5" i="28"/>
  <c r="H87" i="29" l="1"/>
  <c r="T86" i="29"/>
  <c r="S86" i="29"/>
  <c r="T77" i="29"/>
  <c r="S77" i="29"/>
  <c r="H77" i="29"/>
  <c r="H78" i="29" s="1"/>
  <c r="G77" i="29"/>
  <c r="T44" i="29"/>
  <c r="S44" i="29"/>
  <c r="H44" i="29"/>
  <c r="H45" i="29" s="1"/>
  <c r="G44" i="29"/>
  <c r="R17" i="29"/>
  <c r="Q17" i="29"/>
  <c r="H17" i="29"/>
  <c r="G17" i="29"/>
  <c r="D53" i="28"/>
  <c r="U5" i="28"/>
  <c r="V5" i="28" s="1"/>
  <c r="W5" i="28" s="1"/>
  <c r="X5" i="28" s="1"/>
  <c r="H87" i="27" l="1"/>
  <c r="T86" i="27"/>
  <c r="S86" i="27"/>
  <c r="T77" i="27"/>
  <c r="S77" i="27"/>
  <c r="H77" i="27"/>
  <c r="H78" i="27" s="1"/>
  <c r="G77" i="27"/>
  <c r="T44" i="27"/>
  <c r="S44" i="27"/>
  <c r="H44" i="27"/>
  <c r="H45" i="27" s="1"/>
  <c r="G44" i="27"/>
  <c r="R17" i="27"/>
  <c r="Q17" i="27"/>
  <c r="H17" i="27"/>
  <c r="G17" i="27"/>
  <c r="K21" i="25" l="1"/>
  <c r="L21" i="25"/>
  <c r="D51" i="25" s="1"/>
  <c r="M21" i="25"/>
  <c r="D49" i="25" s="1"/>
  <c r="N21" i="25"/>
  <c r="D52" i="25" s="1"/>
  <c r="O21" i="25"/>
  <c r="D50" i="25" s="1"/>
  <c r="T5" i="25"/>
  <c r="D57" i="25" l="1"/>
  <c r="K20" i="25" l="1"/>
  <c r="L20" i="25"/>
  <c r="M20" i="25"/>
  <c r="N20" i="25"/>
  <c r="O20" i="25"/>
  <c r="K18" i="25"/>
  <c r="L18" i="25"/>
  <c r="M18" i="25"/>
  <c r="N18" i="25"/>
  <c r="O18" i="25"/>
  <c r="K19" i="25"/>
  <c r="L19" i="25"/>
  <c r="M19" i="25"/>
  <c r="N19" i="25"/>
  <c r="O19" i="25"/>
  <c r="K17" i="25" l="1"/>
  <c r="L17" i="25"/>
  <c r="M17" i="25"/>
  <c r="N17" i="25"/>
  <c r="O17" i="25"/>
  <c r="K16" i="25" l="1"/>
  <c r="L16" i="25"/>
  <c r="M16" i="25"/>
  <c r="N16" i="25"/>
  <c r="O16" i="25"/>
  <c r="K15" i="25" l="1"/>
  <c r="L15" i="25"/>
  <c r="M15" i="25"/>
  <c r="N15" i="25"/>
  <c r="O15" i="25"/>
  <c r="K14" i="25" l="1"/>
  <c r="L14" i="25"/>
  <c r="M14" i="25"/>
  <c r="N14" i="25"/>
  <c r="O14" i="25"/>
  <c r="K11" i="25" l="1"/>
  <c r="L11" i="25"/>
  <c r="M11" i="25"/>
  <c r="N11" i="25"/>
  <c r="O11" i="25"/>
  <c r="K12" i="25"/>
  <c r="L12" i="25"/>
  <c r="M12" i="25"/>
  <c r="N12" i="25"/>
  <c r="O12" i="25"/>
  <c r="K13" i="25"/>
  <c r="L13" i="25"/>
  <c r="M13" i="25"/>
  <c r="N13" i="25"/>
  <c r="O13" i="25"/>
  <c r="K10" i="25" l="1"/>
  <c r="L10" i="25"/>
  <c r="M10" i="25"/>
  <c r="N10" i="25"/>
  <c r="O10" i="25"/>
  <c r="O9" i="25"/>
  <c r="N9" i="25"/>
  <c r="M9" i="25"/>
  <c r="L9" i="25"/>
  <c r="K9" i="25"/>
  <c r="O8" i="25"/>
  <c r="N8" i="25"/>
  <c r="M8" i="25"/>
  <c r="L8" i="25"/>
  <c r="K8" i="25"/>
  <c r="O7" i="25"/>
  <c r="N7" i="25"/>
  <c r="M7" i="25"/>
  <c r="L7" i="25"/>
  <c r="K7" i="25"/>
  <c r="O6" i="25"/>
  <c r="N6" i="25"/>
  <c r="M6" i="25"/>
  <c r="L6" i="25"/>
  <c r="K6" i="25"/>
  <c r="O5" i="25"/>
  <c r="N5" i="25"/>
  <c r="M5" i="25"/>
  <c r="L5" i="25"/>
  <c r="K5" i="25"/>
  <c r="U5" i="25"/>
  <c r="V5" i="25" s="1"/>
  <c r="W5" i="25" s="1"/>
  <c r="X5" i="25" s="1"/>
  <c r="T5" i="23"/>
  <c r="D53" i="25" l="1"/>
  <c r="K40" i="23" l="1"/>
  <c r="L40" i="23"/>
  <c r="D51" i="23" s="1"/>
  <c r="M40" i="23"/>
  <c r="D49" i="23" s="1"/>
  <c r="N40" i="23"/>
  <c r="D52" i="23" s="1"/>
  <c r="O40" i="23"/>
  <c r="D50" i="23" s="1"/>
  <c r="D57" i="23" l="1"/>
  <c r="K39" i="23"/>
  <c r="L39" i="23"/>
  <c r="M39" i="23"/>
  <c r="N39" i="23"/>
  <c r="O39" i="23"/>
  <c r="K38" i="23" l="1"/>
  <c r="L38" i="23"/>
  <c r="M38" i="23"/>
  <c r="N38" i="23"/>
  <c r="O38" i="23"/>
  <c r="K37" i="23" l="1"/>
  <c r="L37" i="23"/>
  <c r="M37" i="23"/>
  <c r="N37" i="23"/>
  <c r="O37" i="23"/>
  <c r="K35" i="23"/>
  <c r="L35" i="23"/>
  <c r="M35" i="23"/>
  <c r="N35" i="23"/>
  <c r="O35" i="23"/>
  <c r="K36" i="23"/>
  <c r="L36" i="23"/>
  <c r="M36" i="23"/>
  <c r="N36" i="23"/>
  <c r="O36" i="23"/>
  <c r="H85" i="24" l="1"/>
  <c r="H86" i="24" s="1"/>
  <c r="G85" i="24"/>
  <c r="H76" i="24"/>
  <c r="H77" i="24" s="1"/>
  <c r="G76" i="24"/>
  <c r="H44" i="24"/>
  <c r="H45" i="24" s="1"/>
  <c r="G44" i="24"/>
  <c r="H17" i="24"/>
  <c r="G17" i="24"/>
  <c r="K33" i="23" l="1"/>
  <c r="L33" i="23"/>
  <c r="M33" i="23"/>
  <c r="N33" i="23"/>
  <c r="O33" i="23"/>
  <c r="K34" i="23"/>
  <c r="L34" i="23"/>
  <c r="M34" i="23"/>
  <c r="N34" i="23"/>
  <c r="O34" i="23"/>
  <c r="K32" i="23" l="1"/>
  <c r="L32" i="23"/>
  <c r="M32" i="23"/>
  <c r="N32" i="23"/>
  <c r="O32" i="23"/>
  <c r="K31" i="23" l="1"/>
  <c r="L31" i="23"/>
  <c r="M31" i="23"/>
  <c r="N31" i="23"/>
  <c r="O31" i="23"/>
  <c r="K30" i="23" l="1"/>
  <c r="L30" i="23"/>
  <c r="M30" i="23"/>
  <c r="N30" i="23"/>
  <c r="O30" i="23"/>
  <c r="K28" i="23"/>
  <c r="L28" i="23"/>
  <c r="M28" i="23"/>
  <c r="N28" i="23"/>
  <c r="O28" i="23"/>
  <c r="K29" i="23"/>
  <c r="L29" i="23"/>
  <c r="M29" i="23"/>
  <c r="N29" i="23"/>
  <c r="O29" i="23"/>
  <c r="K27" i="23" l="1"/>
  <c r="L27" i="23"/>
  <c r="M27" i="23"/>
  <c r="N27" i="23"/>
  <c r="O27" i="23"/>
  <c r="K26" i="23" l="1"/>
  <c r="L26" i="23"/>
  <c r="M26" i="23"/>
  <c r="N26" i="23"/>
  <c r="O26" i="23"/>
  <c r="K25" i="23"/>
  <c r="L25" i="23"/>
  <c r="M25" i="23"/>
  <c r="N25" i="23"/>
  <c r="O25" i="23"/>
  <c r="K24" i="23" l="1"/>
  <c r="L24" i="23"/>
  <c r="M24" i="23"/>
  <c r="N24" i="23"/>
  <c r="O24" i="23"/>
  <c r="K21" i="23"/>
  <c r="L21" i="23"/>
  <c r="M21" i="23"/>
  <c r="N21" i="23"/>
  <c r="O21" i="23"/>
  <c r="K22" i="23"/>
  <c r="L22" i="23"/>
  <c r="M22" i="23"/>
  <c r="N22" i="23"/>
  <c r="O22" i="23"/>
  <c r="K23" i="23"/>
  <c r="L23" i="23"/>
  <c r="M23" i="23"/>
  <c r="N23" i="23"/>
  <c r="O23" i="23"/>
  <c r="K20" i="23" l="1"/>
  <c r="L20" i="23"/>
  <c r="M20" i="23"/>
  <c r="N20" i="23"/>
  <c r="O20" i="23"/>
  <c r="K19" i="23" l="1"/>
  <c r="L19" i="23"/>
  <c r="M19" i="23"/>
  <c r="N19" i="23"/>
  <c r="O19" i="23"/>
  <c r="K18" i="23" l="1"/>
  <c r="L18" i="23"/>
  <c r="M18" i="23"/>
  <c r="N18" i="23"/>
  <c r="O18" i="23"/>
  <c r="K17" i="23" l="1"/>
  <c r="L17" i="23"/>
  <c r="M17" i="23"/>
  <c r="N17" i="23"/>
  <c r="O17" i="23"/>
  <c r="K14" i="23" l="1"/>
  <c r="L14" i="23"/>
  <c r="M14" i="23"/>
  <c r="N14" i="23"/>
  <c r="O14" i="23"/>
  <c r="K15" i="23"/>
  <c r="L15" i="23"/>
  <c r="M15" i="23"/>
  <c r="N15" i="23"/>
  <c r="O15" i="23"/>
  <c r="K16" i="23"/>
  <c r="L16" i="23"/>
  <c r="M16" i="23"/>
  <c r="N16" i="23"/>
  <c r="O16" i="23"/>
  <c r="K13" i="23" l="1"/>
  <c r="L13" i="23"/>
  <c r="M13" i="23"/>
  <c r="N13" i="23"/>
  <c r="O13" i="23"/>
  <c r="K12" i="23"/>
  <c r="L12" i="23"/>
  <c r="M12" i="23"/>
  <c r="N12" i="23"/>
  <c r="O12" i="23"/>
  <c r="K11" i="23" l="1"/>
  <c r="L11" i="23"/>
  <c r="M11" i="23"/>
  <c r="N11" i="23"/>
  <c r="O11" i="23"/>
  <c r="K10" i="23"/>
  <c r="L10" i="23"/>
  <c r="M10" i="23"/>
  <c r="N10" i="23"/>
  <c r="O10" i="23"/>
  <c r="O9" i="23"/>
  <c r="N9" i="23"/>
  <c r="M9" i="23"/>
  <c r="L9" i="23"/>
  <c r="K9" i="23"/>
  <c r="O8" i="23"/>
  <c r="N8" i="23"/>
  <c r="M8" i="23"/>
  <c r="L8" i="23"/>
  <c r="K8" i="23"/>
  <c r="O7" i="23"/>
  <c r="N7" i="23"/>
  <c r="M7" i="23"/>
  <c r="L7" i="23"/>
  <c r="K7" i="23"/>
  <c r="O6" i="23"/>
  <c r="N6" i="23"/>
  <c r="M6" i="23"/>
  <c r="L6" i="23"/>
  <c r="K6" i="23"/>
  <c r="O5" i="23"/>
  <c r="N5" i="23"/>
  <c r="M5" i="23"/>
  <c r="L5" i="23"/>
  <c r="K5" i="23"/>
  <c r="U5" i="23"/>
  <c r="V5" i="23" s="1"/>
  <c r="W5" i="23" s="1"/>
  <c r="X5" i="23" s="1"/>
  <c r="D53" i="23" l="1"/>
  <c r="H85" i="22"/>
  <c r="H86" i="22" s="1"/>
  <c r="G85" i="22"/>
  <c r="H76" i="22"/>
  <c r="G76" i="22"/>
  <c r="H44" i="22"/>
  <c r="H45" i="22" s="1"/>
  <c r="G44" i="22"/>
  <c r="H17" i="22"/>
  <c r="H18" i="22" s="1"/>
  <c r="G17" i="22"/>
  <c r="D57" i="21" l="1"/>
  <c r="T5" i="21"/>
  <c r="K38" i="21"/>
  <c r="L38" i="21"/>
  <c r="M38" i="21"/>
  <c r="N38" i="21"/>
  <c r="O38" i="21"/>
  <c r="K39" i="21"/>
  <c r="L39" i="21"/>
  <c r="M39" i="21"/>
  <c r="N39" i="21"/>
  <c r="O39" i="21"/>
  <c r="K40" i="21"/>
  <c r="L40" i="21"/>
  <c r="M40" i="21"/>
  <c r="N40" i="21"/>
  <c r="O40" i="21"/>
  <c r="K41" i="21"/>
  <c r="L41" i="21"/>
  <c r="M41" i="21"/>
  <c r="N41" i="21"/>
  <c r="O41" i="21"/>
  <c r="K42" i="21"/>
  <c r="L42" i="21"/>
  <c r="D51" i="21" s="1"/>
  <c r="M42" i="21"/>
  <c r="D49" i="21" s="1"/>
  <c r="N42" i="21"/>
  <c r="D52" i="21" s="1"/>
  <c r="O42" i="21"/>
  <c r="D50" i="21" s="1"/>
  <c r="K37" i="21" l="1"/>
  <c r="L37" i="21"/>
  <c r="M37" i="21"/>
  <c r="N37" i="21"/>
  <c r="O37" i="21"/>
  <c r="D53" i="21" l="1"/>
  <c r="K36" i="21"/>
  <c r="L36" i="21"/>
  <c r="M36" i="21"/>
  <c r="N36" i="21"/>
  <c r="O36" i="21"/>
  <c r="K35" i="21" l="1"/>
  <c r="L35" i="21"/>
  <c r="M35" i="21"/>
  <c r="N35" i="21"/>
  <c r="O35" i="21"/>
  <c r="K33" i="21"/>
  <c r="L33" i="21"/>
  <c r="M33" i="21"/>
  <c r="N33" i="21"/>
  <c r="O33" i="21"/>
  <c r="K34" i="21"/>
  <c r="L34" i="21"/>
  <c r="M34" i="21"/>
  <c r="N34" i="21"/>
  <c r="O34" i="21"/>
  <c r="K32" i="21" l="1"/>
  <c r="L32" i="21"/>
  <c r="M32" i="21"/>
  <c r="N32" i="21"/>
  <c r="O32" i="21"/>
  <c r="K31" i="21" l="1"/>
  <c r="L31" i="21"/>
  <c r="M31" i="21"/>
  <c r="N31" i="21"/>
  <c r="O31" i="21"/>
  <c r="K30" i="21" l="1"/>
  <c r="L30" i="21"/>
  <c r="M30" i="21"/>
  <c r="N30" i="21"/>
  <c r="O30" i="21"/>
  <c r="K29" i="21" l="1"/>
  <c r="L29" i="21"/>
  <c r="M29" i="21"/>
  <c r="N29" i="21"/>
  <c r="O29" i="21"/>
  <c r="K26" i="21" l="1"/>
  <c r="L26" i="21"/>
  <c r="M26" i="21"/>
  <c r="N26" i="21"/>
  <c r="O26" i="21"/>
  <c r="K27" i="21"/>
  <c r="L27" i="21"/>
  <c r="M27" i="21"/>
  <c r="N27" i="21"/>
  <c r="O27" i="21"/>
  <c r="K28" i="21"/>
  <c r="L28" i="21"/>
  <c r="M28" i="21"/>
  <c r="N28" i="21"/>
  <c r="O28" i="21"/>
  <c r="K25" i="21" l="1"/>
  <c r="L25" i="21"/>
  <c r="M25" i="21"/>
  <c r="N25" i="21"/>
  <c r="O25" i="21"/>
  <c r="K24" i="21" l="1"/>
  <c r="L24" i="21"/>
  <c r="M24" i="21"/>
  <c r="N24" i="21"/>
  <c r="O24" i="21"/>
  <c r="K23" i="21" l="1"/>
  <c r="L23" i="21"/>
  <c r="M23" i="21"/>
  <c r="N23" i="21"/>
  <c r="O23" i="21"/>
  <c r="K22" i="21" l="1"/>
  <c r="L22" i="21"/>
  <c r="M22" i="21"/>
  <c r="N22" i="21"/>
  <c r="O22" i="21"/>
  <c r="K19" i="21" l="1"/>
  <c r="L19" i="21"/>
  <c r="M19" i="21"/>
  <c r="N19" i="21"/>
  <c r="O19" i="21"/>
  <c r="K20" i="21"/>
  <c r="L20" i="21"/>
  <c r="M20" i="21"/>
  <c r="N20" i="21"/>
  <c r="O20" i="21"/>
  <c r="K21" i="21"/>
  <c r="L21" i="21"/>
  <c r="M21" i="21"/>
  <c r="N21" i="21"/>
  <c r="O21" i="21"/>
  <c r="K17" i="21" l="1"/>
  <c r="L17" i="21"/>
  <c r="M17" i="21"/>
  <c r="N17" i="21"/>
  <c r="O17" i="21"/>
  <c r="K18" i="21"/>
  <c r="L18" i="21"/>
  <c r="M18" i="21"/>
  <c r="N18" i="21"/>
  <c r="O18" i="21"/>
  <c r="K16" i="21" l="1"/>
  <c r="L16" i="21"/>
  <c r="M16" i="21"/>
  <c r="N16" i="21"/>
  <c r="O16" i="21"/>
  <c r="K15" i="21" l="1"/>
  <c r="L15" i="21"/>
  <c r="M15" i="21"/>
  <c r="N15" i="21"/>
  <c r="O15" i="21"/>
  <c r="K12" i="21" l="1"/>
  <c r="L12" i="21"/>
  <c r="M12" i="21"/>
  <c r="N12" i="21"/>
  <c r="O12" i="21"/>
  <c r="K13" i="21"/>
  <c r="L13" i="21"/>
  <c r="M13" i="21"/>
  <c r="N13" i="21"/>
  <c r="O13" i="21"/>
  <c r="K14" i="21"/>
  <c r="L14" i="21"/>
  <c r="M14" i="21"/>
  <c r="N14" i="21"/>
  <c r="O14" i="21"/>
  <c r="K11" i="21" l="1"/>
  <c r="L11" i="21"/>
  <c r="M11" i="21"/>
  <c r="N11" i="21"/>
  <c r="O11" i="21"/>
  <c r="K10" i="21" l="1"/>
  <c r="L10" i="21"/>
  <c r="M10" i="21"/>
  <c r="N10" i="21"/>
  <c r="O10" i="21"/>
  <c r="O9" i="21" l="1"/>
  <c r="N9" i="21"/>
  <c r="M9" i="21"/>
  <c r="L9" i="21"/>
  <c r="K9" i="21"/>
  <c r="O8" i="21"/>
  <c r="N8" i="21"/>
  <c r="M8" i="21"/>
  <c r="L8" i="21"/>
  <c r="K8" i="21"/>
  <c r="O7" i="21"/>
  <c r="N7" i="21"/>
  <c r="M7" i="21"/>
  <c r="L7" i="21"/>
  <c r="K7" i="21"/>
  <c r="O6" i="21"/>
  <c r="N6" i="21"/>
  <c r="M6" i="21"/>
  <c r="L6" i="21"/>
  <c r="K6" i="21"/>
  <c r="O5" i="21"/>
  <c r="N5" i="21"/>
  <c r="M5" i="21"/>
  <c r="L5" i="21"/>
  <c r="K5" i="21"/>
  <c r="U5" i="21" l="1"/>
  <c r="V5" i="21" s="1"/>
  <c r="W5" i="21" s="1"/>
  <c r="X5" i="21" s="1"/>
  <c r="H85" i="20"/>
  <c r="H86" i="20" s="1"/>
  <c r="G85" i="20"/>
  <c r="H76" i="20"/>
  <c r="H77" i="20" s="1"/>
  <c r="G76" i="20"/>
  <c r="H44" i="20"/>
  <c r="H45" i="20" s="1"/>
  <c r="G44" i="20"/>
  <c r="H17" i="20"/>
  <c r="H18" i="20" s="1"/>
  <c r="G17" i="20"/>
  <c r="D57" i="18" l="1"/>
  <c r="K36" i="18"/>
  <c r="L36" i="18"/>
  <c r="D49" i="18" s="1"/>
  <c r="M36" i="18"/>
  <c r="D50" i="18" s="1"/>
  <c r="N36" i="18"/>
  <c r="D51" i="18" s="1"/>
  <c r="O36" i="18"/>
  <c r="D52" i="18" s="1"/>
  <c r="T5" i="18"/>
  <c r="K33" i="18" l="1"/>
  <c r="L33" i="18"/>
  <c r="M33" i="18"/>
  <c r="N33" i="18"/>
  <c r="O33" i="18"/>
  <c r="K34" i="18"/>
  <c r="L34" i="18"/>
  <c r="M34" i="18"/>
  <c r="N34" i="18"/>
  <c r="O34" i="18"/>
  <c r="K35" i="18"/>
  <c r="L35" i="18"/>
  <c r="M35" i="18"/>
  <c r="N35" i="18"/>
  <c r="O35" i="18"/>
  <c r="K32" i="18" l="1"/>
  <c r="L32" i="18"/>
  <c r="M32" i="18"/>
  <c r="N32" i="18"/>
  <c r="O32" i="18"/>
  <c r="K31" i="18" l="1"/>
  <c r="L31" i="18"/>
  <c r="M31" i="18"/>
  <c r="N31" i="18"/>
  <c r="O31" i="18"/>
  <c r="K30" i="18"/>
  <c r="L30" i="18"/>
  <c r="M30" i="18"/>
  <c r="N30" i="18"/>
  <c r="O30" i="18"/>
  <c r="K29" i="18" l="1"/>
  <c r="L29" i="18"/>
  <c r="M29" i="18"/>
  <c r="N29" i="18"/>
  <c r="O29" i="18"/>
  <c r="K26" i="18" l="1"/>
  <c r="L26" i="18"/>
  <c r="M26" i="18"/>
  <c r="N26" i="18"/>
  <c r="O26" i="18"/>
  <c r="K27" i="18"/>
  <c r="L27" i="18"/>
  <c r="M27" i="18"/>
  <c r="N27" i="18"/>
  <c r="O27" i="18"/>
  <c r="K28" i="18"/>
  <c r="L28" i="18"/>
  <c r="M28" i="18"/>
  <c r="N28" i="18"/>
  <c r="O28" i="18"/>
  <c r="K25" i="18" l="1"/>
  <c r="L25" i="18"/>
  <c r="M25" i="18"/>
  <c r="N25" i="18"/>
  <c r="O25" i="18"/>
  <c r="K24" i="18" l="1"/>
  <c r="L24" i="18"/>
  <c r="M24" i="18"/>
  <c r="N24" i="18"/>
  <c r="O24" i="18"/>
  <c r="K23" i="18" l="1"/>
  <c r="L23" i="18"/>
  <c r="M23" i="18"/>
  <c r="N23" i="18"/>
  <c r="O23" i="18"/>
  <c r="L22" i="18"/>
  <c r="M22" i="18"/>
  <c r="N22" i="18"/>
  <c r="O22" i="18"/>
  <c r="K22" i="18"/>
  <c r="D53" i="18" l="1"/>
  <c r="K19" i="18" l="1"/>
  <c r="L19" i="18"/>
  <c r="M19" i="18"/>
  <c r="N19" i="18"/>
  <c r="O19" i="18"/>
  <c r="K20" i="18"/>
  <c r="L20" i="18"/>
  <c r="M20" i="18"/>
  <c r="N20" i="18"/>
  <c r="O20" i="18"/>
  <c r="K21" i="18"/>
  <c r="L21" i="18"/>
  <c r="M21" i="18"/>
  <c r="N21" i="18"/>
  <c r="O21" i="18"/>
  <c r="K17" i="18" l="1"/>
  <c r="L17" i="18"/>
  <c r="M17" i="18"/>
  <c r="N17" i="18"/>
  <c r="O17" i="18"/>
  <c r="K18" i="18"/>
  <c r="L18" i="18"/>
  <c r="M18" i="18"/>
  <c r="N18" i="18"/>
  <c r="O18" i="18"/>
  <c r="K16" i="18" l="1"/>
  <c r="L16" i="18"/>
  <c r="M16" i="18"/>
  <c r="N16" i="18"/>
  <c r="O16" i="18"/>
  <c r="K15" i="18" l="1"/>
  <c r="L15" i="18"/>
  <c r="M15" i="18"/>
  <c r="N15" i="18"/>
  <c r="O15" i="18"/>
  <c r="U5" i="18" l="1"/>
  <c r="V5" i="18" s="1"/>
  <c r="W5" i="18" s="1"/>
  <c r="X5" i="18" s="1"/>
  <c r="K10" i="18"/>
  <c r="L10" i="18"/>
  <c r="M10" i="18"/>
  <c r="N10" i="18"/>
  <c r="O10" i="18"/>
  <c r="K11" i="18"/>
  <c r="L11" i="18"/>
  <c r="M11" i="18"/>
  <c r="N11" i="18"/>
  <c r="O11" i="18"/>
  <c r="K12" i="18"/>
  <c r="L12" i="18"/>
  <c r="M12" i="18"/>
  <c r="N12" i="18"/>
  <c r="O12" i="18"/>
  <c r="K13" i="18"/>
  <c r="L13" i="18"/>
  <c r="M13" i="18"/>
  <c r="N13" i="18"/>
  <c r="O13" i="18"/>
  <c r="K14" i="18"/>
  <c r="L14" i="18"/>
  <c r="M14" i="18"/>
  <c r="N14" i="18"/>
  <c r="O14" i="18"/>
  <c r="O9" i="18"/>
  <c r="N9" i="18"/>
  <c r="M9" i="18"/>
  <c r="L9" i="18"/>
  <c r="K9" i="18"/>
  <c r="O8" i="18"/>
  <c r="N8" i="18"/>
  <c r="M8" i="18"/>
  <c r="L8" i="18"/>
  <c r="K8" i="18"/>
  <c r="O7" i="18"/>
  <c r="N7" i="18"/>
  <c r="M7" i="18"/>
  <c r="L7" i="18"/>
  <c r="K7" i="18"/>
  <c r="O6" i="18"/>
  <c r="N6" i="18"/>
  <c r="M6" i="18"/>
  <c r="L6" i="18"/>
  <c r="K6" i="18"/>
  <c r="O5" i="18"/>
  <c r="N5" i="18"/>
  <c r="M5" i="18"/>
  <c r="L5" i="18"/>
  <c r="K5" i="18"/>
  <c r="H86" i="19" l="1"/>
  <c r="H87" i="19" s="1"/>
  <c r="G86" i="19"/>
  <c r="G77" i="19"/>
  <c r="H57" i="19"/>
  <c r="H77" i="19" s="1"/>
  <c r="H78" i="19" s="1"/>
  <c r="H44" i="19"/>
  <c r="H45" i="19" s="1"/>
  <c r="G44" i="19"/>
  <c r="H17" i="19"/>
  <c r="H18" i="19" s="1"/>
  <c r="G17" i="19"/>
  <c r="D57" i="17" l="1"/>
  <c r="T5" i="17"/>
  <c r="U5" i="17"/>
  <c r="V5" i="17"/>
  <c r="W5" i="17"/>
  <c r="X5" i="17"/>
  <c r="L34" i="17"/>
  <c r="M34" i="17"/>
  <c r="N34" i="17"/>
  <c r="O34" i="17"/>
  <c r="L35" i="17"/>
  <c r="M35" i="17"/>
  <c r="N35" i="17"/>
  <c r="O35" i="17"/>
  <c r="L36" i="17"/>
  <c r="M36" i="17"/>
  <c r="N36" i="17"/>
  <c r="O36" i="17"/>
  <c r="L37" i="17"/>
  <c r="M37" i="17"/>
  <c r="N37" i="17"/>
  <c r="O37" i="17"/>
  <c r="L38" i="17"/>
  <c r="D49" i="17" s="1"/>
  <c r="M38" i="17"/>
  <c r="D50" i="17" s="1"/>
  <c r="N38" i="17"/>
  <c r="D51" i="17" s="1"/>
  <c r="O38" i="17"/>
  <c r="D52" i="17" s="1"/>
  <c r="L33" i="17" l="1"/>
  <c r="M33" i="17"/>
  <c r="N33" i="17"/>
  <c r="O33" i="17"/>
  <c r="D53" i="17" l="1"/>
  <c r="L32" i="17"/>
  <c r="M32" i="17"/>
  <c r="N32" i="17"/>
  <c r="O32" i="17"/>
  <c r="L29" i="17" l="1"/>
  <c r="M29" i="17"/>
  <c r="N29" i="17"/>
  <c r="O29" i="17"/>
  <c r="L30" i="17"/>
  <c r="M30" i="17"/>
  <c r="N30" i="17"/>
  <c r="O30" i="17"/>
  <c r="L31" i="17"/>
  <c r="M31" i="17"/>
  <c r="N31" i="17"/>
  <c r="O31" i="17"/>
  <c r="L28" i="17" l="1"/>
  <c r="M28" i="17"/>
  <c r="N28" i="17"/>
  <c r="O28" i="17"/>
  <c r="K5" i="17" l="1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L27" i="17" l="1"/>
  <c r="M27" i="17"/>
  <c r="N27" i="17"/>
  <c r="O27" i="17"/>
  <c r="L26" i="17" l="1"/>
  <c r="M26" i="17"/>
  <c r="N26" i="17"/>
  <c r="O26" i="17"/>
  <c r="L25" i="17"/>
  <c r="M25" i="17"/>
  <c r="N25" i="17"/>
  <c r="O25" i="17"/>
  <c r="L22" i="17" l="1"/>
  <c r="M22" i="17"/>
  <c r="N22" i="17"/>
  <c r="O22" i="17"/>
  <c r="L23" i="17"/>
  <c r="M23" i="17"/>
  <c r="N23" i="17"/>
  <c r="O23" i="17"/>
  <c r="L24" i="17"/>
  <c r="M24" i="17"/>
  <c r="N24" i="17"/>
  <c r="O24" i="17"/>
  <c r="L20" i="17" l="1"/>
  <c r="M20" i="17"/>
  <c r="N20" i="17"/>
  <c r="O20" i="17"/>
  <c r="L21" i="17"/>
  <c r="M21" i="17"/>
  <c r="N21" i="17"/>
  <c r="O21" i="17"/>
  <c r="L19" i="17" l="1"/>
  <c r="M19" i="17"/>
  <c r="N19" i="17"/>
  <c r="O19" i="17"/>
  <c r="O35" i="16" l="1"/>
  <c r="L18" i="17"/>
  <c r="M18" i="17"/>
  <c r="N18" i="17"/>
  <c r="O18" i="17"/>
  <c r="L13" i="17" l="1"/>
  <c r="M13" i="17"/>
  <c r="N13" i="17"/>
  <c r="O13" i="17"/>
  <c r="L14" i="17"/>
  <c r="M14" i="17"/>
  <c r="N14" i="17"/>
  <c r="O14" i="17"/>
  <c r="L15" i="17"/>
  <c r="M15" i="17"/>
  <c r="N15" i="17"/>
  <c r="O15" i="17"/>
  <c r="L16" i="17"/>
  <c r="M16" i="17"/>
  <c r="N16" i="17"/>
  <c r="O16" i="17"/>
  <c r="L17" i="17"/>
  <c r="M17" i="17"/>
  <c r="N17" i="17"/>
  <c r="O17" i="17"/>
  <c r="L12" i="17" l="1"/>
  <c r="M12" i="17"/>
  <c r="N12" i="17"/>
  <c r="O12" i="17"/>
  <c r="L11" i="17" l="1"/>
  <c r="M11" i="17"/>
  <c r="N11" i="17"/>
  <c r="O11" i="17"/>
  <c r="L9" i="17" l="1"/>
  <c r="M9" i="17"/>
  <c r="N9" i="17"/>
  <c r="O9" i="17"/>
  <c r="L10" i="17"/>
  <c r="M10" i="17"/>
  <c r="N10" i="17"/>
  <c r="O10" i="17"/>
  <c r="O8" i="17"/>
  <c r="N8" i="17"/>
  <c r="M8" i="17"/>
  <c r="L8" i="17"/>
  <c r="O7" i="17"/>
  <c r="N7" i="17"/>
  <c r="M7" i="17"/>
  <c r="L7" i="17"/>
  <c r="O6" i="17"/>
  <c r="N6" i="17"/>
  <c r="M6" i="17"/>
  <c r="L6" i="17"/>
  <c r="O5" i="17"/>
  <c r="N5" i="17"/>
  <c r="M5" i="17"/>
  <c r="L5" i="17"/>
  <c r="W5" i="15" l="1"/>
  <c r="V5" i="15"/>
  <c r="U5" i="15"/>
  <c r="T5" i="15"/>
  <c r="S5" i="15"/>
  <c r="K37" i="15"/>
  <c r="D49" i="15" s="1"/>
  <c r="L37" i="15"/>
  <c r="D50" i="15" s="1"/>
  <c r="M37" i="15"/>
  <c r="D51" i="15" s="1"/>
  <c r="N37" i="15"/>
  <c r="D52" i="15" s="1"/>
  <c r="K36" i="15" l="1"/>
  <c r="L36" i="15"/>
  <c r="M36" i="15"/>
  <c r="N36" i="15"/>
  <c r="K35" i="15" l="1"/>
  <c r="L35" i="15"/>
  <c r="M35" i="15"/>
  <c r="N35" i="15"/>
  <c r="D57" i="15" l="1"/>
  <c r="K34" i="15"/>
  <c r="L34" i="15"/>
  <c r="M34" i="15"/>
  <c r="N34" i="15"/>
  <c r="H86" i="16"/>
  <c r="H87" i="16" s="1"/>
  <c r="G86" i="16"/>
  <c r="H77" i="16"/>
  <c r="H78" i="16" s="1"/>
  <c r="G77" i="16"/>
  <c r="H57" i="16"/>
  <c r="H44" i="16"/>
  <c r="H45" i="16" s="1"/>
  <c r="G44" i="16"/>
  <c r="H17" i="16"/>
  <c r="H18" i="16" s="1"/>
  <c r="G17" i="16"/>
  <c r="K30" i="15" l="1"/>
  <c r="L30" i="15"/>
  <c r="M30" i="15"/>
  <c r="N30" i="15"/>
  <c r="K31" i="15"/>
  <c r="L31" i="15"/>
  <c r="M31" i="15"/>
  <c r="N31" i="15"/>
  <c r="K32" i="15"/>
  <c r="L32" i="15"/>
  <c r="M32" i="15"/>
  <c r="N32" i="15"/>
  <c r="K33" i="15"/>
  <c r="L33" i="15"/>
  <c r="M33" i="15"/>
  <c r="N33" i="15"/>
  <c r="K29" i="15" l="1"/>
  <c r="L29" i="15"/>
  <c r="M29" i="15"/>
  <c r="N29" i="15"/>
  <c r="K28" i="15" l="1"/>
  <c r="L28" i="15"/>
  <c r="M28" i="15"/>
  <c r="N28" i="15"/>
  <c r="K27" i="15" l="1"/>
  <c r="L27" i="15"/>
  <c r="M27" i="15"/>
  <c r="N27" i="15"/>
  <c r="K24" i="15" l="1"/>
  <c r="L24" i="15"/>
  <c r="M24" i="15"/>
  <c r="N24" i="15"/>
  <c r="K25" i="15"/>
  <c r="L25" i="15"/>
  <c r="M25" i="15"/>
  <c r="N25" i="15"/>
  <c r="K26" i="15"/>
  <c r="L26" i="15"/>
  <c r="M26" i="15"/>
  <c r="N26" i="15"/>
  <c r="K23" i="15" l="1"/>
  <c r="L23" i="15"/>
  <c r="M23" i="15"/>
  <c r="N23" i="15"/>
  <c r="K22" i="15" l="1"/>
  <c r="L22" i="15"/>
  <c r="M22" i="15"/>
  <c r="N22" i="15"/>
  <c r="K21" i="15" l="1"/>
  <c r="L21" i="15"/>
  <c r="M21" i="15"/>
  <c r="N21" i="15"/>
  <c r="K20" i="15" l="1"/>
  <c r="L20" i="15"/>
  <c r="M20" i="15"/>
  <c r="N20" i="15"/>
  <c r="K19" i="15" l="1"/>
  <c r="L19" i="15"/>
  <c r="M19" i="15"/>
  <c r="N19" i="15"/>
  <c r="K9" i="15" l="1"/>
  <c r="L9" i="15"/>
  <c r="M9" i="15"/>
  <c r="N9" i="15"/>
  <c r="K10" i="15"/>
  <c r="L10" i="15"/>
  <c r="M10" i="15"/>
  <c r="N10" i="15"/>
  <c r="K11" i="15"/>
  <c r="L11" i="15"/>
  <c r="M11" i="15"/>
  <c r="N11" i="15"/>
  <c r="K12" i="15"/>
  <c r="L12" i="15"/>
  <c r="M12" i="15"/>
  <c r="N12" i="15"/>
  <c r="K13" i="15"/>
  <c r="L13" i="15"/>
  <c r="M13" i="15"/>
  <c r="N13" i="15"/>
  <c r="K14" i="15"/>
  <c r="L14" i="15"/>
  <c r="M14" i="15"/>
  <c r="N14" i="15"/>
  <c r="K15" i="15"/>
  <c r="L15" i="15"/>
  <c r="M15" i="15"/>
  <c r="N15" i="15"/>
  <c r="K16" i="15"/>
  <c r="L16" i="15"/>
  <c r="M16" i="15"/>
  <c r="N16" i="15"/>
  <c r="K17" i="15"/>
  <c r="L17" i="15"/>
  <c r="M17" i="15"/>
  <c r="N17" i="15"/>
  <c r="K18" i="15"/>
  <c r="L18" i="15"/>
  <c r="M18" i="15"/>
  <c r="N18" i="15"/>
  <c r="K6" i="15"/>
  <c r="L6" i="15"/>
  <c r="M6" i="15"/>
  <c r="N6" i="15"/>
  <c r="K7" i="15"/>
  <c r="L7" i="15"/>
  <c r="M7" i="15"/>
  <c r="N7" i="15"/>
  <c r="K8" i="15"/>
  <c r="L8" i="15"/>
  <c r="M8" i="15"/>
  <c r="N8" i="15"/>
  <c r="L5" i="15" l="1"/>
  <c r="N5" i="15"/>
  <c r="M5" i="15"/>
  <c r="K5" i="15"/>
  <c r="D57" i="8" l="1"/>
  <c r="K42" i="8"/>
  <c r="D49" i="8" s="1"/>
  <c r="L42" i="8"/>
  <c r="D50" i="8" s="1"/>
  <c r="M42" i="8"/>
  <c r="D51" i="8" s="1"/>
  <c r="N42" i="8"/>
  <c r="D52" i="8" s="1"/>
  <c r="W5" i="8" l="1"/>
  <c r="V5" i="8"/>
  <c r="U5" i="8"/>
  <c r="T5" i="8"/>
  <c r="S5" i="8"/>
  <c r="G57" i="8" l="1"/>
  <c r="N41" i="8"/>
  <c r="M41" i="8"/>
  <c r="L41" i="8"/>
  <c r="K41" i="8"/>
  <c r="K40" i="8"/>
  <c r="L40" i="8"/>
  <c r="M40" i="8"/>
  <c r="N40" i="8"/>
  <c r="K39" i="8" l="1"/>
  <c r="L39" i="8"/>
  <c r="M39" i="8"/>
  <c r="N39" i="8"/>
  <c r="K37" i="8"/>
  <c r="L37" i="8"/>
  <c r="M37" i="8"/>
  <c r="N37" i="8"/>
  <c r="K38" i="8"/>
  <c r="L38" i="8"/>
  <c r="M38" i="8"/>
  <c r="N38" i="8"/>
  <c r="H88" i="14"/>
  <c r="H89" i="14" s="1"/>
  <c r="G88" i="14"/>
  <c r="H79" i="14"/>
  <c r="H80" i="14" s="1"/>
  <c r="G79" i="14"/>
  <c r="H45" i="14"/>
  <c r="H46" i="14" s="1"/>
  <c r="G45" i="14"/>
  <c r="H17" i="14"/>
  <c r="H18" i="14" s="1"/>
  <c r="G17" i="14"/>
  <c r="N29" i="12" l="1"/>
  <c r="K36" i="8"/>
  <c r="L36" i="8"/>
  <c r="M36" i="8"/>
  <c r="N36" i="8"/>
  <c r="K35" i="8" l="1"/>
  <c r="L35" i="8"/>
  <c r="M35" i="8"/>
  <c r="N35" i="8"/>
  <c r="K34" i="8" l="1"/>
  <c r="L34" i="8"/>
  <c r="M34" i="8"/>
  <c r="N34" i="8"/>
  <c r="K33" i="8" l="1"/>
  <c r="L33" i="8"/>
  <c r="M33" i="8"/>
  <c r="N33" i="8"/>
  <c r="K30" i="8" l="1"/>
  <c r="L30" i="8"/>
  <c r="M30" i="8"/>
  <c r="N30" i="8"/>
  <c r="K31" i="8"/>
  <c r="L31" i="8"/>
  <c r="M31" i="8"/>
  <c r="N31" i="8"/>
  <c r="K32" i="8"/>
  <c r="L32" i="8"/>
  <c r="M32" i="8"/>
  <c r="N32" i="8"/>
  <c r="K29" i="8" l="1"/>
  <c r="L29" i="8"/>
  <c r="M29" i="8"/>
  <c r="N29" i="8"/>
  <c r="K28" i="8" l="1"/>
  <c r="L28" i="8"/>
  <c r="M28" i="8"/>
  <c r="N28" i="8"/>
  <c r="K27" i="8" l="1"/>
  <c r="L27" i="8"/>
  <c r="M27" i="8"/>
  <c r="N27" i="8"/>
  <c r="K26" i="8" l="1"/>
  <c r="L26" i="8"/>
  <c r="M26" i="8"/>
  <c r="N26" i="8"/>
  <c r="K25" i="8" l="1"/>
  <c r="L25" i="8"/>
  <c r="M25" i="8"/>
  <c r="N25" i="8"/>
  <c r="K24" i="8"/>
  <c r="L24" i="8"/>
  <c r="M24" i="8"/>
  <c r="N24" i="8"/>
  <c r="K23" i="8"/>
  <c r="L23" i="8"/>
  <c r="M23" i="8"/>
  <c r="N23" i="8"/>
  <c r="K22" i="8" l="1"/>
  <c r="L22" i="8"/>
  <c r="M22" i="8"/>
  <c r="N22" i="8"/>
  <c r="K21" i="8" l="1"/>
  <c r="L21" i="8"/>
  <c r="M21" i="8"/>
  <c r="N21" i="8"/>
  <c r="K20" i="8" l="1"/>
  <c r="L20" i="8"/>
  <c r="M20" i="8"/>
  <c r="N20" i="8"/>
  <c r="K19" i="8" l="1"/>
  <c r="L19" i="8"/>
  <c r="M19" i="8"/>
  <c r="N19" i="8"/>
  <c r="K18" i="8" l="1"/>
  <c r="L18" i="8"/>
  <c r="M18" i="8"/>
  <c r="N18" i="8"/>
  <c r="K17" i="8" l="1"/>
  <c r="L17" i="8"/>
  <c r="M17" i="8"/>
  <c r="N17" i="8"/>
  <c r="K16" i="8" l="1"/>
  <c r="L16" i="8"/>
  <c r="M16" i="8"/>
  <c r="N16" i="8"/>
  <c r="N5" i="8" l="1"/>
  <c r="M5" i="8"/>
  <c r="L5" i="8"/>
  <c r="K5" i="8"/>
  <c r="K6" i="8"/>
  <c r="L6" i="8"/>
  <c r="M6" i="8"/>
  <c r="N6" i="8"/>
  <c r="K7" i="8"/>
  <c r="L7" i="8"/>
  <c r="M7" i="8"/>
  <c r="N7" i="8"/>
  <c r="K8" i="8"/>
  <c r="L8" i="8"/>
  <c r="M8" i="8"/>
  <c r="N8" i="8"/>
  <c r="K9" i="8"/>
  <c r="L9" i="8"/>
  <c r="M9" i="8"/>
  <c r="N9" i="8"/>
  <c r="K10" i="8"/>
  <c r="L10" i="8"/>
  <c r="M10" i="8"/>
  <c r="N10" i="8"/>
  <c r="K11" i="8"/>
  <c r="L11" i="8"/>
  <c r="M11" i="8"/>
  <c r="N11" i="8"/>
  <c r="K12" i="8"/>
  <c r="L12" i="8"/>
  <c r="M12" i="8"/>
  <c r="N12" i="8"/>
  <c r="K13" i="8"/>
  <c r="L13" i="8"/>
  <c r="M13" i="8"/>
  <c r="N13" i="8"/>
  <c r="K14" i="8"/>
  <c r="L14" i="8"/>
  <c r="M14" i="8"/>
  <c r="N14" i="8"/>
  <c r="K15" i="8"/>
  <c r="L15" i="8"/>
  <c r="M15" i="8"/>
  <c r="N15" i="8"/>
  <c r="H125" i="13" l="1"/>
  <c r="G125" i="13"/>
  <c r="F125" i="13"/>
  <c r="H116" i="13"/>
  <c r="G116" i="13"/>
  <c r="F116" i="13"/>
  <c r="I77" i="13"/>
  <c r="H68" i="13"/>
  <c r="G68" i="13"/>
  <c r="F68" i="13"/>
  <c r="H21" i="13"/>
  <c r="G21" i="13"/>
  <c r="F21" i="13"/>
  <c r="H87" i="12"/>
  <c r="G87" i="12"/>
  <c r="F87" i="12"/>
  <c r="H78" i="12"/>
  <c r="G78" i="12"/>
  <c r="F78" i="12"/>
  <c r="I53" i="12"/>
  <c r="H44" i="12"/>
  <c r="G44" i="12"/>
  <c r="F44" i="12"/>
  <c r="H17" i="12"/>
  <c r="G17" i="12"/>
  <c r="F17" i="12"/>
  <c r="U5" i="7" l="1"/>
  <c r="T5" i="7"/>
  <c r="S5" i="7"/>
  <c r="K38" i="7" l="1"/>
  <c r="L38" i="7"/>
  <c r="M38" i="7"/>
  <c r="N38" i="7"/>
  <c r="K37" i="7"/>
  <c r="L37" i="7"/>
  <c r="M37" i="7"/>
  <c r="N37" i="7"/>
  <c r="D57" i="7"/>
  <c r="N36" i="7" l="1"/>
  <c r="M36" i="7"/>
  <c r="L36" i="7"/>
  <c r="K36" i="7"/>
  <c r="N35" i="7" l="1"/>
  <c r="M35" i="7"/>
  <c r="L35" i="7"/>
  <c r="K35" i="7"/>
  <c r="N34" i="7" l="1"/>
  <c r="M34" i="7"/>
  <c r="L34" i="7"/>
  <c r="K34" i="7"/>
  <c r="N33" i="7" l="1"/>
  <c r="M33" i="7"/>
  <c r="L33" i="7"/>
  <c r="K33" i="7"/>
  <c r="N32" i="7" l="1"/>
  <c r="M32" i="7"/>
  <c r="L32" i="7"/>
  <c r="K32" i="7"/>
  <c r="N31" i="7" l="1"/>
  <c r="M31" i="7"/>
  <c r="L31" i="7"/>
  <c r="K31" i="7"/>
  <c r="N30" i="7" l="1"/>
  <c r="M30" i="7"/>
  <c r="L30" i="7"/>
  <c r="K30" i="7"/>
  <c r="N29" i="7" l="1"/>
  <c r="M29" i="7"/>
  <c r="L29" i="7"/>
  <c r="K29" i="7"/>
  <c r="N28" i="7" l="1"/>
  <c r="M28" i="7"/>
  <c r="L28" i="7"/>
  <c r="K28" i="7"/>
  <c r="K27" i="7" l="1"/>
  <c r="M27" i="7"/>
  <c r="N27" i="7"/>
  <c r="L27" i="7"/>
  <c r="L26" i="7" l="1"/>
  <c r="N26" i="7" l="1"/>
  <c r="N25" i="7"/>
  <c r="L25" i="7"/>
  <c r="K25" i="7"/>
  <c r="G18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8" authorId="0" shapeId="0" xr:uid="{00000000-0006-0000-03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80" authorId="0" shapeId="0" xr:uid="{00000000-0006-0000-03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89" authorId="0" shapeId="0" xr:uid="{00000000-0006-0000-0300-000003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8" authorId="0" shapeId="0" xr:uid="{00000000-0006-0000-05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45" authorId="0" shapeId="0" xr:uid="{00000000-0006-0000-05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87" authorId="0" shapeId="0" xr:uid="{00000000-0006-0000-0500-000003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8" authorId="0" shapeId="0" xr:uid="{00000000-0006-0000-07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45" authorId="0" shapeId="0" xr:uid="{00000000-0006-0000-07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87" authorId="0" shapeId="0" xr:uid="{00000000-0006-0000-0700-000003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8" authorId="0" shapeId="0" xr:uid="{00000000-0006-0000-0B00-000001000000}">
      <text>
        <r>
          <rPr>
            <sz val="10"/>
            <color rgb="FF000000"/>
            <rFont val="Arial"/>
            <family val="2"/>
          </rPr>
          <t>station back-pressure constraint, &amp; other process constraints</t>
        </r>
      </text>
    </comment>
    <comment ref="E45" authorId="0" shapeId="0" xr:uid="{00000000-0006-0000-0B00-000002000000}">
      <text>
        <r>
          <rPr>
            <sz val="10"/>
            <color rgb="FF000000"/>
            <rFont val="Arial"/>
            <family val="2"/>
          </rPr>
          <t>station back-pressure constraint, &amp; other process constraints</t>
        </r>
      </text>
    </comment>
    <comment ref="E76" authorId="0" shapeId="0" xr:uid="{00000000-0006-0000-0B00-000003000000}">
      <text>
        <r>
          <rPr>
            <sz val="10"/>
            <color rgb="FF000000"/>
            <rFont val="Arial"/>
            <family val="2"/>
          </rPr>
          <t>station back-pressure constraint, &amp; other process constraints</t>
        </r>
      </text>
    </comment>
    <comment ref="E86" authorId="0" shapeId="0" xr:uid="{00000000-0006-0000-0B00-000004000000}">
      <text>
        <r>
          <rPr>
            <sz val="10"/>
            <color rgb="FF000000"/>
            <rFont val="Arial"/>
            <family val="2"/>
          </rPr>
          <t>station back-pressure constraint, &amp; other process constraints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8" authorId="0" shapeId="0" xr:uid="{00000000-0006-0000-0D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45" authorId="0" shapeId="0" xr:uid="{00000000-0006-0000-0D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76" authorId="0" shapeId="0" xr:uid="{00000000-0006-0000-0D00-000003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86" authorId="0" shapeId="0" xr:uid="{00000000-0006-0000-0D00-000004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8" authorId="0" shapeId="0" xr:uid="{00000000-0006-0000-0F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45" authorId="0" shapeId="0" xr:uid="{00000000-0006-0000-0F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77" authorId="0" shapeId="0" xr:uid="{00000000-0006-0000-0F00-000003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E87" authorId="0" shapeId="0" xr:uid="{00000000-0006-0000-0F00-000004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5" authorId="0" shapeId="0" xr:uid="{00000000-0006-0000-1200-000001000000}">
      <text>
        <r>
          <rPr>
            <sz val="10"/>
            <color rgb="FF000000"/>
            <rFont val="Arial"/>
            <family val="2"/>
          </rPr>
          <t>station back-pressure constraint, &amp; other process constraints</t>
        </r>
      </text>
    </comment>
    <comment ref="D77" authorId="0" shapeId="0" xr:uid="{00000000-0006-0000-1200-000002000000}">
      <text>
        <r>
          <rPr>
            <sz val="10"/>
            <color rgb="FF000000"/>
            <rFont val="Arial"/>
            <family val="2"/>
          </rPr>
          <t>station back-pressure constraint, &amp; other process constraints</t>
        </r>
      </text>
    </comment>
    <comment ref="D87" authorId="0" shapeId="0" xr:uid="{00000000-0006-0000-1200-000003000000}">
      <text>
        <r>
          <rPr>
            <sz val="10"/>
            <color rgb="FF000000"/>
            <rFont val="Arial"/>
            <family val="2"/>
          </rPr>
          <t>station back-pressure constraint, &amp; other process constraints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9" authorId="0" shapeId="0" xr:uid="{00000000-0006-0000-19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89" authorId="0" shapeId="0" xr:uid="{00000000-0006-0000-19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9" authorId="0" shapeId="0" xr:uid="{00000000-0006-0000-1B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89" authorId="0" shapeId="0" xr:uid="{00000000-0006-0000-1B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9" authorId="0" shapeId="0" xr:uid="{00000000-0006-0000-1D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89" authorId="0" shapeId="0" xr:uid="{00000000-0006-0000-1D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9" authorId="0" shapeId="0" xr:uid="{00000000-0006-0000-1F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89" authorId="0" shapeId="0" xr:uid="{00000000-0006-0000-1F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9" authorId="0" shapeId="0" xr:uid="{00000000-0006-0000-2100-000001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89" authorId="0" shapeId="0" xr:uid="{00000000-0006-0000-2100-00000200000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80" authorId="0" shapeId="0" xr:uid="{23D79385-E1D3-4510-92B5-91E720B350DD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90" authorId="0" shapeId="0" xr:uid="{11D90FCA-E98E-4DF4-B2B1-96DA289F0CDF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80" authorId="0" shapeId="0" xr:uid="{54B5531D-98DF-49F7-96B9-9D7A0F04D437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90" authorId="0" shapeId="0" xr:uid="{650C2DF5-674E-41AD-853B-9E4FB5CF5520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80" authorId="0" shapeId="0" xr:uid="{E728B617-8BDC-46E4-8A1C-D02B88D5EA76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90" authorId="0" shapeId="0" xr:uid="{0F759541-DE6A-47B9-8690-22B4FB662595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80" authorId="0" shapeId="0" xr:uid="{DA62DEE8-8511-4AB5-A009-70295126BA89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90" authorId="0" shapeId="0" xr:uid="{800847E2-88F5-42F2-AC56-03487C87D192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80" authorId="0" shapeId="0" xr:uid="{744BE3C3-ACBF-4350-8825-A3A4C7CA3EDE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  <comment ref="C90" authorId="0" shapeId="0" xr:uid="{70AF4141-3852-43FA-9755-53C350AE1239}">
      <text>
        <r>
          <rPr>
            <sz val="12"/>
            <color theme="1"/>
            <rFont val="Arial"/>
            <family val="2"/>
          </rPr>
          <t>station back-pressure constraint, &amp; other process constraints
======</t>
        </r>
      </text>
    </comment>
  </commentList>
</comments>
</file>

<file path=xl/sharedStrings.xml><?xml version="1.0" encoding="utf-8"?>
<sst xmlns="http://schemas.openxmlformats.org/spreadsheetml/2006/main" count="6435" uniqueCount="650">
  <si>
    <t>Daily Production</t>
  </si>
  <si>
    <t>Date</t>
  </si>
  <si>
    <t>Batan Target (bopd)</t>
  </si>
  <si>
    <t>Jones Creek Target (bopd)</t>
  </si>
  <si>
    <t>Egwa Target (bopd)</t>
  </si>
  <si>
    <t>Odidi Target (bopd)</t>
  </si>
  <si>
    <t>Batan Daily Prod (bopd)</t>
  </si>
  <si>
    <t>Jones Creek Prod (bopd)</t>
  </si>
  <si>
    <t>Egwa Prod (bopd)</t>
  </si>
  <si>
    <t>Odidi prod (bopd)</t>
  </si>
  <si>
    <t>Batan Def</t>
  </si>
  <si>
    <t>Jones Creek Def</t>
  </si>
  <si>
    <t>Egwa Def</t>
  </si>
  <si>
    <t>Odidi Def</t>
  </si>
  <si>
    <t>Target</t>
  </si>
  <si>
    <t>Daily Prod</t>
  </si>
  <si>
    <t>Batan</t>
  </si>
  <si>
    <t>Jones Creek</t>
  </si>
  <si>
    <t>Egwa</t>
  </si>
  <si>
    <t>Odidi</t>
  </si>
  <si>
    <t>-</t>
  </si>
  <si>
    <t>Deferment/Variance Analysis</t>
  </si>
  <si>
    <t>Stations</t>
  </si>
  <si>
    <t>Deferment (Mbopd)</t>
  </si>
  <si>
    <t>Reasons/Comments</t>
  </si>
  <si>
    <r>
      <t xml:space="preserve"> Misc </t>
    </r>
    <r>
      <rPr>
        <b/>
        <sz val="15"/>
        <color rgb="FFFF0000"/>
        <rFont val="Arial"/>
        <family val="2"/>
      </rPr>
      <t xml:space="preserve">(0.13). </t>
    </r>
  </si>
  <si>
    <r>
      <t xml:space="preserve">12L dn on ScSSSV </t>
    </r>
    <r>
      <rPr>
        <b/>
        <sz val="15"/>
        <color rgb="FFFF0000"/>
        <rFont val="Arial"/>
        <family val="2"/>
      </rPr>
      <t>(1.30)</t>
    </r>
    <r>
      <rPr>
        <sz val="15"/>
        <color theme="1"/>
        <rFont val="Arial"/>
        <family val="2"/>
      </rPr>
      <t>. Misc</t>
    </r>
    <r>
      <rPr>
        <b/>
        <sz val="15"/>
        <color rgb="FFFF0000"/>
        <rFont val="Arial"/>
        <family val="2"/>
      </rPr>
      <t>(0.68)</t>
    </r>
    <r>
      <rPr>
        <sz val="15"/>
        <color theme="1"/>
        <rFont val="Arial"/>
        <family val="2"/>
      </rPr>
      <t xml:space="preserve"> - partly due to suspected restriction on the LP header check valve.</t>
    </r>
  </si>
  <si>
    <t>Station static increased overtime from 40psi to 53psi. To be evaluated for possible reduction. Impact of 29S bean-up being evaluated.</t>
  </si>
  <si>
    <r>
      <t xml:space="preserve">C/I 30S, 50T, 28S &amp; 10S for F/L leak </t>
    </r>
    <r>
      <rPr>
        <sz val="15"/>
        <color rgb="FFFF0000"/>
        <rFont val="Arial"/>
        <family val="2"/>
      </rPr>
      <t>(</t>
    </r>
    <r>
      <rPr>
        <b/>
        <sz val="15"/>
        <color rgb="FFFF0000"/>
        <rFont val="Arial"/>
        <family val="2"/>
      </rPr>
      <t>2.57</t>
    </r>
    <r>
      <rPr>
        <sz val="15"/>
        <color rgb="FFFF0000"/>
        <rFont val="Arial"/>
        <family val="2"/>
      </rPr>
      <t>)</t>
    </r>
    <r>
      <rPr>
        <sz val="15"/>
        <color theme="1"/>
        <rFont val="Arial"/>
        <family val="2"/>
      </rPr>
      <t xml:space="preserve">. Misc </t>
    </r>
    <r>
      <rPr>
        <b/>
        <sz val="15"/>
        <color rgb="FFFF0000"/>
        <rFont val="Arial"/>
        <family val="2"/>
      </rPr>
      <t xml:space="preserve">(0.43) </t>
    </r>
    <r>
      <rPr>
        <b/>
        <sz val="15"/>
        <rFont val="Arial"/>
        <family val="2"/>
      </rPr>
      <t xml:space="preserve">- </t>
    </r>
    <r>
      <rPr>
        <sz val="15"/>
        <rFont val="Arial"/>
        <family val="2"/>
      </rPr>
      <t>partly due to bean down of 51T for MER</t>
    </r>
  </si>
  <si>
    <t>OML-42 PRODUCTION TARGET FOR MAY-2020</t>
  </si>
  <si>
    <t>AJUJU/BATAN CONDUITS ON TARGET WITH CURRENT PRODUCTION LEVELS (MAY-2020)</t>
  </si>
  <si>
    <t>CONDUITS</t>
  </si>
  <si>
    <t>RESERVOIR</t>
  </si>
  <si>
    <t>BEAN SIZE (x/64)</t>
  </si>
  <si>
    <t>GROSS RATE (BPD)</t>
  </si>
  <si>
    <t>OIL RATE (BOPD)</t>
  </si>
  <si>
    <t>WATER RATE (BWPD)</t>
  </si>
  <si>
    <t>BS&amp;W (%)</t>
  </si>
  <si>
    <t>GOR (scf/bbl)</t>
  </si>
  <si>
    <t>FTHP (psig)</t>
  </si>
  <si>
    <t>REMARK</t>
  </si>
  <si>
    <t>AJUJU-001L</t>
  </si>
  <si>
    <t>E1000E</t>
  </si>
  <si>
    <t>AJUJU-001S</t>
  </si>
  <si>
    <t>D6000E</t>
  </si>
  <si>
    <t>AJUJU-006T</t>
  </si>
  <si>
    <t>BATAN-001T</t>
  </si>
  <si>
    <t>D3100X</t>
  </si>
  <si>
    <t>BATAN-002S</t>
  </si>
  <si>
    <t>48 </t>
  </si>
  <si>
    <t>BATAN-006S</t>
  </si>
  <si>
    <t>24 </t>
  </si>
  <si>
    <t>BATAN-008L</t>
  </si>
  <si>
    <t>BATAN-009T</t>
  </si>
  <si>
    <t>BATAN-011T</t>
  </si>
  <si>
    <t>36 </t>
  </si>
  <si>
    <t>BATAN-012T</t>
  </si>
  <si>
    <t>BATAN-013T</t>
  </si>
  <si>
    <t>ODIDI CONDUITS ON TARGET WITH CURRENT PRODUCTION LEVELS (MAY-2020)</t>
  </si>
  <si>
    <t>ODIDI-005T</t>
  </si>
  <si>
    <t>M4.000Y</t>
  </si>
  <si>
    <t>ODIDI-010S</t>
  </si>
  <si>
    <t>F1000E</t>
  </si>
  <si>
    <t>C/I for flowline leak</t>
  </si>
  <si>
    <t>ODIDI-011T</t>
  </si>
  <si>
    <t>D3000E</t>
  </si>
  <si>
    <t>ODIDI-018T</t>
  </si>
  <si>
    <t>D3000W</t>
  </si>
  <si>
    <t>C/I for PBU</t>
  </si>
  <si>
    <t>ODIDI-019L</t>
  </si>
  <si>
    <t>F3000W</t>
  </si>
  <si>
    <t>ODIDI-019S</t>
  </si>
  <si>
    <t>F1000W</t>
  </si>
  <si>
    <t>ODIDI-021S</t>
  </si>
  <si>
    <t>ODIDI-022S</t>
  </si>
  <si>
    <t>G6000M</t>
  </si>
  <si>
    <t>ODIDI-023L</t>
  </si>
  <si>
    <t>D4000E</t>
  </si>
  <si>
    <t>ODIDI-024L</t>
  </si>
  <si>
    <t>G8000M</t>
  </si>
  <si>
    <t>ODIDI-028S</t>
  </si>
  <si>
    <t>E5000M</t>
  </si>
  <si>
    <t>ODIDI-030S</t>
  </si>
  <si>
    <t>ODIDI-034S</t>
  </si>
  <si>
    <t>F1000M</t>
  </si>
  <si>
    <t>ODIDI-035L</t>
  </si>
  <si>
    <t>ODIDI-037S</t>
  </si>
  <si>
    <t>F5300M</t>
  </si>
  <si>
    <t>ODIDI-043L</t>
  </si>
  <si>
    <t>F7000M</t>
  </si>
  <si>
    <t>ODIDI-044S</t>
  </si>
  <si>
    <t>ODIDI-044L</t>
  </si>
  <si>
    <t>ODIDI-046S</t>
  </si>
  <si>
    <t>D3000X</t>
  </si>
  <si>
    <t>ODIDI-048T</t>
  </si>
  <si>
    <t>ODIDI-050T</t>
  </si>
  <si>
    <t>ODIDI-051T</t>
  </si>
  <si>
    <t>JONES CREEK CONDUITS ON TARGET WITH CURRENT PRODUCTION LEVELS (MAY-2020)</t>
  </si>
  <si>
    <t>JONC-001L</t>
  </si>
  <si>
    <t>D6000X</t>
  </si>
  <si>
    <t>JONC-001S</t>
  </si>
  <si>
    <t>D4300X</t>
  </si>
  <si>
    <t>JONC-003L</t>
  </si>
  <si>
    <t>D8000X</t>
  </si>
  <si>
    <t>JONC-006L</t>
  </si>
  <si>
    <t>D4100X</t>
  </si>
  <si>
    <t>JONC-007S</t>
  </si>
  <si>
    <t>JONC-012L</t>
  </si>
  <si>
    <t>C/I for suspected ScSSSV failure</t>
  </si>
  <si>
    <t>JONC-012S</t>
  </si>
  <si>
    <t>D4000X</t>
  </si>
  <si>
    <t>JONC-013T</t>
  </si>
  <si>
    <t>JONC-019T</t>
  </si>
  <si>
    <t>JONC-022T</t>
  </si>
  <si>
    <t>JONC-023L</t>
  </si>
  <si>
    <t>JONC-023S</t>
  </si>
  <si>
    <t>JONC-024L</t>
  </si>
  <si>
    <t>F2000X</t>
  </si>
  <si>
    <t>JONC-024S</t>
  </si>
  <si>
    <t>JONC-025L</t>
  </si>
  <si>
    <t>JONC-025S</t>
  </si>
  <si>
    <t>JONC-026S</t>
  </si>
  <si>
    <t>JONC-034S</t>
  </si>
  <si>
    <t>JONC-036S</t>
  </si>
  <si>
    <t>D7000X</t>
  </si>
  <si>
    <t>JONC-037T</t>
  </si>
  <si>
    <t>C6000S</t>
  </si>
  <si>
    <t>JONC-039L</t>
  </si>
  <si>
    <t>JONC-039S</t>
  </si>
  <si>
    <t>JONC-040L</t>
  </si>
  <si>
    <t>JONC-041S</t>
  </si>
  <si>
    <t>JONC-042S</t>
  </si>
  <si>
    <t>JONC-044S</t>
  </si>
  <si>
    <t>D4000X/ D4100X</t>
  </si>
  <si>
    <t>JONC-046T</t>
  </si>
  <si>
    <t>E8000Y</t>
  </si>
  <si>
    <t>JONC-049L</t>
  </si>
  <si>
    <t>JONC-049S</t>
  </si>
  <si>
    <t>EGWA CONDUITS ON TARGET WITH ASSOCIATED POTENTIALS (MAY 2020)</t>
  </si>
  <si>
    <t>EGWA-007S</t>
  </si>
  <si>
    <t>D3000N</t>
  </si>
  <si>
    <t>Production pararmeters estimated. Well testing required to validate data</t>
  </si>
  <si>
    <t>EGWA-011L</t>
  </si>
  <si>
    <t>F4100X</t>
  </si>
  <si>
    <t>EGWA-029S</t>
  </si>
  <si>
    <t>EGWA-030S</t>
  </si>
  <si>
    <t>D3000S</t>
  </si>
  <si>
    <t>Daily Prod (Mbopd)</t>
  </si>
  <si>
    <t>Target (Mbopd)</t>
  </si>
  <si>
    <t>Variance/Deferment Analysis</t>
  </si>
  <si>
    <r>
      <t>Station shutdown @ 12.25 hrs 28th May 2020 due to TFP leak</t>
    </r>
    <r>
      <rPr>
        <sz val="15"/>
        <color rgb="FFFF0000"/>
        <rFont val="Arial"/>
        <family val="2"/>
      </rPr>
      <t xml:space="preserve"> </t>
    </r>
  </si>
  <si>
    <r>
      <rPr>
        <sz val="15"/>
        <rFont val="Arial"/>
        <family val="2"/>
      </rPr>
      <t>26 strgs producing vs 29 strgs on target.</t>
    </r>
    <r>
      <rPr>
        <sz val="15"/>
        <color rgb="FFFF0000"/>
        <rFont val="Arial"/>
        <family val="2"/>
      </rPr>
      <t xml:space="preserve">  3L, 37T &amp; 40L C/I for PBU (0.55). Misc(0.78)</t>
    </r>
  </si>
  <si>
    <t xml:space="preserve">4 strgs producing vs 4 strgs on target. </t>
  </si>
  <si>
    <r>
      <rPr>
        <sz val="15"/>
        <rFont val="Arial"/>
        <family val="2"/>
      </rPr>
      <t xml:space="preserve">16 strgs producing vs 22 strgs on target. </t>
    </r>
    <r>
      <rPr>
        <sz val="15"/>
        <color rgb="FFFF0000"/>
        <rFont val="Arial"/>
        <family val="2"/>
      </rPr>
      <t>37S C/I for F/L leak (0.35)</t>
    </r>
    <r>
      <rPr>
        <sz val="15"/>
        <rFont val="Arial"/>
        <family val="2"/>
      </rPr>
      <t xml:space="preserve">. </t>
    </r>
    <r>
      <rPr>
        <sz val="15"/>
        <color rgb="FFFF0000"/>
        <rFont val="Arial"/>
        <family val="2"/>
      </rPr>
      <t>18T C/I for PBU(0.42). 10S, 30S, 22S &amp; 43L C/I for F/L leak (3.17). Misc(1.46)</t>
    </r>
  </si>
  <si>
    <t>OML-42 PRODUCTION TARGET FOR JUNE-2020</t>
  </si>
  <si>
    <t>AJUJU/BATAN CONDUITS ON TARGET WITH CURRENT PRODUCTION LEVELS (JUNE-2020)</t>
  </si>
  <si>
    <t>S/NO</t>
  </si>
  <si>
    <t>Station Reliability Factor (0.98)</t>
  </si>
  <si>
    <t>ODIDI CONDUITS ON TARGET WITH CURRENT PRODUCTION LEVELS (JUNE 2020)</t>
  </si>
  <si>
    <t>C/I for PBU. last produced in Mar-2020</t>
  </si>
  <si>
    <t>Gross/BS&amp;W Adjusted as per well test</t>
  </si>
  <si>
    <t>Adjusted as per well test</t>
  </si>
  <si>
    <t>Station Reliability Factor (0.97)</t>
  </si>
  <si>
    <t>JONES CREEK CONDUITS ON TARGET WITH CURRENT PRODUCTION LEVELS (JUNE-2020)</t>
  </si>
  <si>
    <t>NA</t>
  </si>
  <si>
    <t>Intermittent producer</t>
  </si>
  <si>
    <t>EGWA CONDUITS ON TARGET WITH ASSOCIATED POTENTIALS (JUNE 2020)</t>
  </si>
  <si>
    <t>Based on Recent Welltest</t>
  </si>
  <si>
    <t>Station Reliability Factor (1.00)</t>
  </si>
  <si>
    <r>
      <rPr>
        <sz val="15"/>
        <color rgb="FFFF0000"/>
        <rFont val="Gill Sans MT"/>
        <family val="2"/>
      </rPr>
      <t>1st July prod figure used.</t>
    </r>
    <r>
      <rPr>
        <sz val="15"/>
        <rFont val="Gill Sans MT"/>
        <family val="2"/>
      </rPr>
      <t xml:space="preserve"> 11 strgs producing vs 11 strgs. Producing ok</t>
    </r>
  </si>
  <si>
    <r>
      <rPr>
        <sz val="15"/>
        <rFont val="Gill Sans MT"/>
        <family val="2"/>
      </rPr>
      <t xml:space="preserve">0 strgs producing vs 29 strgs on target. </t>
    </r>
    <r>
      <rPr>
        <sz val="15"/>
        <color rgb="FFFF0000"/>
        <rFont val="Gill Sans MT"/>
        <family val="2"/>
      </rPr>
      <t xml:space="preserve">12L HBSW (0.80). 3L, 37T , 40L &amp; 39S  C/I for PBU(0.97). Station dn for trunkline leak. </t>
    </r>
  </si>
  <si>
    <r>
      <t>4 strgs producing vs 4 strgs on target.</t>
    </r>
    <r>
      <rPr>
        <sz val="15"/>
        <color rgb="FFFF0000"/>
        <rFont val="Gill Sans MT"/>
        <family val="2"/>
      </rPr>
      <t xml:space="preserve"> O/U 30S ex- top-sub issues.</t>
    </r>
  </si>
  <si>
    <r>
      <rPr>
        <sz val="15"/>
        <color rgb="FFFF0000"/>
        <rFont val="Gill Sans MT"/>
        <family val="2"/>
      </rPr>
      <t>1st July prod figure used.</t>
    </r>
    <r>
      <rPr>
        <sz val="15"/>
        <rFont val="Gill Sans MT"/>
        <family val="2"/>
      </rPr>
      <t xml:space="preserve"> 20 strgs producing vs 22 strgs. O/U 43L ex-flowline leak. </t>
    </r>
    <r>
      <rPr>
        <sz val="15"/>
        <color rgb="FFFF0000"/>
        <rFont val="Gill Sans MT"/>
        <family val="2"/>
      </rPr>
      <t xml:space="preserve">34S C/I for F/L leak (1.13). </t>
    </r>
  </si>
  <si>
    <t>OML-42 PRODUCTION TARGET FOR JULY-2020</t>
  </si>
  <si>
    <t>AJUJU/BATAN CONDUITS ON TARGET WITH CURRENT PRODUCTION LEVELS (JULY-2020)</t>
  </si>
  <si>
    <t>ODIDI CONDUITS ON TARGET WITH CURRENT PRODUCTION LEVELS (JULY 2020)</t>
  </si>
  <si>
    <t>Adjusted as per well test.C/I for flowline leak</t>
  </si>
  <si>
    <t>BS&amp;W adjusted to 58%. THP dropped by circa 400psi in 1yr</t>
  </si>
  <si>
    <t>JONES CREEK CONDUITS ON TARGET WITH CURRENT PRODUCTION LEVELS (JULY-2020)</t>
  </si>
  <si>
    <t>Increasing BSW, declining prod &amp; declining FTHP</t>
  </si>
  <si>
    <t>Gradual water ingress</t>
  </si>
  <si>
    <t>EGWA CONDUITS ON TARGET WITH ASSOCIATED POTENTIALS (JULY 2020)</t>
  </si>
  <si>
    <t>Total</t>
  </si>
  <si>
    <r>
      <t xml:space="preserve">6 strgs producing vs 11 strgs on target. </t>
    </r>
    <r>
      <rPr>
        <sz val="15"/>
        <color rgb="FFFF0000"/>
        <rFont val="Gill Sans MT"/>
        <family val="2"/>
      </rPr>
      <t>11T, 9T &amp; 1L/S C/I for F/L leak(2.85). Ajuju-6T(1.03) faulty top-sub.  9T &amp; 11T  Top-sub stolen by unknown persons. Misc(0.45)</t>
    </r>
  </si>
  <si>
    <r>
      <rPr>
        <sz val="15"/>
        <rFont val="Gill Sans MT"/>
        <family val="2"/>
      </rPr>
      <t xml:space="preserve">24 strgs producing vs 28 strgs on target. O/U 3L &amp; 31L ex-pbu. </t>
    </r>
    <r>
      <rPr>
        <sz val="15"/>
        <color rgb="FFFF0000"/>
        <rFont val="Gill Sans MT"/>
        <family val="2"/>
      </rPr>
      <t>C/I 1L, 24S &amp; 49S C/I for F/L leak(2.57). 37T &amp; 39S C/I for PBU(0.45)</t>
    </r>
  </si>
  <si>
    <r>
      <t>4 strgs producing vs 4 strgs on target.</t>
    </r>
    <r>
      <rPr>
        <sz val="15"/>
        <color rgb="FFFF0000"/>
        <rFont val="Gill Sans MT"/>
        <family val="2"/>
      </rPr>
      <t xml:space="preserve"> Station static 75 psig</t>
    </r>
  </si>
  <si>
    <r>
      <t xml:space="preserve">20 strgs producing vs 21 strgs on target. </t>
    </r>
    <r>
      <rPr>
        <sz val="15"/>
        <color rgb="FFFF0000"/>
        <rFont val="Gill Sans MT"/>
        <family val="2"/>
      </rPr>
      <t>48T C/I for FL leak (0.91).</t>
    </r>
    <r>
      <rPr>
        <sz val="15"/>
        <rFont val="Gill Sans MT"/>
        <family val="2"/>
      </rPr>
      <t xml:space="preserve"> </t>
    </r>
  </si>
  <si>
    <t xml:space="preserve">Total </t>
  </si>
  <si>
    <r>
      <t xml:space="preserve">7 strgs producing vs 11 strgs on target. </t>
    </r>
    <r>
      <rPr>
        <b/>
        <sz val="15"/>
        <color rgb="FFFF0000"/>
        <rFont val="Gill Sans MT"/>
        <family val="2"/>
      </rPr>
      <t>11T, 1L/S &amp; Ajuju-6T C/I for F/L leak(3.19). Misc (0.56)</t>
    </r>
  </si>
  <si>
    <r>
      <rPr>
        <sz val="15"/>
        <rFont val="Gill Sans MT"/>
        <family val="2"/>
      </rPr>
      <t xml:space="preserve">23 strings producing vs 28 strgs on target.  O/U 39L ex-FL leak. </t>
    </r>
    <r>
      <rPr>
        <b/>
        <sz val="15"/>
        <color rgb="FFFF0000"/>
        <rFont val="Gill Sans MT"/>
        <family val="2"/>
      </rPr>
      <t>C/I 1L, 24S, &amp; 49S for F/L leak(3.16)</t>
    </r>
    <r>
      <rPr>
        <sz val="15"/>
        <color rgb="FFFF0000"/>
        <rFont val="Gill Sans MT"/>
        <family val="2"/>
      </rPr>
      <t>. 37T C/I for PBU(0.20).</t>
    </r>
  </si>
  <si>
    <r>
      <t xml:space="preserve">4 strgs producing vs 4 strgs on target. </t>
    </r>
    <r>
      <rPr>
        <sz val="15"/>
        <color rgb="FFFF0000"/>
        <rFont val="Gill Sans MT"/>
        <family val="2"/>
      </rPr>
      <t>Station static pressure 81 psig</t>
    </r>
  </si>
  <si>
    <r>
      <t xml:space="preserve">18 strings producing vs 21 strgs on target. </t>
    </r>
    <r>
      <rPr>
        <b/>
        <sz val="15"/>
        <color rgb="FFFF0000"/>
        <rFont val="Gill Sans MT"/>
        <family val="2"/>
      </rPr>
      <t>C/I 11T, 48T &amp; 51T (3.40) for FL leak</t>
    </r>
    <r>
      <rPr>
        <sz val="15"/>
        <color rgb="FFFF0000"/>
        <rFont val="Gill Sans MT"/>
        <family val="2"/>
      </rPr>
      <t>.</t>
    </r>
  </si>
  <si>
    <t>Total potential deferment on flowline leak (9.75)</t>
  </si>
  <si>
    <t>OML-42 PRODUCTION TARGET FOR SEPT-2020</t>
  </si>
  <si>
    <t>AJUJU/BATAN CONDUITS ON TARGET WITH CURRENT PRODUCTION LEVELS (SEPT-2020)</t>
  </si>
  <si>
    <t>ODIDI CONDUITS ON TARGET WITH CURRENT PRODUCTION LEVELS (SEPT 2020)</t>
  </si>
  <si>
    <t>DRAFT FL REPAIR TIMELINES</t>
  </si>
  <si>
    <t>S/N</t>
  </si>
  <si>
    <t>Field</t>
  </si>
  <si>
    <t>Flowline</t>
  </si>
  <si>
    <t>Estimated Deferment (bopd)</t>
  </si>
  <si>
    <t>Repair Start Date (Expected)</t>
  </si>
  <si>
    <t>Repair End Date (Expected)</t>
  </si>
  <si>
    <t>Remark</t>
  </si>
  <si>
    <t>Batan/Ajuju</t>
  </si>
  <si>
    <t>Ajuju-1L</t>
  </si>
  <si>
    <t>Clamping</t>
  </si>
  <si>
    <t>Ajuju-1S</t>
  </si>
  <si>
    <t>15/09/2020</t>
  </si>
  <si>
    <t>Ajuju-6T</t>
  </si>
  <si>
    <t>20/09/2020</t>
  </si>
  <si>
    <t>30/09/2020</t>
  </si>
  <si>
    <t>Sectional Replacement</t>
  </si>
  <si>
    <t>Batan-11T</t>
  </si>
  <si>
    <t>16/09/2020</t>
  </si>
  <si>
    <t>19/09/2020</t>
  </si>
  <si>
    <t>W-11T</t>
  </si>
  <si>
    <t>W-48T</t>
  </si>
  <si>
    <t>W-51T</t>
  </si>
  <si>
    <t>W-1L</t>
  </si>
  <si>
    <t>13/09/2020</t>
  </si>
  <si>
    <t>W-24S</t>
  </si>
  <si>
    <t>W-49S</t>
  </si>
  <si>
    <t>18/09/2020</t>
  </si>
  <si>
    <t>Sectional replacement</t>
  </si>
  <si>
    <t>JONES CREEK CONDUITS ON TARGET WITH CURRENT PRODUCTION LEVELS (SEPT-2020)</t>
  </si>
  <si>
    <t>EGWA CONDUITS ON TARGET WITH ASSOCIATED POTENTIALS (SEPT 2020)</t>
  </si>
  <si>
    <t>C/I for stolen top-sub</t>
  </si>
  <si>
    <r>
      <rPr>
        <sz val="15"/>
        <rFont val="Gill Sans MT"/>
        <family val="2"/>
      </rPr>
      <t xml:space="preserve">3 strings producing vs 27 strgs on target. </t>
    </r>
    <r>
      <rPr>
        <b/>
        <sz val="15"/>
        <color rgb="FFFF0000"/>
        <rFont val="Gill Sans MT"/>
        <family val="2"/>
      </rPr>
      <t>C/I 1L, 7S &amp; 49S for F/L leak(2.98), 12L C/I for PBU(0.34).</t>
    </r>
  </si>
  <si>
    <r>
      <t xml:space="preserve">18 strings producing vs 21 strgs on target. </t>
    </r>
    <r>
      <rPr>
        <b/>
        <sz val="15"/>
        <color rgb="FFFF0000"/>
        <rFont val="Gill Sans MT"/>
        <family val="2"/>
      </rPr>
      <t>C/I 48T, 10S, 23L for FL leak(1.59).</t>
    </r>
  </si>
  <si>
    <r>
      <rPr>
        <b/>
        <sz val="15"/>
        <color rgb="FFFF0000"/>
        <rFont val="Gill Sans MT"/>
        <family val="2"/>
      </rPr>
      <t>3 strings producing vs 27 strgs on target.</t>
    </r>
    <r>
      <rPr>
        <b/>
        <sz val="15"/>
        <rFont val="Gill Sans MT"/>
        <family val="2"/>
      </rPr>
      <t>.</t>
    </r>
    <r>
      <rPr>
        <sz val="15"/>
        <rFont val="Gill Sans MT"/>
        <family val="2"/>
      </rPr>
      <t xml:space="preserve"> </t>
    </r>
    <r>
      <rPr>
        <b/>
        <sz val="15"/>
        <color rgb="FFFF0000"/>
        <rFont val="Gill Sans MT"/>
        <family val="2"/>
      </rPr>
      <t xml:space="preserve">12T, 1L/S &amp; Ajuju-6T C/I for F/L leak(4.10). </t>
    </r>
  </si>
  <si>
    <r>
      <t xml:space="preserve">4 strgs producing vs 4 strgs on target. </t>
    </r>
    <r>
      <rPr>
        <sz val="15"/>
        <color rgb="FFFF0000"/>
        <rFont val="Gill Sans MT"/>
        <family val="2"/>
      </rPr>
      <t>Bn dn 29S to control station static pressure(0.20)</t>
    </r>
    <r>
      <rPr>
        <sz val="15"/>
        <rFont val="Gill Sans MT"/>
        <family val="2"/>
      </rPr>
      <t>.</t>
    </r>
    <r>
      <rPr>
        <b/>
        <sz val="15"/>
        <color rgb="FFFF0000"/>
        <rFont val="Gill Sans MT"/>
        <family val="2"/>
      </rPr>
      <t xml:space="preserve"> Station static pressure @102psi</t>
    </r>
  </si>
  <si>
    <t>Total potential deferment on flowline leak (8.01)</t>
  </si>
  <si>
    <t>OML-42 PRODUCTION TARGET FOR OCT-2020</t>
  </si>
  <si>
    <t>AJUJU/BATAN CONDUITS ON TARGET WITH CURRENT PRODUCTION LEVELS (OCT-2020)</t>
  </si>
  <si>
    <t>C/I for FL leak</t>
  </si>
  <si>
    <t>ODIDI CONDUITS ON TARGET WITH CURRENT PRODUCTION LEVELS (OCT 2020)</t>
  </si>
  <si>
    <t>C/I for top sub.</t>
  </si>
  <si>
    <t>JONES CREEK CONDUITS ON TARGET WITH CURRENT PRODUCTION LEVELS (OCT-2020)</t>
  </si>
  <si>
    <t>C/I for stolen top sub</t>
  </si>
  <si>
    <t>EGWA CONDUITS ON TARGET WITH ASSOCIATED POTENTIALS (OCT 2020)</t>
  </si>
  <si>
    <r>
      <rPr>
        <b/>
        <sz val="14"/>
        <rFont val="Gill Sans MT"/>
        <family val="2"/>
      </rPr>
      <t xml:space="preserve">20 strgs producing vs 27 strgs on target. </t>
    </r>
    <r>
      <rPr>
        <b/>
        <sz val="14"/>
        <color rgb="FFFF0000"/>
        <rFont val="Gill Sans MT"/>
        <family val="2"/>
      </rPr>
      <t>C/I 39L &amp; 49S for F/L leak(2.40), 41L &amp; 39S for stolen CCU &amp; tup-sub(0.20).</t>
    </r>
  </si>
  <si>
    <r>
      <rPr>
        <b/>
        <sz val="14"/>
        <color theme="1"/>
        <rFont val="Gill Sans MT"/>
        <family val="2"/>
      </rPr>
      <t>20 strgs producing vs 21 strgs on target.</t>
    </r>
    <r>
      <rPr>
        <b/>
        <sz val="14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>C/I 28S &amp; 43L for FL leak(1.02), 11T for stolen top-sub (1.73).</t>
    </r>
  </si>
  <si>
    <r>
      <rPr>
        <b/>
        <sz val="14"/>
        <color theme="1"/>
        <rFont val="Gill Sans MT"/>
        <family val="2"/>
      </rPr>
      <t>5 strgs producing vs 11 strgs on target.</t>
    </r>
    <r>
      <rPr>
        <b/>
        <sz val="14"/>
        <color rgb="FFFF0000"/>
        <rFont val="Gill Sans MT"/>
        <family val="2"/>
      </rPr>
      <t xml:space="preserve"> </t>
    </r>
    <r>
      <rPr>
        <b/>
        <sz val="14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>Ajuju</t>
    </r>
    <r>
      <rPr>
        <b/>
        <sz val="14"/>
        <rFont val="Gill Sans MT"/>
        <family val="2"/>
      </rPr>
      <t>-</t>
    </r>
    <r>
      <rPr>
        <b/>
        <sz val="14"/>
        <color rgb="FFFF0000"/>
        <rFont val="Gill Sans MT"/>
        <family val="2"/>
      </rPr>
      <t xml:space="preserve">1L/S &amp; Ajuju-6T, Batan-6S, 8L &amp; 12T C/I for F/L leak(4.78). </t>
    </r>
  </si>
  <si>
    <r>
      <t xml:space="preserve">3 strgs producing vs 4 strgs on target. </t>
    </r>
    <r>
      <rPr>
        <b/>
        <sz val="14"/>
        <color rgb="FFFF0000"/>
        <rFont val="Gill Sans MT"/>
        <family val="2"/>
      </rPr>
      <t>30S top-sub stolen(1.98).</t>
    </r>
    <r>
      <rPr>
        <b/>
        <sz val="14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 xml:space="preserve">MER ongoing. </t>
    </r>
  </si>
  <si>
    <t>Total potential deferment on flowline leak (7.50)</t>
  </si>
  <si>
    <t>OML-42 PRODUCTION TARGET FOR NOV-2020</t>
  </si>
  <si>
    <t>AJUJU/BATAN CONDUITS ON TARGET WITH CURRENT PRODUCTION LEVELS (NOV-2020)</t>
  </si>
  <si>
    <t>Sept-BSW</t>
  </si>
  <si>
    <t>Oct-BSW</t>
  </si>
  <si>
    <t>ODIDI CONDUITS ON TARGET WITH CURRENT PRODUCTION LEVELS (NOV 2020)</t>
  </si>
  <si>
    <t>BS&amp;W adjusted to 15% as per WHS. Rising water-cut.</t>
  </si>
  <si>
    <t>BS&amp;W adjusted to 55%. THP dropped by circa 400psi in 1yr</t>
  </si>
  <si>
    <t>BS&amp;W adjusted to 26% as per WHS</t>
  </si>
  <si>
    <t>JONES CREEK CONDUITS ON TARGET WITH CURRENT PRODUCTION LEVELS (NOV-2020)</t>
  </si>
  <si>
    <t xml:space="preserve">1L/S, 6L, 7S, 12S, 13T, 19T, 22T, 23L, 24L/S, 25L/S, 26S, 34S, 36S, 41S, 46T &amp; 49L </t>
  </si>
  <si>
    <t>3L, 29S, 31L/S, 34L, 37T, 38S, 40L/S, 42S, 45L/S,  48T.</t>
  </si>
  <si>
    <t>Observed not flowling. To check</t>
  </si>
  <si>
    <t>FL leak</t>
  </si>
  <si>
    <t>C/I for stolen CCU</t>
  </si>
  <si>
    <t>C/I for PBU?</t>
  </si>
  <si>
    <t>EGWA CONDUITS ON TARGET WITH ASSOCIATED POTENTIALS (NOV 2020)</t>
  </si>
  <si>
    <r>
      <rPr>
        <b/>
        <sz val="14"/>
        <rFont val="Gill Sans MT"/>
        <family val="2"/>
      </rPr>
      <t xml:space="preserve">15 strgs producing vs 27 strgs on target. </t>
    </r>
    <r>
      <rPr>
        <b/>
        <sz val="14"/>
        <color rgb="FFFF0000"/>
        <rFont val="Gill Sans MT"/>
        <family val="2"/>
      </rPr>
      <t>Stn trip on gen set failure. C/I 49S for F/L leak(0.84), 39S for stolen CCU accessories(0.20), 40L for PBU(0.34)</t>
    </r>
  </si>
  <si>
    <r>
      <rPr>
        <b/>
        <sz val="14"/>
        <color theme="1"/>
        <rFont val="Gill Sans MT"/>
        <family val="2"/>
      </rPr>
      <t>19 strgs producing vs 21 strgs on target.</t>
    </r>
    <r>
      <rPr>
        <b/>
        <sz val="14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>C/I 30S &amp; 50T for FL leak(1.40).</t>
    </r>
    <r>
      <rPr>
        <b/>
        <sz val="14"/>
        <rFont val="Gill Sans MT"/>
        <family val="2"/>
      </rPr>
      <t xml:space="preserve"> </t>
    </r>
  </si>
  <si>
    <r>
      <t xml:space="preserve">4 strgs producing vs 11 strgs on target. </t>
    </r>
    <r>
      <rPr>
        <b/>
        <sz val="14"/>
        <color rgb="FFFF0000"/>
        <rFont val="Gill Sans MT"/>
        <family val="2"/>
      </rPr>
      <t>Ajuju</t>
    </r>
    <r>
      <rPr>
        <b/>
        <sz val="14"/>
        <rFont val="Gill Sans MT"/>
        <family val="2"/>
      </rPr>
      <t>-</t>
    </r>
    <r>
      <rPr>
        <b/>
        <sz val="14"/>
        <color rgb="FFFF0000"/>
        <rFont val="Gill Sans MT"/>
        <family val="2"/>
      </rPr>
      <t xml:space="preserve">1L/S, 6T, Batan-6S, 8L, 9T &amp; 12T C/I for F/L leak(5.46). </t>
    </r>
  </si>
  <si>
    <r>
      <rPr>
        <b/>
        <sz val="14"/>
        <color rgb="FFFF0000"/>
        <rFont val="Gill Sans MT"/>
        <family val="2"/>
      </rPr>
      <t>Stn shut down due by operating Contractor.</t>
    </r>
    <r>
      <rPr>
        <b/>
        <sz val="14"/>
        <rFont val="Gill Sans MT"/>
        <family val="2"/>
      </rPr>
      <t xml:space="preserve"> </t>
    </r>
  </si>
  <si>
    <t>Total potential deferment on flowline leak (7.70)</t>
  </si>
  <si>
    <t>OML-42 PRODUCTION TARGET FOR DEC-2020</t>
  </si>
  <si>
    <t>AJUJU/BATAN CONDUITS ON TARGET WITH CURRENT PRODUCTION LEVELS (DEC-2020)</t>
  </si>
  <si>
    <t>Bn</t>
  </si>
  <si>
    <t>Gross</t>
  </si>
  <si>
    <t>Net</t>
  </si>
  <si>
    <t>BSW</t>
  </si>
  <si>
    <t>GOR</t>
  </si>
  <si>
    <t>FTHP</t>
  </si>
  <si>
    <t>ODIDI CONDUITS ON TARGET WITH CURRENT PRODUCTION LEVELS (DEC 2020)</t>
  </si>
  <si>
    <t xml:space="preserve">BEAN </t>
  </si>
  <si>
    <t xml:space="preserve">GROSS </t>
  </si>
  <si>
    <t xml:space="preserve">OIL RATE </t>
  </si>
  <si>
    <t>5T</t>
  </si>
  <si>
    <t>10S</t>
  </si>
  <si>
    <t>C/I for actuator theft</t>
  </si>
  <si>
    <t>11T</t>
  </si>
  <si>
    <t>19L</t>
  </si>
  <si>
    <t>19S</t>
  </si>
  <si>
    <t>21S</t>
  </si>
  <si>
    <t>22S</t>
  </si>
  <si>
    <t>24L</t>
  </si>
  <si>
    <t>28S</t>
  </si>
  <si>
    <t xml:space="preserve">C/I for FL leak </t>
  </si>
  <si>
    <t>30S</t>
  </si>
  <si>
    <t>34S</t>
  </si>
  <si>
    <t>35L</t>
  </si>
  <si>
    <t>37S</t>
  </si>
  <si>
    <t>43L</t>
  </si>
  <si>
    <t>44S</t>
  </si>
  <si>
    <t>44L</t>
  </si>
  <si>
    <t>46S</t>
  </si>
  <si>
    <t>48T</t>
  </si>
  <si>
    <t>50T</t>
  </si>
  <si>
    <t>51T</t>
  </si>
  <si>
    <t>JONES CREEK CONDUITS ON TARGET WITH CURRENT PRODUCTION LEVELS (DEC-2020)</t>
  </si>
  <si>
    <t>BN</t>
  </si>
  <si>
    <t>GROSS</t>
  </si>
  <si>
    <t>NET</t>
  </si>
  <si>
    <t>1L</t>
  </si>
  <si>
    <t>1S</t>
  </si>
  <si>
    <t>6L</t>
  </si>
  <si>
    <t>7S</t>
  </si>
  <si>
    <t>12L</t>
  </si>
  <si>
    <t>12S</t>
  </si>
  <si>
    <t>13T</t>
  </si>
  <si>
    <t>19T</t>
  </si>
  <si>
    <t>22T</t>
  </si>
  <si>
    <t>23S</t>
  </si>
  <si>
    <t>23L</t>
  </si>
  <si>
    <t>24S</t>
  </si>
  <si>
    <t>25L</t>
  </si>
  <si>
    <t>25S</t>
  </si>
  <si>
    <t>CCU actuator stolen</t>
  </si>
  <si>
    <t>26S</t>
  </si>
  <si>
    <t>36S</t>
  </si>
  <si>
    <t>39L</t>
  </si>
  <si>
    <t>CCU stolen</t>
  </si>
  <si>
    <t>39S</t>
  </si>
  <si>
    <t>40L</t>
  </si>
  <si>
    <t>PBU 23/01/2021</t>
  </si>
  <si>
    <t>41S</t>
  </si>
  <si>
    <t>42S</t>
  </si>
  <si>
    <t>46T</t>
  </si>
  <si>
    <t>49L</t>
  </si>
  <si>
    <t>49S</t>
  </si>
  <si>
    <t>EGWA CONDUITS ON TARGET WITH ASSOCIATED POTENTIALS (DEC 2020)</t>
  </si>
  <si>
    <t>11L</t>
  </si>
  <si>
    <t>29S</t>
  </si>
  <si>
    <t>C/I for wax</t>
  </si>
  <si>
    <t>E9000N</t>
  </si>
  <si>
    <t>Batan Daily Prod (bopd)2</t>
  </si>
  <si>
    <t>Jones Creek Prod (bopd)2</t>
  </si>
  <si>
    <t>Odidi prod (bopd)3</t>
  </si>
  <si>
    <t>Batan Daily Prod (bopd)24</t>
  </si>
  <si>
    <t>Egwa Prod (bopd)5</t>
  </si>
  <si>
    <r>
      <t xml:space="preserve">Defer </t>
    </r>
    <r>
      <rPr>
        <b/>
        <sz val="14"/>
        <color theme="1"/>
        <rFont val="Gill Sans MT"/>
        <family val="2"/>
      </rPr>
      <t>(Mbopd)</t>
    </r>
  </si>
  <si>
    <r>
      <rPr>
        <b/>
        <sz val="14"/>
        <rFont val="Gill Sans MT"/>
        <family val="2"/>
      </rPr>
      <t xml:space="preserve">23 strgs producing vs 27 strgs on target. </t>
    </r>
    <r>
      <rPr>
        <b/>
        <sz val="14"/>
        <color rgb="FFFF0000"/>
        <rFont val="Gill Sans MT"/>
        <family val="2"/>
      </rPr>
      <t>C/I 41S &amp; 42S for PBU(0.89). C/I 12L &amp; 49S for F/L leak(1.18).</t>
    </r>
  </si>
  <si>
    <r>
      <rPr>
        <b/>
        <sz val="14"/>
        <color theme="1"/>
        <rFont val="Gill Sans MT"/>
        <family val="2"/>
      </rPr>
      <t xml:space="preserve">16 strgs producing vs 21 strgs on target. O/U 34S ex-FL leak. </t>
    </r>
    <r>
      <rPr>
        <b/>
        <sz val="14"/>
        <color rgb="FFFF0000"/>
        <rFont val="Gill Sans MT"/>
        <family val="2"/>
      </rPr>
      <t>C/I 23L, 22S, 48T, 11T &amp; 51T for FL leak(5.33).</t>
    </r>
    <r>
      <rPr>
        <b/>
        <sz val="14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 xml:space="preserve"> </t>
    </r>
  </si>
  <si>
    <r>
      <t xml:space="preserve">Stn shut down 07/03/2021 due to TFP leak  </t>
    </r>
    <r>
      <rPr>
        <b/>
        <sz val="14"/>
        <color rgb="FFFF0000"/>
        <rFont val="Gill Sans MT"/>
        <family val="2"/>
      </rPr>
      <t>11T C/I for TRScSSSV(0.76). Ajuju</t>
    </r>
    <r>
      <rPr>
        <b/>
        <sz val="14"/>
        <rFont val="Gill Sans MT"/>
        <family val="2"/>
      </rPr>
      <t>-</t>
    </r>
    <r>
      <rPr>
        <b/>
        <sz val="14"/>
        <color rgb="FFFF0000"/>
        <rFont val="Gill Sans MT"/>
        <family val="2"/>
      </rPr>
      <t xml:space="preserve">1L/S, 6T, Batan-6S, 8L &amp; 12T C/I for F/L leak(4.78). </t>
    </r>
  </si>
  <si>
    <t>Total potential deferment on flowline leak (12.36)</t>
  </si>
  <si>
    <t>OML-42 PRODUCTION TARGET FOR MAR-2021</t>
  </si>
  <si>
    <t>AJUJU/BATAN CONDUITS ON TARGET WITH CURRENT PRODUCTION LEVELS (MAR-2021)</t>
  </si>
  <si>
    <t>TRSCSSV Issue</t>
  </si>
  <si>
    <t>ODIDI CONDUITS ON TARGET WITH CURRENT PRODUCTION LEVELS (MAR-2021)</t>
  </si>
  <si>
    <t>ODIDI-031L</t>
  </si>
  <si>
    <t>F9000W</t>
  </si>
  <si>
    <t>O/U ex-PBU</t>
  </si>
  <si>
    <t>JONES CREEK CONDUITS ON TARGET WITH CURRENT PRODUCTION LEVELS (MAR-2021)</t>
  </si>
  <si>
    <t>Intermittent Producer</t>
  </si>
  <si>
    <t>EGWA CONDUITS ON TARGET WITH ASSOCIATED POTENTIALS (MAR-2021)</t>
  </si>
  <si>
    <t>Slight watercut increase</t>
  </si>
  <si>
    <t>Defer (Mbopd)</t>
  </si>
  <si>
    <r>
      <rPr>
        <b/>
        <sz val="14"/>
        <rFont val="Gill Sans MT"/>
        <family val="2"/>
      </rPr>
      <t xml:space="preserve">23 strgs producing vs 27 strgs on target. </t>
    </r>
    <r>
      <rPr>
        <b/>
        <sz val="14"/>
        <color rgb="FFFF0000"/>
        <rFont val="Gill Sans MT"/>
        <family val="2"/>
      </rPr>
      <t>C/I 40S &amp; 41S for PBU(0.64). C/I 12L, 42S &amp; 49S for F/L leak(1.57).</t>
    </r>
  </si>
  <si>
    <r>
      <rPr>
        <b/>
        <sz val="14"/>
        <color theme="1"/>
        <rFont val="Gill Sans MT"/>
        <family val="2"/>
      </rPr>
      <t xml:space="preserve">20 strgs producing vs 21 strgs on target. </t>
    </r>
    <r>
      <rPr>
        <b/>
        <sz val="14"/>
        <color rgb="FFFF0000"/>
        <rFont val="Gill Sans MT"/>
        <family val="2"/>
      </rPr>
      <t>C/I 43L, 31S &amp; 22S for FL leak(1.9).</t>
    </r>
    <r>
      <rPr>
        <b/>
        <sz val="14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 xml:space="preserve"> </t>
    </r>
  </si>
  <si>
    <r>
      <t xml:space="preserve">6 strgs producing vs 11 strgs on target. </t>
    </r>
    <r>
      <rPr>
        <b/>
        <sz val="14"/>
        <color rgb="FFFF0000"/>
        <rFont val="Gill Sans MT"/>
        <family val="2"/>
      </rPr>
      <t>Ajuju</t>
    </r>
    <r>
      <rPr>
        <b/>
        <sz val="14"/>
        <rFont val="Gill Sans MT"/>
        <family val="2"/>
      </rPr>
      <t>-</t>
    </r>
    <r>
      <rPr>
        <b/>
        <sz val="14"/>
        <color rgb="FFFF0000"/>
        <rFont val="Gill Sans MT"/>
        <family val="2"/>
      </rPr>
      <t xml:space="preserve">1L/S, 6T, Batan-6S, 8L &amp; 12T C/I for F/L leak(4.78). </t>
    </r>
  </si>
  <si>
    <t>4 strgs producing vs 4 strgs on target.</t>
  </si>
  <si>
    <t>Total potential deferment on flowline leak (8.25)</t>
  </si>
  <si>
    <t>OML-42 PRODUCTION TARGET FOR APR-2021</t>
  </si>
  <si>
    <t>AJUJU/BATAN CONDUITS ON TARGET WITH CURRENT PRODUCTION LEVELS (APR-2021)</t>
  </si>
  <si>
    <t>1T</t>
  </si>
  <si>
    <t>bean</t>
  </si>
  <si>
    <t>24 hrs Gross with Meter Factor</t>
  </si>
  <si>
    <t>24 hrs Raw Gross Rate</t>
  </si>
  <si>
    <t>24 hrs Adjusted Gross Rate</t>
  </si>
  <si>
    <t xml:space="preserve">C/I for CCU &amp; topsub theft </t>
  </si>
  <si>
    <t>2S</t>
  </si>
  <si>
    <t>BATAN-005T</t>
  </si>
  <si>
    <t>9T</t>
  </si>
  <si>
    <t>ODIDI CONDUITS ON TARGET WITH CURRENT PRODUCTION LEVELS (APR-2021)</t>
  </si>
  <si>
    <t>ODIDI-003L</t>
  </si>
  <si>
    <t>O/U ex-PBU. FTHP 555psi</t>
  </si>
  <si>
    <t>C/I for leaking bean box O-ring</t>
  </si>
  <si>
    <t>ODIDI-031S</t>
  </si>
  <si>
    <t>E6000M</t>
  </si>
  <si>
    <t>JONES CREEK CONDUITS ON TARGET WITH CURRENT PRODUCTION LEVELS (APR-2021)</t>
  </si>
  <si>
    <t>C/I for PBU??</t>
  </si>
  <si>
    <t>C/I for FL leak, require FL sectional replacement</t>
  </si>
  <si>
    <t>EGWA CONDUITS ON TARGET WITH ASSOCIATED POTENTIALS (APR-2021)</t>
  </si>
  <si>
    <r>
      <rPr>
        <b/>
        <sz val="14"/>
        <rFont val="Gill Sans MT"/>
        <family val="2"/>
      </rPr>
      <t xml:space="preserve">22 strgs producing vs 27 strgs on target. </t>
    </r>
    <r>
      <rPr>
        <b/>
        <sz val="14"/>
        <color rgb="FFFF0000"/>
        <rFont val="Gill Sans MT"/>
        <family val="2"/>
      </rPr>
      <t>C/I 40S &amp; 41S for PBU(0.64). C/I 34S, 49L &amp; 49S for F/L leak(2.69).</t>
    </r>
  </si>
  <si>
    <r>
      <rPr>
        <b/>
        <sz val="14"/>
        <color theme="1"/>
        <rFont val="Gill Sans MT"/>
        <family val="2"/>
      </rPr>
      <t xml:space="preserve">16 strgs producing vs 23 strgs on target. </t>
    </r>
    <r>
      <rPr>
        <b/>
        <sz val="14"/>
        <color rgb="FFFF0000"/>
        <rFont val="Gill Sans MT"/>
        <family val="2"/>
      </rPr>
      <t xml:space="preserve">C/I 22S, 23S, 30S, 35L, 43L &amp; 48T for FL leak(5.70).  </t>
    </r>
  </si>
  <si>
    <r>
      <t xml:space="preserve">4 strgs producing vs 12 strgs on target. </t>
    </r>
    <r>
      <rPr>
        <b/>
        <sz val="14"/>
        <color rgb="FFFF0000"/>
        <rFont val="Gill Sans MT"/>
        <family val="2"/>
      </rPr>
      <t xml:space="preserve">Ajuju-1L/S, 6T, Batan-6S, 8L, 9T &amp; 12T C/I for F/L leak(5.46). </t>
    </r>
  </si>
  <si>
    <r>
      <t xml:space="preserve">Station shut down by operating contractor. </t>
    </r>
    <r>
      <rPr>
        <b/>
        <sz val="14"/>
        <color rgb="FFFF0000"/>
        <rFont val="Gill Sans MT"/>
        <family val="2"/>
      </rPr>
      <t>C/I 7S for PBU(0.54).</t>
    </r>
  </si>
  <si>
    <t>Total potential deferment on flowline leak (13.85)</t>
  </si>
  <si>
    <t xml:space="preserve"> J/C Flared Gas (MMscf/d)</t>
  </si>
  <si>
    <t xml:space="preserve"> Odidi Flared Gas (MMscf/d)</t>
  </si>
  <si>
    <t xml:space="preserve"> Batan Flared Gas (MMscf/d)</t>
  </si>
  <si>
    <t>Egwa Flared Gas (MMscf/d)</t>
  </si>
  <si>
    <t>Total Flared Gas (MMscf/d)</t>
  </si>
  <si>
    <r>
      <rPr>
        <b/>
        <sz val="14"/>
        <color theme="1"/>
        <rFont val="Gill Sans MT"/>
        <family val="2"/>
      </rPr>
      <t xml:space="preserve">21 strgs producing vs 27 strgs on target. </t>
    </r>
    <r>
      <rPr>
        <b/>
        <sz val="14"/>
        <color rgb="FFFF0000"/>
        <rFont val="Gill Sans MT"/>
        <family val="2"/>
      </rPr>
      <t>C/I 12L, 24S, 40S, 41S &amp; 42S for PBU(1.97). C/I 34S, 49L &amp; 49S for F/L leak(2.83).</t>
    </r>
  </si>
  <si>
    <r>
      <rPr>
        <b/>
        <sz val="14"/>
        <color theme="1"/>
        <rFont val="Gill Sans MT"/>
        <family val="2"/>
      </rPr>
      <t xml:space="preserve">19 strgs producing vs 23 strgs on target. O/U 28S ex-bean box issues, 34S O/U ex-FL leak.
</t>
    </r>
    <r>
      <rPr>
        <b/>
        <sz val="14"/>
        <color rgb="FFFF0000"/>
        <rFont val="Gill Sans MT"/>
        <family val="2"/>
      </rPr>
      <t xml:space="preserve">C/I 31L/S for PBU(0.21). C/I 35L &amp; 43L for FL leak(1.43). </t>
    </r>
  </si>
  <si>
    <r>
      <t xml:space="preserve">Station shutdown for TFP. </t>
    </r>
    <r>
      <rPr>
        <b/>
        <sz val="14"/>
        <color rgb="FFFF0000"/>
        <rFont val="Gill Sans MT"/>
        <family val="2"/>
      </rPr>
      <t>Ajuju-1L/S, 6T, Batan-6S, 8L, 9T &amp; 11T &amp; 13T C/I for F/L leak (4.95). Batn-1S, 2S &amp; 12T C/I for TFP</t>
    </r>
  </si>
  <si>
    <r>
      <t xml:space="preserve">3 strgs producing vs 4 strgs on target. O/U 30S ex-stolen topsub. </t>
    </r>
    <r>
      <rPr>
        <b/>
        <sz val="14"/>
        <color rgb="FFFF0000"/>
        <rFont val="Gill Sans MT"/>
        <family val="2"/>
      </rPr>
      <t>7S C/I for HBS&amp;W</t>
    </r>
    <r>
      <rPr>
        <b/>
        <sz val="14"/>
        <rFont val="Gill Sans MT"/>
        <family val="2"/>
      </rPr>
      <t xml:space="preserve"> </t>
    </r>
  </si>
  <si>
    <t>Total potential deferment on flowline leak (9.21)</t>
  </si>
  <si>
    <t>OML-42 PRODUCTION TARGET FOR JUNE-2021</t>
  </si>
  <si>
    <t>AJUJU/BATAN CONDUITS ON TARGET WITH CURRENT PRODUCTION LEVELS (JUNE-2021)</t>
  </si>
  <si>
    <t>Intermittent producer. C/I for PBU</t>
  </si>
  <si>
    <t>FL leak reported</t>
  </si>
  <si>
    <t>ODIDI CONDUITS ON TARGET WITH CURRENT PRODUCTION LEVELS (JUNE-2021)</t>
  </si>
  <si>
    <t>JONES CREEK CONDUITS ON TARGET WITH CURRENT PRODUCTION LEVELS (JUNE-2021)</t>
  </si>
  <si>
    <t>C/I for top-sub theft</t>
  </si>
  <si>
    <t>EGWA CONDUITS ON TARGET WITH ASSOCIATED POTENTIALS (JUNE-2021)</t>
  </si>
  <si>
    <t>3.132.5</t>
  </si>
  <si>
    <r>
      <rPr>
        <b/>
        <sz val="14"/>
        <color theme="1"/>
        <rFont val="Gill Sans MT"/>
        <family val="2"/>
      </rPr>
      <t xml:space="preserve">18 strgs producing vs 27 strgs on target. </t>
    </r>
    <r>
      <rPr>
        <b/>
        <sz val="14"/>
        <color rgb="FFFF0000"/>
        <rFont val="Gill Sans MT"/>
        <family val="2"/>
      </rPr>
      <t>C/I 26S for topsub theft. C/I 12L, 24S, 40S, 41S &amp; 42S for PBU(1.97). C/I 24L, 34S, 49L &amp; 49S for F/L leak(3.0).</t>
    </r>
  </si>
  <si>
    <r>
      <rPr>
        <b/>
        <sz val="14"/>
        <color theme="1"/>
        <rFont val="Gill Sans MT"/>
        <family val="2"/>
      </rPr>
      <t xml:space="preserve">21 strgs producing vs 23 strgs on target. O/U 51T ex-FL leak. </t>
    </r>
    <r>
      <rPr>
        <b/>
        <sz val="14"/>
        <color rgb="FFFF0000"/>
        <rFont val="Gill Sans MT"/>
        <family val="2"/>
      </rPr>
      <t xml:space="preserve">C/I 31L/S for PBU(0.21). C/I 35L for FL leak(0.91). </t>
    </r>
  </si>
  <si>
    <r>
      <t xml:space="preserve">Station down on TFP. </t>
    </r>
    <r>
      <rPr>
        <b/>
        <sz val="14"/>
        <color rgb="FFFF0000"/>
        <rFont val="Gill Sans MT"/>
        <family val="2"/>
      </rPr>
      <t xml:space="preserve">Ajuju-1L/S, 6T, Batan-6S, 8L, 9T &amp; 11T &amp; 13T C/I for F/L leak (4.95). </t>
    </r>
  </si>
  <si>
    <t>Total potential deferment on flowline leak (8.86)</t>
  </si>
  <si>
    <t>OML-42 PRODUCTION TARGET FOR JULY-2021</t>
  </si>
  <si>
    <t>AJUJU/BATAN CONDUITS ON TARGET WITH CURRENT PRODUCTION LEVELS (JULY-2021)</t>
  </si>
  <si>
    <t>C/I for FL leak, TRSCSSV Issue</t>
  </si>
  <si>
    <t>ODIDI CONDUITS ON TARGET WITH CURRENT PRODUCTION LEVELS (JULY-2021)</t>
  </si>
  <si>
    <t>ODIDI-003S</t>
  </si>
  <si>
    <t>E2000M</t>
  </si>
  <si>
    <t>JONES CREEK CONDUITS ON TARGET WITH CURRENT PRODUCTION LEVELS (JULY-2021)</t>
  </si>
  <si>
    <t>EGWA CONDUITS ON TARGET WITH ASSOCIATED POTENTIALS (JULY-2021)</t>
  </si>
  <si>
    <t>Jones Creek Target (Mbopd)</t>
  </si>
  <si>
    <t>Odidi Target (Mbopd)</t>
  </si>
  <si>
    <t>Batan Target (Mbopd)</t>
  </si>
  <si>
    <t>Egwa Target (Mbopd)</t>
  </si>
  <si>
    <t>July 2021 Prod Target (Mbopd)</t>
  </si>
  <si>
    <t>Jones Creek (Mbopd)</t>
  </si>
  <si>
    <t>Odidi (Mbopd)</t>
  </si>
  <si>
    <t>Batan (Mbopd)</t>
  </si>
  <si>
    <t>Egwa (Mbopd)</t>
  </si>
  <si>
    <t>Total Daily Prod (Mbopd)</t>
  </si>
  <si>
    <t>Gas Export (MMscf/d)</t>
  </si>
  <si>
    <t>J/C Diff Prod (bopd)</t>
  </si>
  <si>
    <t>Odidi Diff prod (bopd)</t>
  </si>
  <si>
    <t>Batan Diff Prod (bopd)</t>
  </si>
  <si>
    <t>Egwa Diff prod (bopd)</t>
  </si>
  <si>
    <t>J/C Prod gas (MMscf)</t>
  </si>
  <si>
    <t>Odid Prod gas (MMscf)</t>
  </si>
  <si>
    <t>Batn Prod gas (MMscf)</t>
  </si>
  <si>
    <t>Egwa Prod gas (MMscf)</t>
  </si>
  <si>
    <t>J/C Utilised gas (MMscf)</t>
  </si>
  <si>
    <t>Odid Utilised gas (MMscf)</t>
  </si>
  <si>
    <t>Batn Utilised gas (MMscf)</t>
  </si>
  <si>
    <t>Egwa Utilised gas (MMscf)</t>
  </si>
  <si>
    <t>Total Prod gas (MMscf)</t>
  </si>
  <si>
    <t>Gas Export (MMscf/d)2</t>
  </si>
  <si>
    <t>Total Utilised gas (MMscf)</t>
  </si>
  <si>
    <t>OML-42</t>
  </si>
  <si>
    <t>Gas Export</t>
  </si>
  <si>
    <r>
      <rPr>
        <b/>
        <sz val="14"/>
        <color theme="1"/>
        <rFont val="Gill Sans MT"/>
        <family val="2"/>
      </rPr>
      <t>20 strgs producing vs 27 strgs on target</t>
    </r>
    <r>
      <rPr>
        <b/>
        <sz val="14"/>
        <rFont val="Gill Sans MT"/>
        <family val="2"/>
      </rPr>
      <t>.</t>
    </r>
    <r>
      <rPr>
        <b/>
        <sz val="14"/>
        <color rgb="FFFF0000"/>
        <rFont val="Gill Sans MT"/>
        <family val="2"/>
      </rPr>
      <t xml:space="preserve"> C/I 40L, 41S &amp; 42S for PBU(1.20) &amp; 39L, 49L/S for F/L leak(2.89). </t>
    </r>
  </si>
  <si>
    <r>
      <rPr>
        <b/>
        <sz val="14"/>
        <color theme="1"/>
        <rFont val="Gill Sans MT"/>
        <family val="2"/>
      </rPr>
      <t xml:space="preserve">17 strgs producing vs 23 strgs on target. </t>
    </r>
    <r>
      <rPr>
        <b/>
        <sz val="14"/>
        <color rgb="FFFF0000"/>
        <rFont val="Gill Sans MT"/>
        <family val="2"/>
      </rPr>
      <t xml:space="preserve">C/I 31S for PBU(0.29), 3L for stolen top-sub(0.41), 43L, 44S, 34S, 24L, 35L for FL leak(4.00). </t>
    </r>
  </si>
  <si>
    <r>
      <t xml:space="preserve">3 strgs producing vs 12 strgs on target. </t>
    </r>
    <r>
      <rPr>
        <b/>
        <sz val="14"/>
        <color rgb="FFFF0000"/>
        <rFont val="Gill Sans MT"/>
        <family val="2"/>
      </rPr>
      <t xml:space="preserve">Ajuju-1L/S, 6T, Batan-6S, 8L, 9T &amp; 11T &amp; 13T C/I for F/L leak (5.11). </t>
    </r>
  </si>
  <si>
    <r>
      <t xml:space="preserve">4 strgs producing vs 4 strgs on target. </t>
    </r>
    <r>
      <rPr>
        <b/>
        <sz val="14"/>
        <color rgb="FFFF0000"/>
        <rFont val="Gill Sans MT"/>
        <family val="2"/>
      </rPr>
      <t>Separator static pressure @ 106 psig</t>
    </r>
  </si>
  <si>
    <t xml:space="preserve">Total potential deferments on flowline leak(12.00) &amp; PBU(1.49) </t>
  </si>
  <si>
    <t>August 2021 Prod Target (Mbopd)</t>
  </si>
  <si>
    <r>
      <rPr>
        <b/>
        <sz val="14"/>
        <color theme="1"/>
        <rFont val="Gill Sans MT"/>
        <family val="2"/>
      </rPr>
      <t xml:space="preserve">20 strgs producing vs 27 strgs on target. </t>
    </r>
    <r>
      <rPr>
        <b/>
        <sz val="14"/>
        <color rgb="FFFF0000"/>
        <rFont val="Gill Sans MT"/>
        <family val="2"/>
      </rPr>
      <t xml:space="preserve"> O/U 40L ex-PBU. C/I 41S &amp; 42S for PBU(0.77) &amp; 39L, 49L/S for F/L leak(2.89). </t>
    </r>
  </si>
  <si>
    <r>
      <rPr>
        <b/>
        <sz val="14"/>
        <color theme="1"/>
        <rFont val="Gill Sans MT"/>
        <family val="2"/>
      </rPr>
      <t xml:space="preserve">15 strgs producing vs 23 strgs on target. </t>
    </r>
    <r>
      <rPr>
        <b/>
        <sz val="14"/>
        <color rgb="FFFF0000"/>
        <rFont val="Gill Sans MT"/>
        <family val="2"/>
      </rPr>
      <t>C/I 3L for top-sub theft(0.41), 19L, 24L, 28S, 31S, 35L, 43L, 44L &amp; 46S for FL leak(4.45)</t>
    </r>
  </si>
  <si>
    <r>
      <t xml:space="preserve">Station down on tank-tops at FOT. </t>
    </r>
    <r>
      <rPr>
        <b/>
        <sz val="14"/>
        <color rgb="FFFF0000"/>
        <rFont val="Gill Sans MT"/>
        <family val="2"/>
      </rPr>
      <t xml:space="preserve">Ajuju-1L/S, 6T, Batan-6S, 8L, 9T &amp; 11T &amp; 13T C/I for F/L leak (5.11). </t>
    </r>
  </si>
  <si>
    <t xml:space="preserve">Total potential deferments on flowline leak(12.45), PBU(0.77), top-sub(0.41) </t>
  </si>
  <si>
    <r>
      <rPr>
        <b/>
        <sz val="14"/>
        <color theme="1"/>
        <rFont val="Gill Sans MT"/>
        <family val="2"/>
      </rPr>
      <t xml:space="preserve">22 strgs producing vs 27 strgs on target. </t>
    </r>
    <r>
      <rPr>
        <b/>
        <sz val="14"/>
        <color rgb="FFFF0000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 xml:space="preserve">C/I 41S &amp; 42S for PBU(0.77). C/I 39L for FL leak(0.89). </t>
    </r>
  </si>
  <si>
    <r>
      <rPr>
        <b/>
        <sz val="14"/>
        <color theme="1"/>
        <rFont val="Gill Sans MT"/>
        <family val="2"/>
      </rPr>
      <t xml:space="preserve">18 strgs producing vs 23 strgs on target. </t>
    </r>
    <r>
      <rPr>
        <b/>
        <sz val="14"/>
        <color rgb="FFFF0000"/>
        <rFont val="Gill Sans MT"/>
        <family val="2"/>
      </rPr>
      <t>C/I 3L(0.41) &amp; 35L(0.90) for W/H issues(1.31), 31L, 44L &amp; 46S for FL leak(2.33)</t>
    </r>
  </si>
  <si>
    <r>
      <t xml:space="preserve">Station down on TFP leak. </t>
    </r>
    <r>
      <rPr>
        <b/>
        <sz val="14"/>
        <color rgb="FFFF0000"/>
        <rFont val="Gill Sans MT"/>
        <family val="2"/>
      </rPr>
      <t xml:space="preserve">Ajuju-1L/S, 6T, Batan-6S, 8L, 9T &amp; 11T &amp; 13T C/I for F/L leak (5.11). </t>
    </r>
  </si>
  <si>
    <t xml:space="preserve">Total potential deferments on flowline leak(8.06), PBU(0.77), W/H(1.31) </t>
  </si>
  <si>
    <t>AJUJU/BATAN CONDUITS ON TARGET WITH CURRENT PRODUCTION LEVELS (OCT-2021)</t>
  </si>
  <si>
    <t>ODIDI CONDUITS ON TARGET WITH CURRENT PRODUCTION LEVELS (OCT-2021)</t>
  </si>
  <si>
    <t>JONES CREEK CONDUITS ON TARGET WITH CURRENT PRODUCTION LEVELS (OCT-2021)</t>
  </si>
  <si>
    <r>
      <rPr>
        <b/>
        <sz val="14"/>
        <rFont val="Gill Sans MT"/>
        <family val="2"/>
      </rPr>
      <t>19 strgs producing vs 27 strgs on target.</t>
    </r>
    <r>
      <rPr>
        <b/>
        <sz val="14"/>
        <color theme="1"/>
        <rFont val="Gill Sans MT"/>
        <family val="2"/>
      </rPr>
      <t xml:space="preserve"> Stn up yesteday at 16.00 hrs. </t>
    </r>
    <r>
      <rPr>
        <b/>
        <sz val="14"/>
        <color rgb="FFFF0000"/>
        <rFont val="Gill Sans MT"/>
        <family val="2"/>
      </rPr>
      <t xml:space="preserve">C/I 41S &amp; 42S for PBU(0.77). C/I 39L for FL leak(0.89). </t>
    </r>
  </si>
  <si>
    <r>
      <rPr>
        <b/>
        <sz val="14"/>
        <color theme="1"/>
        <rFont val="Gill Sans MT"/>
        <family val="2"/>
      </rPr>
      <t xml:space="preserve">18 strgs producing vs 23 strgs on target. </t>
    </r>
    <r>
      <rPr>
        <b/>
        <sz val="14"/>
        <color rgb="FFFF0000"/>
        <rFont val="Gill Sans MT"/>
        <family val="2"/>
      </rPr>
      <t>C/I 3S, 11T, 31L, 44L &amp; 46S for FL leak(2.82)</t>
    </r>
  </si>
  <si>
    <r>
      <rPr>
        <b/>
        <sz val="14"/>
        <color rgb="FFFF0000"/>
        <rFont val="Gill Sans MT"/>
        <family val="2"/>
      </rPr>
      <t>Stn down due to contractor payment issues(4.06).</t>
    </r>
    <r>
      <rPr>
        <b/>
        <sz val="14"/>
        <rFont val="Gill Sans MT"/>
        <family val="2"/>
      </rPr>
      <t xml:space="preserve"> </t>
    </r>
    <r>
      <rPr>
        <b/>
        <sz val="14"/>
        <color rgb="FFFF0000"/>
        <rFont val="Gill Sans MT"/>
        <family val="2"/>
      </rPr>
      <t xml:space="preserve">Ajuju-1L/S, 6T, Batan-6S, 8L, 9T &amp; 11T C/I for F/L leak (4.84). </t>
    </r>
  </si>
  <si>
    <t>Total potential deferments on flowline leak(8.55) &amp; PBU(0.77)</t>
  </si>
  <si>
    <t>OML-42 PRODUCTION TARGET FOR NOV - 2021</t>
  </si>
  <si>
    <t>AJUJU/BATAN CONDUITS ON TARGET WITH CURRENT PRODUCTION LEVELS (NOV-2021)</t>
  </si>
  <si>
    <t>ODIDI CONDUITS ON TARGET WITH CURRENT PRODUCTION LEVELS (NOV-2021)</t>
  </si>
  <si>
    <t>PBU</t>
  </si>
  <si>
    <t>JONES CREEK CONDUITS ON TARGET WITH CURRENT PRODUCTION LEVELS (NOV-2021)</t>
  </si>
  <si>
    <t xml:space="preserve">20 strings producing. C/I 40L, 41S &amp; 42S for PBU(1.20). C/I 39L for FL leak(0.89). </t>
  </si>
  <si>
    <t>Station down due to power outage. C/I 31L/S for PBU(0.59). C/I 23L, 30S, 35L, 44S &amp; 50T for F/L leak (3.62)</t>
  </si>
  <si>
    <t xml:space="preserve">5 strings producing. Ajuju-1L/S, Batan-5T, 6S, 8L, 9T &amp; 11T C/I for F/L leak (4.07). </t>
  </si>
  <si>
    <t>4 strings producing. Station static pressure @ 119 psig</t>
  </si>
  <si>
    <t>Total potential deferments on flowline leak(8.58), PBU(1.79)</t>
  </si>
  <si>
    <t>19 strings producing vs 23 strings target.  C/I 12L, 26S, 39S, 40L for PBU(3.15). C/I 39L for FL leak(1.0)</t>
  </si>
  <si>
    <r>
      <t xml:space="preserve">7 strgs producing vs 24 strgs on target. </t>
    </r>
    <r>
      <rPr>
        <b/>
        <sz val="14"/>
        <color rgb="FFFF0000"/>
        <rFont val="Gill Sans MT"/>
        <family val="2"/>
      </rPr>
      <t xml:space="preserve">Solar Turbine tripped.
C/I 31L for PBU(0.30). C/I 3S, 31L, 34S, 37S for F/L leak (2.13). </t>
    </r>
  </si>
  <si>
    <t xml:space="preserve">5 strings vs 11 strings target. Ajuju-1L/S, Batan-5T, 6S, 8L, 9T &amp; 11T C/I for F/L leak (4.30). </t>
  </si>
  <si>
    <t>3 strings producing vs 4 target. Station static pressure @ 76 psig.  S/I W-29S for leaking tree cap (1.04)</t>
  </si>
  <si>
    <t>Total potential deferments on flowline leak(8.64), PBU(3.45), Tree cap leak (1.04)</t>
  </si>
  <si>
    <t>OML-42 PRODUCTION TARGET FOR DEC-2021</t>
  </si>
  <si>
    <t>AJUJU/BATAN CONDUITS ON TARGET WITH CURRENT PRODUCTION LEVELS (DEC-2021)</t>
  </si>
  <si>
    <t>Last Potential used</t>
  </si>
  <si>
    <t>ODIDI CONDUITS ON TARGET WITH CURRENT PRODUCTION LEVELS (DEC-2021)</t>
  </si>
  <si>
    <t>Producing</t>
  </si>
  <si>
    <t>Producing, Not Tested correctly</t>
  </si>
  <si>
    <t>Producing, Not Tested</t>
  </si>
  <si>
    <t>MER used</t>
  </si>
  <si>
    <t>Producing, Well planned for SCSSSV replacement</t>
  </si>
  <si>
    <t>Producing, CI for FL leak</t>
  </si>
  <si>
    <t xml:space="preserve">Producing, Waxy well </t>
  </si>
  <si>
    <t>Intermittent Producer, Not Tested</t>
  </si>
  <si>
    <t xml:space="preserve">Producing,  High gas well for station startup. </t>
  </si>
  <si>
    <t>JONES CREEK CONDUITS ON TARGET WITH CURRENT PRODUCTION LEVELS (DEC-2021)</t>
  </si>
  <si>
    <t>EGWA CONDUITS ON TARGET WITH ASSOCIATED POTENTIALS (DEC-2021)</t>
  </si>
  <si>
    <t>Producing,Declined production due to  HBSW.</t>
  </si>
  <si>
    <t>OML-42 PRODUCTION TARGET FOR JAN-2022</t>
  </si>
  <si>
    <t>AJUJU/BATAN CONDUITS ON TARGET WITH CURRENT PRODUCTION LEVELS (JAN-2022)</t>
  </si>
  <si>
    <t>No TAR</t>
  </si>
  <si>
    <t>TAR granted</t>
  </si>
  <si>
    <t>ODIDI CONDUITS ON TARGET WITH CURRENT PRODUCTION LEVELS (JAN-2022)</t>
  </si>
  <si>
    <t>Down for PBU</t>
  </si>
  <si>
    <t>JONES CREEK CONDUITS ON TARGET WITH CURRENT PRODUCTION LEVELS (JAN-2022)</t>
  </si>
  <si>
    <t>C/I for stolen actuator cap??</t>
  </si>
  <si>
    <t>EGWA CONDUITS ON TARGET WITH ASSOCIATED POTENTIALS (JAN-2021)</t>
  </si>
  <si>
    <t>Producing, Declined production due to  HBSW.</t>
  </si>
  <si>
    <t>C/I for leaking tree cap</t>
  </si>
  <si>
    <t>January 2022 Prod Target (Mbopd)</t>
  </si>
  <si>
    <t>19 strings producing vs 24 strings target. C/I 12L &amp; 24S for PBU(0.81). C/I 39L &amp; 1L for FL leak(1.89).</t>
  </si>
  <si>
    <t>15 strgs producing vs 24 strgs on target. C/I 31L/S for PBU(0.59). C/I 3L, 19S, 31S, 34S, 37S, 43L &amp; 51T (3.87)</t>
  </si>
  <si>
    <r>
      <t xml:space="preserve">5 strings vs 6 strings target. </t>
    </r>
    <r>
      <rPr>
        <b/>
        <sz val="14"/>
        <color rgb="FFFF0000"/>
        <rFont val="Gill Sans MT"/>
        <family val="2"/>
      </rPr>
      <t>Ajuju-1L/S, Batan-5T, 6S, 8L, 9T &amp; 11T C/I for F/L leak</t>
    </r>
    <r>
      <rPr>
        <b/>
        <sz val="14"/>
        <color rgb="FF000000"/>
        <rFont val="Gill Sans MT"/>
      </rPr>
      <t xml:space="preserve">  </t>
    </r>
  </si>
  <si>
    <r>
      <rPr>
        <b/>
        <sz val="14"/>
        <rFont val="Gill Sans MT"/>
        <family val="2"/>
      </rPr>
      <t>3 strings vs 4 strings target.</t>
    </r>
    <r>
      <rPr>
        <b/>
        <sz val="14"/>
        <color rgb="FFFF0000"/>
        <rFont val="Gill Sans MT"/>
        <family val="2"/>
      </rPr>
      <t xml:space="preserve">  C/I 29S for leaking tree cap (1.04)</t>
    </r>
  </si>
  <si>
    <t>Total potential deferments on flowline leak(1.11), PBU(1.79), &amp; Wellhead (1.04)</t>
  </si>
  <si>
    <t>OML-42 PRODUCTION TARGET FOR FEB-2022</t>
  </si>
  <si>
    <t>AJUJU/BATAN CONDUITS ON TARGET WITH CURRENT PRODUCTION LEVELS (FEB-2022)</t>
  </si>
  <si>
    <t>ODIDI CONDUITS ON TARGET WITH CURRENT PRODUCTION LEVELS (FEB-2022)</t>
  </si>
  <si>
    <t>JONES CREEK CONDUITS ON TARGET WITH CURRENT PRODUCTION LEVELS (FEB-2022)</t>
  </si>
  <si>
    <t>EGWA CONDUITS ON TARGET WITH ASSOCIATED POTENTIALS (FEB-2021)</t>
  </si>
  <si>
    <t>February 2022 Prod Target (Mbopd)</t>
  </si>
  <si>
    <r>
      <t xml:space="preserve">12 strings producing vs 24 strings . </t>
    </r>
    <r>
      <rPr>
        <b/>
        <sz val="14"/>
        <color rgb="FFFF0000"/>
        <rFont val="Gill Sans MT"/>
        <family val="2"/>
      </rPr>
      <t>C/I 12L, 24S, 39S &amp; 40L for PBU(1.60). C/I 39L for FL leak(0.89).</t>
    </r>
  </si>
  <si>
    <r>
      <t xml:space="preserve">Station shut-down by aggrieved third-parties . </t>
    </r>
    <r>
      <rPr>
        <b/>
        <sz val="14"/>
        <color rgb="FFFF0000"/>
        <rFont val="Gill Sans MT"/>
        <family val="2"/>
      </rPr>
      <t>Station open up(1.21) C/I 3L &amp; 31L/S for PBU(1.00). C/I 3S, 48T, 34S, 19S &amp; 31S for FL leak (2.92)</t>
    </r>
  </si>
  <si>
    <r>
      <rPr>
        <b/>
        <sz val="14"/>
        <color rgb="FFFF0000"/>
        <rFont val="Gill Sans MT"/>
        <family val="2"/>
      </rPr>
      <t>Station shutdown due to TFP leak(4.50) Ajuju-6T C/I for PBU(1.04) Ajuju-1L/S, Batan-5T, 6S, 8L, 9T &amp; 11T C/I for F/L leak</t>
    </r>
    <r>
      <rPr>
        <b/>
        <sz val="14"/>
        <color rgb="FF000000"/>
        <rFont val="Gill Sans MT"/>
        <family val="2"/>
      </rPr>
      <t xml:space="preserve">  </t>
    </r>
  </si>
  <si>
    <r>
      <t xml:space="preserve">3 strings producing vs 4 strings target.  </t>
    </r>
    <r>
      <rPr>
        <b/>
        <sz val="14"/>
        <color rgb="FFFF0000"/>
        <rFont val="Gill Sans MT"/>
        <family val="2"/>
      </rPr>
      <t>C/I 29S for leaking tree cap (1.04)</t>
    </r>
  </si>
  <si>
    <t>Total potential deferments on flowline leak(3.81), TFP(4.50), Odidi(1.21), PBU(3.75), &amp; Wellhead (1.04)</t>
  </si>
  <si>
    <t>OML-42 PRODUCTION TARGET FOR MARCH 2022</t>
  </si>
  <si>
    <t>AJUJU/BATAN CONDUITS ON TARGET WITH CURRENT PRODUCTION LEVELS (MAR-2022)</t>
  </si>
  <si>
    <t>C/I for PBU???</t>
  </si>
  <si>
    <t>ODIDI CONDUITS ON TARGET WITH CURRENT PRODUCTION LEVELS (MAR-2022)</t>
  </si>
  <si>
    <t>Top sub theft</t>
  </si>
  <si>
    <t>JONES CREEK CONDUITS ON TARGET WITH CURRENT PRODUCTION LEVELS (MAR-2022)</t>
  </si>
  <si>
    <t>C/I for top  sub theft</t>
  </si>
  <si>
    <t>C/I for top sub theft</t>
  </si>
  <si>
    <t>Feb 22 Prod Target (Mbopd)</t>
  </si>
  <si>
    <t>12 strings producing vs 27 strings target. C/I8 strings for tank top. C/I 7S &amp; 26S for top-sub theft(0.76), C/I 39S for FL leak (0.89)</t>
  </si>
  <si>
    <t>17 strings producing vs 24 strings target. C/I 31L/S  &amp; 3L/Sfor PBU (2.178), C/I  34S for FL leak(1.1), C/I for top sub theft ( 0.582)</t>
  </si>
  <si>
    <r>
      <rPr>
        <b/>
        <sz val="14"/>
        <color theme="1"/>
        <rFont val="Gill Sans MT"/>
        <family val="2"/>
      </rPr>
      <t>3 strings producing vs 5 strings target.</t>
    </r>
    <r>
      <rPr>
        <b/>
        <sz val="14"/>
        <color rgb="FFFF0000"/>
        <rFont val="Gill Sans MT"/>
        <family val="2"/>
      </rPr>
      <t xml:space="preserve"> Batan-13T C/I for FL leak(0.28).  Ajuju-6T C/I for PBU(1.04) </t>
    </r>
  </si>
  <si>
    <t>Shutdown for tank top(2.53).  C/I 29S for leaking tree cap (1.04)</t>
  </si>
  <si>
    <t>Total potential deferments on flowline leak(2.77), Tank top(8.43), PBU(1.38) &amp; Wellhead (1.582))</t>
  </si>
  <si>
    <t>. Station open up(1.21) C/I 3L &amp; 31L/S for PBU(1.00). C/I 3S, 48T, 34S, 19S &amp; 31S for FL leak (2.92)</t>
  </si>
  <si>
    <t>Ajuju-6T C/I for PBU(1.04) Ajuju-1L/S, Batan-5T, 6S, 8L, 9T &amp; 11T C/I for F/L leak</t>
  </si>
  <si>
    <t>17 strings producing vs 24 strings . C/I 12L, 24S, 39S &amp; 40L for PBU(1.60). C/I 39L for FL leak(0.89).</t>
  </si>
  <si>
    <t>OML-42 PRODUCTION TARGET FOR APR 2022</t>
  </si>
  <si>
    <t>AJUJU/BATAN CONDUITS ON TARGET WITH CURRENT PRODUCTION LEVELS (APR-2022)</t>
  </si>
  <si>
    <t>C/I for PBU/FL leak</t>
  </si>
  <si>
    <t>ODIDI CONDUITS ON TARGET WITH CURRENT PRODUCTION LEVELS (APR-2022)</t>
  </si>
  <si>
    <t>*386</t>
  </si>
  <si>
    <t>*412</t>
  </si>
  <si>
    <t>*286</t>
  </si>
  <si>
    <t>*300</t>
  </si>
  <si>
    <t>JONES CREEK CONDUITS ON TARGET WITH CURRENT PRODUCTION LEVELS (APR-2022)</t>
  </si>
  <si>
    <t>*260</t>
  </si>
  <si>
    <t>*358</t>
  </si>
  <si>
    <t>12 strings producing vs 27 strings target. C/I 6 strings for tank top (3.57). C/I 7S &amp; 26S for top-sub theft(0.76), C/I 39S for FL leak (0.89), PBU conduits (2.21)</t>
  </si>
  <si>
    <t>10 strings producing vs 24 strings target. C/I 6 wells by contractor (3.52), C/I 31L/S  &amp; 3L/Sfor PBU (1.38), C/I  34S &amp; 44S for FL leak(1.33), C/I for top sub 23L, 28S &amp; 37S (1.07)</t>
  </si>
  <si>
    <t xml:space="preserve">3 strings producing vs 5 strings target. Batan-13T C/I for FL leak(0.28).  Ajuju-6T C/I for PBU(1.04) </t>
  </si>
  <si>
    <t>Total potential deferments on flowline leak(2.50), Tank top(6.11), PBU(4.63) &amp; Wellhead (2.12)</t>
  </si>
  <si>
    <t>Station shutdown due to trunkline leak. C/I 7S &amp; 26S for top-sub theft(0.76), C/I 39S for FL leak (0.89), PBU conduits (2.21)</t>
  </si>
  <si>
    <t>Station shutdown due to protesting agitations. C/I 31L/S  &amp; 3L/Sfor PBU (1.38), C/I  34S &amp; 44S for FL leak(1.33), C/I for top sub 23L, 28S &amp; 37S (1.07)</t>
  </si>
  <si>
    <t xml:space="preserve">Station shutdown due to facility constraints. Batan-13T C/I for FL leak(0.28).  Ajuju-6T C/I for PBU(1.04) </t>
  </si>
  <si>
    <t>Station shutdown due to trunkline leak. C/I 29S for leaking tree cap (1.04)</t>
  </si>
  <si>
    <t>Defer Category</t>
  </si>
  <si>
    <t>Oil (bopd)</t>
  </si>
  <si>
    <t>Degree</t>
  </si>
  <si>
    <t>%tage</t>
  </si>
  <si>
    <t>JONC F/L</t>
  </si>
  <si>
    <t>Wellhead</t>
  </si>
  <si>
    <t>Tank Top</t>
  </si>
  <si>
    <t>Batan F/L</t>
  </si>
  <si>
    <t>Odidi Contractor</t>
  </si>
  <si>
    <t>Odidi F/L</t>
  </si>
  <si>
    <t>Odidi FL</t>
  </si>
  <si>
    <t>JONC FL</t>
  </si>
  <si>
    <t>1H 2022 MER TEST PERFORMANCE TRACKER</t>
  </si>
  <si>
    <t>Total Conduits Planned</t>
  </si>
  <si>
    <t>Total Flowing Conduits</t>
  </si>
  <si>
    <t>Total Conduits Tested</t>
  </si>
  <si>
    <t>Total Test Results Reported</t>
  </si>
  <si>
    <t>Total Test Validated</t>
  </si>
  <si>
    <t>Total Test Invalidated</t>
  </si>
  <si>
    <t>Total Test Awaiting Validation</t>
  </si>
  <si>
    <t>Percentage Completion</t>
  </si>
  <si>
    <t>Remarks</t>
  </si>
  <si>
    <t>Ajuju/Batan</t>
  </si>
  <si>
    <t>Completed test on all flowing conduits</t>
  </si>
  <si>
    <t xml:space="preserve">MER Test completed on 3L/S, 19L/S, 21S, 24L, 35L, 48T, 51T, 11T, 50T, 30S, 23L, 28S, 43L &amp; 46S, while the ff are yet to conclude 34S, 37S &amp; 44S  </t>
  </si>
  <si>
    <t>BATAN-003S</t>
  </si>
  <si>
    <t>Suspected watered out</t>
  </si>
  <si>
    <t>BATAN-004T</t>
  </si>
  <si>
    <t>Quit on HBS&amp;W. WSO candidate?</t>
  </si>
  <si>
    <t>BATAN-010S</t>
  </si>
  <si>
    <t>Quit on HBS&amp;W.</t>
  </si>
  <si>
    <t>ODIDI-001L</t>
  </si>
  <si>
    <t>C/I for Hhigh gas production</t>
  </si>
  <si>
    <t>Interval suspected watered out</t>
  </si>
  <si>
    <t>ODIDI-007L</t>
  </si>
  <si>
    <t>H5000M</t>
  </si>
  <si>
    <t>SCSSSV malfunction/Well Integrity/PBU Mgt</t>
  </si>
  <si>
    <t>ODIDI-014L</t>
  </si>
  <si>
    <t>G6000W</t>
  </si>
  <si>
    <t>Rig W/O candidate</t>
  </si>
  <si>
    <t>ODIDI-015L</t>
  </si>
  <si>
    <t>PBU interval</t>
  </si>
  <si>
    <t>ODIDI-023S</t>
  </si>
  <si>
    <t>Fish-in-Hole</t>
  </si>
  <si>
    <t>PBU interval/CT N2-lift</t>
  </si>
  <si>
    <t>ODIDI-032T</t>
  </si>
  <si>
    <t>ODIDI-034L</t>
  </si>
  <si>
    <t>F6100M</t>
  </si>
  <si>
    <t>Watered out on F6100M</t>
  </si>
  <si>
    <t>ODIDI-035S</t>
  </si>
  <si>
    <t>C/I for HBSW/ No flowline</t>
  </si>
  <si>
    <t>ODIDI-036S</t>
  </si>
  <si>
    <t>PBU Interval</t>
  </si>
  <si>
    <t>ODIDI-036L</t>
  </si>
  <si>
    <t>ODIDI-037L</t>
  </si>
  <si>
    <t>CT fishing operation</t>
  </si>
  <si>
    <t>ODIDI-038L</t>
  </si>
  <si>
    <t xml:space="preserve">Watered out </t>
  </si>
  <si>
    <t>ODIDI-040L</t>
  </si>
  <si>
    <t>G2000M</t>
  </si>
  <si>
    <t>Unplugging/AGG candidate</t>
  </si>
  <si>
    <t>ODIDI-040S</t>
  </si>
  <si>
    <t>CTU tubing wash/N2 Lift</t>
  </si>
  <si>
    <t>ODIDI-046L</t>
  </si>
  <si>
    <t>E5000X</t>
  </si>
  <si>
    <t>Weak well/far from the station</t>
  </si>
  <si>
    <t>ODIDI-047T</t>
  </si>
  <si>
    <t>Rig Workover/Sidetrack</t>
  </si>
  <si>
    <t>JONC-017L</t>
  </si>
  <si>
    <t>Quit production on natural flow. Awaiting gas lift</t>
  </si>
  <si>
    <t>JONC-027L</t>
  </si>
  <si>
    <t>JONC-029S</t>
  </si>
  <si>
    <t>JONC-031L</t>
  </si>
  <si>
    <t>JONC-031S</t>
  </si>
  <si>
    <t>JONC-034L</t>
  </si>
  <si>
    <t>JONC-035S</t>
  </si>
  <si>
    <t>JONC-035L</t>
  </si>
  <si>
    <t>JONC-038S</t>
  </si>
  <si>
    <t>No identified opportunity</t>
  </si>
  <si>
    <t>JONC-040S</t>
  </si>
  <si>
    <t>JONC-045L</t>
  </si>
  <si>
    <t>JONC-045S</t>
  </si>
  <si>
    <t>JONC-047T</t>
  </si>
  <si>
    <t>TRScSSSV stucked in closed position. Investigating intervention options.</t>
  </si>
  <si>
    <t>JONC-048T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</si>
</sst>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_-* #,##0.00_-;\-* #,##0.00_-;_-* &quot;-&quot;??_-;_-@_-"/>
    <numFmt numFmtId="165" formatCode="[$-409]d\-mmm\-yyyy;@"/>
    <numFmt numFmtId="166" formatCode="0.0%"/>
    <numFmt numFmtId="167" formatCode="0.0"/>
    <numFmt numFmtId="168" formatCode="#,##0.0"/>
    <numFmt numFmtId="169" formatCode="0.0000000"/>
    <numFmt numFmtId="170" formatCode="0.000000000"/>
    <numFmt numFmtId="171" formatCode="mm/dd/yyyy"/>
    <numFmt numFmtId="172" formatCode="0.000"/>
    <numFmt numFmtId="173" formatCode="#,##0.0000"/>
    <numFmt numFmtId="174" formatCode="#,##0.000"/>
  </numFmts>
  <fonts count="126">
    <font>
      <sz val="12"/>
      <color theme="1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sz val="14"/>
      <color rgb="FF000000"/>
      <name val="Calibri"/>
      <family val="2"/>
    </font>
    <font>
      <sz val="14"/>
      <name val="Arial"/>
      <family val="2"/>
    </font>
    <font>
      <b/>
      <sz val="18"/>
      <color theme="1"/>
      <name val="Arial"/>
      <family val="2"/>
    </font>
    <font>
      <b/>
      <sz val="15"/>
      <color theme="1"/>
      <name val="Arial"/>
      <family val="2"/>
    </font>
    <font>
      <sz val="15"/>
      <color theme="1"/>
      <name val="Arial"/>
      <family val="2"/>
    </font>
    <font>
      <sz val="15"/>
      <color rgb="FFFF0000"/>
      <name val="Arial"/>
      <family val="2"/>
    </font>
    <font>
      <b/>
      <sz val="15"/>
      <color rgb="FFFF0000"/>
      <name val="Arial"/>
      <family val="2"/>
    </font>
    <font>
      <sz val="16"/>
      <color theme="1"/>
      <name val="Arial"/>
      <family val="2"/>
    </font>
    <font>
      <b/>
      <sz val="15"/>
      <name val="Arial"/>
      <family val="2"/>
    </font>
    <font>
      <sz val="15"/>
      <name val="Arial"/>
      <family val="2"/>
    </font>
    <font>
      <sz val="18"/>
      <color theme="1"/>
      <name val="Arial"/>
      <family val="2"/>
    </font>
    <font>
      <sz val="14"/>
      <color rgb="FFFF0000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Gill Sans MT"/>
      <family val="2"/>
    </font>
    <font>
      <sz val="14"/>
      <color theme="1"/>
      <name val="Gill Sans MT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color rgb="FF201F1E"/>
      <name val="Arial"/>
      <family val="2"/>
    </font>
    <font>
      <b/>
      <sz val="14"/>
      <color rgb="FFC00000"/>
      <name val="Arial"/>
      <family val="2"/>
    </font>
    <font>
      <b/>
      <sz val="16"/>
      <color rgb="FFC00000"/>
      <name val="Arial"/>
      <family val="2"/>
    </font>
    <font>
      <sz val="10"/>
      <color rgb="FFC00000"/>
      <name val="Arial"/>
      <family val="2"/>
    </font>
    <font>
      <sz val="11"/>
      <color rgb="FFC00000"/>
      <name val="Arial"/>
      <family val="2"/>
    </font>
    <font>
      <sz val="12"/>
      <color rgb="FFC00000"/>
      <name val="Arial"/>
      <family val="2"/>
    </font>
    <font>
      <sz val="9"/>
      <color rgb="FFC00000"/>
      <name val="Arial"/>
      <family val="2"/>
    </font>
    <font>
      <b/>
      <sz val="18"/>
      <color rgb="FFFF0000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sz val="14"/>
      <color rgb="FF000000"/>
      <name val="Gill Sans MT"/>
      <family val="2"/>
    </font>
    <font>
      <sz val="14"/>
      <name val="Gill Sans MT"/>
      <family val="2"/>
    </font>
    <font>
      <b/>
      <sz val="16"/>
      <color theme="1"/>
      <name val="Gill Sans MT"/>
      <family val="2"/>
    </font>
    <font>
      <b/>
      <sz val="14"/>
      <color rgb="FFFF0000"/>
      <name val="Gill Sans MT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sz val="12"/>
      <name val="Arial"/>
      <family val="2"/>
    </font>
    <font>
      <sz val="14"/>
      <color rgb="FFFF0000"/>
      <name val="Gill Sans MT"/>
      <family val="2"/>
    </font>
    <font>
      <b/>
      <sz val="15"/>
      <color theme="1"/>
      <name val="Gill Sans MT"/>
      <family val="2"/>
    </font>
    <font>
      <b/>
      <sz val="15"/>
      <color rgb="FFFF0000"/>
      <name val="Gill Sans MT"/>
      <family val="2"/>
    </font>
    <font>
      <sz val="15"/>
      <name val="Gill Sans MT"/>
      <family val="2"/>
    </font>
    <font>
      <sz val="15"/>
      <color theme="1"/>
      <name val="Gill Sans MT"/>
      <family val="2"/>
    </font>
    <font>
      <sz val="15"/>
      <color rgb="FFFF0000"/>
      <name val="Gill Sans MT"/>
      <family val="2"/>
    </font>
    <font>
      <sz val="12"/>
      <color rgb="FFFF0000"/>
      <name val="Arial"/>
      <family val="2"/>
    </font>
    <font>
      <b/>
      <sz val="15"/>
      <color rgb="FF00B050"/>
      <name val="Gill Sans MT"/>
      <family val="2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rgb="FF000000"/>
      <name val="Arial"/>
      <family val="2"/>
    </font>
    <font>
      <sz val="9"/>
      <color rgb="FFFF0000"/>
      <name val="Arial"/>
      <family val="2"/>
    </font>
    <font>
      <b/>
      <sz val="16"/>
      <color rgb="FFFF0000"/>
      <name val="Gill Sans MT"/>
      <family val="2"/>
    </font>
    <font>
      <sz val="11"/>
      <color rgb="FFFF0000"/>
      <name val="Calibri"/>
      <family val="2"/>
    </font>
    <font>
      <b/>
      <sz val="15"/>
      <name val="Gill Sans MT"/>
      <family val="2"/>
    </font>
    <font>
      <b/>
      <sz val="12"/>
      <color rgb="FFC00000"/>
      <name val="Arial"/>
      <family val="2"/>
    </font>
    <font>
      <b/>
      <sz val="12"/>
      <color rgb="FF000000"/>
      <name val="Arial"/>
      <family val="2"/>
    </font>
    <font>
      <sz val="12"/>
      <color rgb="FF201F1E"/>
      <name val="Arial"/>
      <family val="2"/>
    </font>
    <font>
      <sz val="12"/>
      <color rgb="FFFF9900"/>
      <name val="Calibri"/>
      <family val="2"/>
    </font>
    <font>
      <b/>
      <sz val="14"/>
      <name val="Gill Sans MT"/>
      <family val="2"/>
    </font>
    <font>
      <b/>
      <sz val="12"/>
      <color theme="1"/>
      <name val="Calibri"/>
      <family val="2"/>
    </font>
    <font>
      <b/>
      <sz val="12"/>
      <color rgb="FFFF0000"/>
      <name val="Inherit"/>
    </font>
    <font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10"/>
      <color theme="1"/>
      <name val="Arial"/>
      <family val="2"/>
    </font>
    <font>
      <sz val="12"/>
      <color theme="1"/>
      <name val="Gill Sans MT"/>
      <family val="2"/>
    </font>
    <font>
      <b/>
      <sz val="16"/>
      <color rgb="FFC00000"/>
      <name val="Gill Sans MT"/>
      <family val="2"/>
    </font>
    <font>
      <b/>
      <sz val="14"/>
      <color rgb="FFC00000"/>
      <name val="Gill Sans MT"/>
      <family val="2"/>
    </font>
    <font>
      <b/>
      <sz val="10"/>
      <color rgb="FF000000"/>
      <name val="Gill Sans MT"/>
      <family val="2"/>
    </font>
    <font>
      <sz val="10"/>
      <color theme="1"/>
      <name val="Gill Sans MT"/>
      <family val="2"/>
    </font>
    <font>
      <sz val="10"/>
      <color rgb="FFFF0000"/>
      <name val="Gill Sans MT"/>
      <family val="2"/>
    </font>
    <font>
      <sz val="10"/>
      <color rgb="FF000000"/>
      <name val="Gill Sans MT"/>
      <family val="2"/>
    </font>
    <font>
      <b/>
      <sz val="12"/>
      <color rgb="FF000000"/>
      <name val="Gill Sans MT"/>
      <family val="2"/>
    </font>
    <font>
      <sz val="12"/>
      <color rgb="FFFF0000"/>
      <name val="Gill Sans MT"/>
      <family val="2"/>
    </font>
    <font>
      <sz val="11"/>
      <color rgb="FF000000"/>
      <name val="Gill Sans MT"/>
      <family val="2"/>
    </font>
    <font>
      <sz val="10"/>
      <name val="Gill Sans MT"/>
      <family val="2"/>
    </font>
    <font>
      <sz val="12"/>
      <name val="Gill Sans MT"/>
      <family val="2"/>
    </font>
    <font>
      <sz val="11"/>
      <color rgb="FFFF0000"/>
      <name val="Gill Sans MT"/>
      <family val="2"/>
    </font>
    <font>
      <b/>
      <sz val="12"/>
      <color rgb="FFC00000"/>
      <name val="Gill Sans MT"/>
      <family val="2"/>
    </font>
    <font>
      <sz val="10"/>
      <color rgb="FF201F1E"/>
      <name val="Arial"/>
      <family val="2"/>
    </font>
    <font>
      <sz val="11"/>
      <color theme="1"/>
      <name val="Calibri"/>
      <family val="2"/>
    </font>
    <font>
      <sz val="11"/>
      <color theme="1"/>
      <name val="Gill Sans MT"/>
      <family val="2"/>
    </font>
    <font>
      <b/>
      <sz val="12"/>
      <color theme="1"/>
      <name val="Gill Sans MT"/>
      <family val="2"/>
    </font>
    <font>
      <b/>
      <sz val="12"/>
      <name val="Gill Sans MT"/>
      <family val="2"/>
    </font>
    <font>
      <b/>
      <sz val="18"/>
      <color rgb="FFFF0000"/>
      <name val="Gill Sans MT"/>
      <family val="2"/>
    </font>
    <font>
      <sz val="16"/>
      <color theme="1"/>
      <name val="Gill Sans MT"/>
      <family val="2"/>
    </font>
    <font>
      <sz val="18"/>
      <color theme="1"/>
      <name val="Gill Sans MT"/>
      <family val="2"/>
    </font>
    <font>
      <b/>
      <sz val="18"/>
      <color theme="1"/>
      <name val="Gill Sans MT"/>
      <family val="2"/>
    </font>
    <font>
      <sz val="11"/>
      <name val="Arial"/>
      <family val="2"/>
    </font>
    <font>
      <sz val="11"/>
      <name val="Calibri"/>
      <family val="2"/>
    </font>
    <font>
      <b/>
      <sz val="11"/>
      <color theme="1"/>
      <name val="Gill Sans MT"/>
      <family val="2"/>
    </font>
    <font>
      <b/>
      <sz val="12"/>
      <color theme="1"/>
      <name val="Arial"/>
      <family val="2"/>
    </font>
    <font>
      <sz val="14"/>
      <color rgb="FF222222"/>
      <name val="Gill Sans MT"/>
      <family val="2"/>
    </font>
    <font>
      <b/>
      <sz val="12"/>
      <color rgb="FFFF0000"/>
      <name val="Gill Sans MT"/>
      <family val="2"/>
    </font>
    <font>
      <b/>
      <sz val="10"/>
      <color rgb="FFFF0000"/>
      <name val="Arial"/>
      <family val="2"/>
    </font>
    <font>
      <sz val="10"/>
      <color rgb="FF92D050"/>
      <name val="Arial"/>
      <family val="2"/>
    </font>
    <font>
      <sz val="10"/>
      <color rgb="FF000000"/>
      <name val="Arial"/>
    </font>
    <font>
      <b/>
      <sz val="11"/>
      <color rgb="FFFF0000"/>
      <name val="Gill Sans MT"/>
      <family val="2"/>
    </font>
    <font>
      <sz val="12"/>
      <color rgb="FF000000"/>
      <name val="Gill Sans MT"/>
      <family val="2"/>
    </font>
    <font>
      <sz val="7"/>
      <color rgb="FF000000"/>
      <name val="Gill Sans MT"/>
      <family val="2"/>
    </font>
    <font>
      <b/>
      <sz val="10"/>
      <color rgb="FF0000FF"/>
      <name val="Gill Sans MT"/>
      <family val="2"/>
    </font>
    <font>
      <b/>
      <sz val="11"/>
      <color rgb="FF000000"/>
      <name val="Gill Sans MT"/>
      <family val="2"/>
    </font>
    <font>
      <b/>
      <sz val="10"/>
      <name val="Arial"/>
      <family val="2"/>
    </font>
    <font>
      <sz val="8"/>
      <name val="Gill Sans MT"/>
      <family val="2"/>
    </font>
    <font>
      <b/>
      <sz val="12"/>
      <color rgb="FF000000"/>
      <name val="Gill Sans MT"/>
    </font>
    <font>
      <b/>
      <sz val="12"/>
      <name val="Gill Sans MT"/>
    </font>
    <font>
      <b/>
      <sz val="12"/>
      <color theme="1"/>
      <name val="Gill Sans MT"/>
    </font>
    <font>
      <sz val="12"/>
      <color theme="1"/>
      <name val="Gill Sans MT"/>
    </font>
    <font>
      <sz val="14"/>
      <color theme="1"/>
      <name val="Gill Sans MT"/>
    </font>
    <font>
      <b/>
      <sz val="14"/>
      <color rgb="FF000000"/>
      <name val="Gill Sans MT"/>
      <family val="2"/>
    </font>
    <font>
      <b/>
      <sz val="14"/>
      <color rgb="FF000000"/>
      <name val="Gill Sans MT"/>
    </font>
    <font>
      <sz val="8"/>
      <color rgb="FFFF0000"/>
      <name val="Gill Sans MT"/>
      <family val="2"/>
    </font>
    <font>
      <sz val="8"/>
      <color rgb="FFFF0000"/>
      <name val="Gill Sans MT"/>
    </font>
    <font>
      <sz val="8"/>
      <name val="Arial"/>
      <family val="2"/>
    </font>
    <font>
      <sz val="12"/>
      <color rgb="FF000000"/>
      <name val="Gill Sans MT"/>
    </font>
    <font>
      <b/>
      <sz val="12"/>
      <color rgb="FFFF0000"/>
      <name val="Gill Sans MT"/>
    </font>
    <font>
      <sz val="11"/>
      <color rgb="FF444444"/>
      <name val="Calibri"/>
      <family val="2"/>
      <charset val="1"/>
    </font>
    <font>
      <sz val="12"/>
      <name val="Gill Sans MT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DDDDD"/>
        <bgColor rgb="FFDDDDDD"/>
      </patternFill>
    </fill>
    <fill>
      <patternFill patternType="solid">
        <fgColor rgb="FFF7CAAC"/>
        <bgColor rgb="FFF7CAAC"/>
      </patternFill>
    </fill>
    <fill>
      <patternFill patternType="solid">
        <fgColor rgb="FFFF9900"/>
        <bgColor rgb="FFFF9900"/>
      </patternFill>
    </fill>
    <fill>
      <patternFill patternType="solid">
        <fgColor rgb="FFC0C0C0"/>
        <bgColor rgb="FFC0C0C0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rgb="FFDDDDDD"/>
      </patternFill>
    </fill>
    <fill>
      <patternFill patternType="solid">
        <fgColor theme="0"/>
        <bgColor rgb="FFFF0000"/>
      </patternFill>
    </fill>
    <fill>
      <patternFill patternType="solid">
        <fgColor rgb="FFEA9999"/>
        <bgColor rgb="FFEA9999"/>
      </patternFill>
    </fill>
    <fill>
      <patternFill patternType="solid">
        <fgColor theme="7" tint="0.59999389629810485"/>
        <bgColor rgb="FFC0C0C0"/>
      </patternFill>
    </fill>
    <fill>
      <patternFill patternType="solid">
        <fgColor theme="0"/>
        <bgColor rgb="FFFFFFFF"/>
      </patternFill>
    </fill>
    <fill>
      <patternFill patternType="solid">
        <fgColor theme="3" tint="0.7999816888943144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F2CC"/>
        <bgColor rgb="FFFFF2CC"/>
      </patternFill>
    </fill>
  </fills>
  <borders count="19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CCCCCC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medium">
        <color indexed="64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CCCCCC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3"/>
      </bottom>
      <diagonal/>
    </border>
    <border>
      <left style="thin">
        <color rgb="FF000000"/>
      </left>
      <right style="medium">
        <color rgb="FF999999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999999"/>
      </bottom>
      <diagonal/>
    </border>
    <border>
      <left style="thin">
        <color rgb="FF000000"/>
      </left>
      <right style="medium">
        <color rgb="FF999999"/>
      </right>
      <top style="thin">
        <color rgb="FF000000"/>
      </top>
      <bottom style="medium">
        <color rgb="FF999999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slantDashDot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999999"/>
      </left>
      <right style="thin">
        <color rgb="FF000000"/>
      </right>
      <top style="medium">
        <color rgb="FF99999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999999"/>
      </top>
      <bottom style="thin">
        <color rgb="FF000000"/>
      </bottom>
      <diagonal/>
    </border>
    <border>
      <left style="thin">
        <color rgb="FF000000"/>
      </left>
      <right/>
      <top style="medium">
        <color rgb="FF999999"/>
      </top>
      <bottom style="thin">
        <color rgb="FF000000"/>
      </bottom>
      <diagonal/>
    </border>
    <border>
      <left style="thin">
        <color rgb="FF000000"/>
      </left>
      <right style="medium">
        <color rgb="FF999999"/>
      </right>
      <top style="medium">
        <color rgb="FF999999"/>
      </top>
      <bottom style="thin">
        <color rgb="FF000000"/>
      </bottom>
      <diagonal/>
    </border>
    <border>
      <left style="medium">
        <color rgb="FF99999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999999"/>
      </left>
      <right style="thin">
        <color rgb="FF000000"/>
      </right>
      <top style="thin">
        <color rgb="FF000000"/>
      </top>
      <bottom style="medium">
        <color rgb="FF999999"/>
      </bottom>
      <diagonal/>
    </border>
    <border>
      <left style="medium">
        <color rgb="FF999999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medium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medium">
        <color rgb="FF000000"/>
      </bottom>
      <diagonal/>
    </border>
  </borders>
  <cellStyleXfs count="412">
    <xf numFmtId="0" fontId="0" fillId="0" borderId="0"/>
    <xf numFmtId="164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36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4" fillId="0" borderId="0"/>
    <xf numFmtId="0" fontId="34" fillId="0" borderId="0"/>
    <xf numFmtId="0" fontId="35" fillId="0" borderId="0"/>
    <xf numFmtId="0" fontId="35" fillId="0" borderId="0"/>
    <xf numFmtId="43" fontId="34" fillId="0" borderId="0" applyFont="0" applyFill="0" applyBorder="0" applyAlignment="0" applyProtection="0"/>
    <xf numFmtId="0" fontId="35" fillId="0" borderId="0"/>
    <xf numFmtId="43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1" fillId="0" borderId="0"/>
    <xf numFmtId="0" fontId="18" fillId="0" borderId="0"/>
    <xf numFmtId="9" fontId="1" fillId="0" borderId="0" applyFont="0" applyFill="0" applyBorder="0" applyAlignment="0" applyProtection="0"/>
    <xf numFmtId="0" fontId="104" fillId="0" borderId="0"/>
  </cellStyleXfs>
  <cellXfs count="1391">
    <xf numFmtId="0" fontId="0" fillId="0" borderId="0" xfId="0"/>
    <xf numFmtId="0" fontId="0" fillId="0" borderId="0" xfId="0" applyAlignment="1">
      <alignment horizontal="center"/>
    </xf>
    <xf numFmtId="0" fontId="2" fillId="0" borderId="8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3" xfId="0" applyFont="1" applyBorder="1" applyAlignment="1">
      <alignment vertical="center" wrapText="1"/>
    </xf>
    <xf numFmtId="0" fontId="2" fillId="0" borderId="14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15" fontId="3" fillId="0" borderId="11" xfId="0" applyNumberFormat="1" applyFont="1" applyBorder="1" applyAlignment="1">
      <alignment horizontal="right" wrapText="1"/>
    </xf>
    <xf numFmtId="3" fontId="2" fillId="0" borderId="3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center"/>
    </xf>
    <xf numFmtId="3" fontId="2" fillId="0" borderId="10" xfId="0" applyNumberFormat="1" applyFont="1" applyBorder="1" applyAlignment="1">
      <alignment horizontal="center"/>
    </xf>
    <xf numFmtId="4" fontId="2" fillId="0" borderId="3" xfId="0" applyNumberFormat="1" applyFont="1" applyBorder="1"/>
    <xf numFmtId="4" fontId="2" fillId="0" borderId="2" xfId="0" applyNumberFormat="1" applyFont="1" applyBorder="1"/>
    <xf numFmtId="4" fontId="2" fillId="0" borderId="4" xfId="0" applyNumberFormat="1" applyFont="1" applyBorder="1"/>
    <xf numFmtId="15" fontId="3" fillId="0" borderId="12" xfId="0" applyNumberFormat="1" applyFont="1" applyBorder="1" applyAlignment="1">
      <alignment horizontal="right" wrapText="1"/>
    </xf>
    <xf numFmtId="3" fontId="2" fillId="0" borderId="4" xfId="0" applyNumberFormat="1" applyFont="1" applyBorder="1" applyAlignment="1">
      <alignment horizontal="center"/>
    </xf>
    <xf numFmtId="3" fontId="2" fillId="0" borderId="3" xfId="1" applyNumberFormat="1" applyFont="1" applyBorder="1" applyAlignment="1">
      <alignment horizontal="center"/>
    </xf>
    <xf numFmtId="3" fontId="2" fillId="0" borderId="4" xfId="0" applyNumberFormat="1" applyFont="1" applyBorder="1"/>
    <xf numFmtId="3" fontId="3" fillId="0" borderId="2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2" fillId="0" borderId="0" xfId="0" applyFont="1"/>
    <xf numFmtId="0" fontId="2" fillId="0" borderId="2" xfId="0" applyFont="1" applyBorder="1" applyAlignment="1">
      <alignment horizontal="center" wrapText="1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0" fontId="10" fillId="0" borderId="0" xfId="0" applyFont="1"/>
    <xf numFmtId="3" fontId="10" fillId="0" borderId="0" xfId="0" applyNumberFormat="1" applyFont="1"/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13" fillId="0" borderId="0" xfId="0" applyFont="1"/>
    <xf numFmtId="2" fontId="11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2" fontId="6" fillId="0" borderId="6" xfId="0" applyNumberFormat="1" applyFont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/>
    </xf>
    <xf numFmtId="3" fontId="0" fillId="0" borderId="0" xfId="0" applyNumberFormat="1"/>
    <xf numFmtId="2" fontId="14" fillId="0" borderId="2" xfId="0" applyNumberFormat="1" applyFont="1" applyBorder="1" applyAlignment="1">
      <alignment horizontal="center"/>
    </xf>
    <xf numFmtId="0" fontId="19" fillId="5" borderId="18" xfId="0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21" fillId="3" borderId="2" xfId="0" applyFont="1" applyFill="1" applyBorder="1" applyAlignment="1">
      <alignment horizontal="center" vertical="center" wrapText="1"/>
    </xf>
    <xf numFmtId="0" fontId="18" fillId="3" borderId="6" xfId="0" applyFont="1" applyFill="1" applyBorder="1" applyAlignment="1">
      <alignment horizontal="center" vertical="center" wrapText="1"/>
    </xf>
    <xf numFmtId="0" fontId="18" fillId="3" borderId="32" xfId="0" applyFont="1" applyFill="1" applyBorder="1" applyAlignment="1">
      <alignment horizontal="center" vertical="center" wrapText="1"/>
    </xf>
    <xf numFmtId="0" fontId="19" fillId="3" borderId="35" xfId="0" applyFont="1" applyFill="1" applyBorder="1" applyAlignment="1">
      <alignment horizontal="center" vertical="center" wrapText="1"/>
    </xf>
    <xf numFmtId="0" fontId="19" fillId="3" borderId="17" xfId="0" applyFont="1" applyFill="1" applyBorder="1" applyAlignment="1">
      <alignment horizontal="center" vertical="center" wrapText="1"/>
    </xf>
    <xf numFmtId="0" fontId="22" fillId="4" borderId="32" xfId="0" applyFont="1" applyFill="1" applyBorder="1" applyAlignment="1">
      <alignment horizontal="center" vertical="center" wrapText="1"/>
    </xf>
    <xf numFmtId="0" fontId="22" fillId="4" borderId="2" xfId="0" applyFont="1" applyFill="1" applyBorder="1" applyAlignment="1">
      <alignment horizontal="center" vertical="center" wrapText="1"/>
    </xf>
    <xf numFmtId="0" fontId="23" fillId="4" borderId="2" xfId="0" applyFont="1" applyFill="1" applyBorder="1" applyAlignment="1">
      <alignment horizontal="center" vertical="center" wrapText="1"/>
    </xf>
    <xf numFmtId="0" fontId="22" fillId="4" borderId="6" xfId="0" applyFont="1" applyFill="1" applyBorder="1" applyAlignment="1">
      <alignment horizontal="center" vertical="center" wrapText="1"/>
    </xf>
    <xf numFmtId="0" fontId="24" fillId="0" borderId="33" xfId="0" applyFont="1" applyBorder="1"/>
    <xf numFmtId="0" fontId="24" fillId="0" borderId="4" xfId="0" applyFont="1" applyBorder="1"/>
    <xf numFmtId="0" fontId="24" fillId="0" borderId="7" xfId="0" applyFont="1" applyBorder="1"/>
    <xf numFmtId="0" fontId="18" fillId="4" borderId="32" xfId="0" applyFont="1" applyFill="1" applyBorder="1" applyAlignment="1">
      <alignment horizontal="center" vertical="center" wrapText="1"/>
    </xf>
    <xf numFmtId="0" fontId="25" fillId="0" borderId="33" xfId="0" applyFont="1" applyBorder="1"/>
    <xf numFmtId="0" fontId="18" fillId="4" borderId="2" xfId="0" applyFont="1" applyFill="1" applyBorder="1" applyAlignment="1">
      <alignment horizontal="center" vertical="center" wrapText="1"/>
    </xf>
    <xf numFmtId="0" fontId="25" fillId="0" borderId="4" xfId="0" applyFont="1" applyBorder="1"/>
    <xf numFmtId="0" fontId="18" fillId="4" borderId="6" xfId="0" applyFont="1" applyFill="1" applyBorder="1" applyAlignment="1">
      <alignment horizontal="center" vertical="center" wrapText="1"/>
    </xf>
    <xf numFmtId="0" fontId="25" fillId="0" borderId="7" xfId="0" applyFont="1" applyBorder="1"/>
    <xf numFmtId="0" fontId="19" fillId="5" borderId="9" xfId="0" applyFont="1" applyFill="1" applyBorder="1" applyAlignment="1">
      <alignment horizontal="center" vertical="center" wrapText="1"/>
    </xf>
    <xf numFmtId="0" fontId="19" fillId="3" borderId="34" xfId="0" applyFont="1" applyFill="1" applyBorder="1" applyAlignment="1">
      <alignment horizontal="center" vertical="center" wrapText="1"/>
    </xf>
    <xf numFmtId="0" fontId="26" fillId="3" borderId="0" xfId="0" applyFont="1" applyFill="1" applyAlignment="1">
      <alignment vertical="center" wrapText="1"/>
    </xf>
    <xf numFmtId="0" fontId="26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25" fillId="3" borderId="0" xfId="0" applyFont="1" applyFill="1" applyAlignment="1">
      <alignment horizontal="center"/>
    </xf>
    <xf numFmtId="1" fontId="18" fillId="3" borderId="2" xfId="0" applyNumberFormat="1" applyFont="1" applyFill="1" applyBorder="1" applyAlignment="1">
      <alignment horizontal="center" vertical="center" wrapText="1"/>
    </xf>
    <xf numFmtId="1" fontId="19" fillId="5" borderId="18" xfId="0" applyNumberFormat="1" applyFont="1" applyFill="1" applyBorder="1" applyAlignment="1">
      <alignment horizontal="center" vertical="center" wrapText="1"/>
    </xf>
    <xf numFmtId="1" fontId="18" fillId="3" borderId="6" xfId="0" applyNumberFormat="1" applyFont="1" applyFill="1" applyBorder="1" applyAlignment="1">
      <alignment horizontal="center" vertical="center" wrapText="1"/>
    </xf>
    <xf numFmtId="166" fontId="18" fillId="3" borderId="32" xfId="0" applyNumberFormat="1" applyFont="1" applyFill="1" applyBorder="1" applyAlignment="1">
      <alignment horizontal="center" vertical="center" wrapText="1"/>
    </xf>
    <xf numFmtId="166" fontId="18" fillId="3" borderId="2" xfId="0" applyNumberFormat="1" applyFont="1" applyFill="1" applyBorder="1" applyAlignment="1">
      <alignment horizontal="center" vertical="center" wrapText="1"/>
    </xf>
    <xf numFmtId="166" fontId="21" fillId="3" borderId="2" xfId="0" applyNumberFormat="1" applyFont="1" applyFill="1" applyBorder="1" applyAlignment="1">
      <alignment horizontal="center" vertical="center" wrapText="1"/>
    </xf>
    <xf numFmtId="166" fontId="18" fillId="3" borderId="6" xfId="0" applyNumberFormat="1" applyFont="1" applyFill="1" applyBorder="1" applyAlignment="1">
      <alignment horizontal="center" vertical="center" wrapText="1"/>
    </xf>
    <xf numFmtId="1" fontId="18" fillId="3" borderId="32" xfId="0" applyNumberFormat="1" applyFont="1" applyFill="1" applyBorder="1" applyAlignment="1">
      <alignment horizontal="center" vertical="center" wrapText="1"/>
    </xf>
    <xf numFmtId="0" fontId="20" fillId="3" borderId="2" xfId="0" applyFont="1" applyFill="1" applyBorder="1" applyAlignment="1">
      <alignment horizontal="center" vertical="center" wrapText="1"/>
    </xf>
    <xf numFmtId="0" fontId="20" fillId="4" borderId="31" xfId="0" applyFont="1" applyFill="1" applyBorder="1" applyAlignment="1">
      <alignment horizontal="center" vertical="center" wrapText="1"/>
    </xf>
    <xf numFmtId="0" fontId="20" fillId="4" borderId="3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 wrapText="1"/>
    </xf>
    <xf numFmtId="166" fontId="22" fillId="3" borderId="2" xfId="0" applyNumberFormat="1" applyFont="1" applyFill="1" applyBorder="1" applyAlignment="1">
      <alignment horizontal="center" vertical="center" wrapText="1"/>
    </xf>
    <xf numFmtId="0" fontId="20" fillId="0" borderId="4" xfId="0" applyFont="1" applyBorder="1" applyAlignment="1">
      <alignment horizontal="left" vertical="center" wrapText="1"/>
    </xf>
    <xf numFmtId="0" fontId="18" fillId="4" borderId="5" xfId="0" applyFont="1" applyFill="1" applyBorder="1" applyAlignment="1">
      <alignment horizontal="center" vertical="center" wrapText="1"/>
    </xf>
    <xf numFmtId="0" fontId="22" fillId="3" borderId="6" xfId="0" applyFont="1" applyFill="1" applyBorder="1" applyAlignment="1">
      <alignment horizontal="center" vertical="center" wrapText="1"/>
    </xf>
    <xf numFmtId="166" fontId="22" fillId="3" borderId="6" xfId="0" applyNumberFormat="1" applyFont="1" applyFill="1" applyBorder="1" applyAlignment="1">
      <alignment horizontal="center" vertical="center" wrapText="1"/>
    </xf>
    <xf numFmtId="0" fontId="18" fillId="6" borderId="31" xfId="0" applyFont="1" applyFill="1" applyBorder="1" applyAlignment="1">
      <alignment vertical="center" wrapText="1"/>
    </xf>
    <xf numFmtId="0" fontId="18" fillId="6" borderId="3" xfId="0" applyFont="1" applyFill="1" applyBorder="1" applyAlignment="1">
      <alignment vertical="center" wrapText="1"/>
    </xf>
    <xf numFmtId="0" fontId="18" fillId="6" borderId="5" xfId="0" applyFont="1" applyFill="1" applyBorder="1" applyAlignment="1">
      <alignment vertical="center" wrapText="1"/>
    </xf>
    <xf numFmtId="0" fontId="18" fillId="6" borderId="31" xfId="0" applyFont="1" applyFill="1" applyBorder="1" applyAlignment="1">
      <alignment horizontal="center" vertical="center" wrapText="1"/>
    </xf>
    <xf numFmtId="0" fontId="25" fillId="0" borderId="33" xfId="0" applyFont="1" applyBorder="1" applyAlignment="1">
      <alignment wrapText="1"/>
    </xf>
    <xf numFmtId="0" fontId="18" fillId="6" borderId="3" xfId="0" applyFont="1" applyFill="1" applyBorder="1" applyAlignment="1">
      <alignment horizontal="center" vertical="center" wrapText="1"/>
    </xf>
    <xf numFmtId="0" fontId="18" fillId="6" borderId="5" xfId="0" applyFont="1" applyFill="1" applyBorder="1" applyAlignment="1">
      <alignment horizontal="center" vertical="center" wrapText="1"/>
    </xf>
    <xf numFmtId="0" fontId="29" fillId="4" borderId="3" xfId="0" applyFont="1" applyFill="1" applyBorder="1" applyAlignment="1">
      <alignment horizontal="center" vertical="center" wrapText="1"/>
    </xf>
    <xf numFmtId="0" fontId="29" fillId="4" borderId="2" xfId="0" applyFont="1" applyFill="1" applyBorder="1" applyAlignment="1">
      <alignment horizontal="center" vertical="center" wrapText="1"/>
    </xf>
    <xf numFmtId="0" fontId="29" fillId="3" borderId="2" xfId="0" applyFont="1" applyFill="1" applyBorder="1" applyAlignment="1">
      <alignment horizontal="center" vertical="center" wrapText="1"/>
    </xf>
    <xf numFmtId="1" fontId="29" fillId="3" borderId="2" xfId="0" applyNumberFormat="1" applyFont="1" applyFill="1" applyBorder="1" applyAlignment="1">
      <alignment horizontal="center" vertical="center" wrapText="1"/>
    </xf>
    <xf numFmtId="166" fontId="29" fillId="3" borderId="2" xfId="0" applyNumberFormat="1" applyFont="1" applyFill="1" applyBorder="1" applyAlignment="1">
      <alignment horizontal="center" vertical="center" wrapText="1"/>
    </xf>
    <xf numFmtId="0" fontId="29" fillId="0" borderId="4" xfId="0" applyFont="1" applyBorder="1"/>
    <xf numFmtId="0" fontId="29" fillId="4" borderId="31" xfId="0" applyFont="1" applyFill="1" applyBorder="1" applyAlignment="1">
      <alignment horizontal="center" vertical="center" wrapText="1"/>
    </xf>
    <xf numFmtId="0" fontId="30" fillId="4" borderId="32" xfId="0" applyFont="1" applyFill="1" applyBorder="1" applyAlignment="1">
      <alignment horizontal="center" vertical="center" wrapText="1"/>
    </xf>
    <xf numFmtId="0" fontId="30" fillId="3" borderId="32" xfId="0" applyFont="1" applyFill="1" applyBorder="1" applyAlignment="1">
      <alignment horizontal="center" vertical="center" wrapText="1"/>
    </xf>
    <xf numFmtId="0" fontId="29" fillId="0" borderId="33" xfId="0" applyFont="1" applyBorder="1"/>
    <xf numFmtId="0" fontId="31" fillId="0" borderId="0" xfId="0" applyFont="1"/>
    <xf numFmtId="0" fontId="30" fillId="4" borderId="2" xfId="0" applyFont="1" applyFill="1" applyBorder="1" applyAlignment="1">
      <alignment horizontal="center" vertical="center" wrapText="1"/>
    </xf>
    <xf numFmtId="0" fontId="30" fillId="3" borderId="2" xfId="0" applyFont="1" applyFill="1" applyBorder="1" applyAlignment="1">
      <alignment horizontal="center" vertical="center" wrapText="1"/>
    </xf>
    <xf numFmtId="166" fontId="30" fillId="3" borderId="2" xfId="0" applyNumberFormat="1" applyFont="1" applyFill="1" applyBorder="1" applyAlignment="1">
      <alignment horizontal="center" vertical="center" wrapText="1"/>
    </xf>
    <xf numFmtId="0" fontId="29" fillId="0" borderId="4" xfId="0" applyFont="1" applyBorder="1" applyAlignment="1">
      <alignment horizontal="left" vertical="center" wrapText="1"/>
    </xf>
    <xf numFmtId="0" fontId="29" fillId="0" borderId="0" xfId="0" applyFont="1"/>
    <xf numFmtId="0" fontId="29" fillId="6" borderId="3" xfId="0" applyFont="1" applyFill="1" applyBorder="1" applyAlignment="1">
      <alignment vertical="center" wrapText="1"/>
    </xf>
    <xf numFmtId="0" fontId="32" fillId="0" borderId="4" xfId="0" applyFont="1" applyBorder="1"/>
    <xf numFmtId="0" fontId="21" fillId="6" borderId="3" xfId="0" applyFont="1" applyFill="1" applyBorder="1" applyAlignment="1">
      <alignment vertical="center" wrapText="1"/>
    </xf>
    <xf numFmtId="0" fontId="32" fillId="0" borderId="4" xfId="0" applyFont="1" applyBorder="1" applyAlignment="1">
      <alignment wrapText="1"/>
    </xf>
    <xf numFmtId="0" fontId="15" fillId="0" borderId="0" xfId="0" applyFont="1" applyAlignment="1">
      <alignment horizontal="center" wrapText="1"/>
    </xf>
    <xf numFmtId="0" fontId="15" fillId="0" borderId="0" xfId="0" applyFont="1"/>
    <xf numFmtId="2" fontId="2" fillId="0" borderId="0" xfId="0" applyNumberFormat="1" applyFont="1" applyAlignment="1">
      <alignment horizontal="center"/>
    </xf>
    <xf numFmtId="2" fontId="9" fillId="0" borderId="2" xfId="0" applyNumberFormat="1" applyFont="1" applyBorder="1" applyAlignment="1">
      <alignment horizontal="center" vertical="center" wrapText="1"/>
    </xf>
    <xf numFmtId="2" fontId="9" fillId="0" borderId="6" xfId="0" applyNumberFormat="1" applyFont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13" xfId="0" applyFont="1" applyBorder="1" applyAlignment="1">
      <alignment vertical="center" wrapText="1"/>
    </xf>
    <xf numFmtId="0" fontId="17" fillId="0" borderId="14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15" fontId="37" fillId="0" borderId="12" xfId="0" applyNumberFormat="1" applyFont="1" applyBorder="1" applyAlignment="1">
      <alignment horizontal="right" wrapText="1"/>
    </xf>
    <xf numFmtId="3" fontId="17" fillId="0" borderId="3" xfId="0" applyNumberFormat="1" applyFont="1" applyBorder="1" applyAlignment="1">
      <alignment horizontal="center"/>
    </xf>
    <xf numFmtId="3" fontId="17" fillId="0" borderId="2" xfId="0" applyNumberFormat="1" applyFont="1" applyBorder="1" applyAlignment="1">
      <alignment horizontal="center"/>
    </xf>
    <xf numFmtId="3" fontId="17" fillId="0" borderId="10" xfId="0" applyNumberFormat="1" applyFont="1" applyBorder="1" applyAlignment="1">
      <alignment horizontal="center"/>
    </xf>
    <xf numFmtId="3" fontId="17" fillId="0" borderId="4" xfId="0" applyNumberFormat="1" applyFont="1" applyBorder="1" applyAlignment="1">
      <alignment horizontal="center"/>
    </xf>
    <xf numFmtId="3" fontId="37" fillId="0" borderId="2" xfId="0" applyNumberFormat="1" applyFont="1" applyBorder="1" applyAlignment="1">
      <alignment horizontal="center"/>
    </xf>
    <xf numFmtId="3" fontId="37" fillId="0" borderId="4" xfId="0" applyNumberFormat="1" applyFont="1" applyBorder="1" applyAlignment="1">
      <alignment horizontal="center"/>
    </xf>
    <xf numFmtId="3" fontId="38" fillId="0" borderId="2" xfId="0" applyNumberFormat="1" applyFont="1" applyBorder="1" applyAlignment="1">
      <alignment horizontal="center"/>
    </xf>
    <xf numFmtId="3" fontId="38" fillId="0" borderId="4" xfId="0" applyNumberFormat="1" applyFont="1" applyBorder="1" applyAlignment="1">
      <alignment horizontal="center"/>
    </xf>
    <xf numFmtId="3" fontId="38" fillId="0" borderId="10" xfId="0" applyNumberFormat="1" applyFont="1" applyBorder="1" applyAlignment="1">
      <alignment horizontal="center"/>
    </xf>
    <xf numFmtId="3" fontId="38" fillId="0" borderId="3" xfId="0" applyNumberFormat="1" applyFont="1" applyBorder="1" applyAlignment="1">
      <alignment horizontal="center"/>
    </xf>
    <xf numFmtId="3" fontId="17" fillId="0" borderId="3" xfId="1" applyNumberFormat="1" applyFont="1" applyBorder="1" applyAlignment="1">
      <alignment horizontal="center"/>
    </xf>
    <xf numFmtId="0" fontId="17" fillId="0" borderId="0" xfId="0" applyFont="1"/>
    <xf numFmtId="0" fontId="16" fillId="0" borderId="2" xfId="0" applyFont="1" applyBorder="1" applyAlignment="1">
      <alignment horizontal="center" vertical="top" wrapText="1"/>
    </xf>
    <xf numFmtId="0" fontId="17" fillId="0" borderId="2" xfId="0" applyFont="1" applyBorder="1"/>
    <xf numFmtId="0" fontId="16" fillId="0" borderId="2" xfId="0" applyFont="1" applyBorder="1"/>
    <xf numFmtId="0" fontId="17" fillId="0" borderId="15" xfId="0" applyFont="1" applyBorder="1" applyAlignment="1">
      <alignment horizontal="center" vertical="center" wrapText="1"/>
    </xf>
    <xf numFmtId="2" fontId="0" fillId="0" borderId="0" xfId="0" applyNumberFormat="1"/>
    <xf numFmtId="165" fontId="40" fillId="0" borderId="2" xfId="0" applyNumberFormat="1" applyFont="1" applyBorder="1" applyAlignment="1">
      <alignment horizontal="center" wrapText="1"/>
    </xf>
    <xf numFmtId="167" fontId="38" fillId="0" borderId="2" xfId="0" applyNumberFormat="1" applyFont="1" applyBorder="1" applyAlignment="1">
      <alignment horizontal="center"/>
    </xf>
    <xf numFmtId="167" fontId="17" fillId="0" borderId="2" xfId="0" applyNumberFormat="1" applyFont="1" applyBorder="1" applyAlignment="1">
      <alignment horizontal="center"/>
    </xf>
    <xf numFmtId="1" fontId="0" fillId="0" borderId="0" xfId="0" applyNumberFormat="1"/>
    <xf numFmtId="165" fontId="40" fillId="0" borderId="2" xfId="0" applyNumberFormat="1" applyFont="1" applyBorder="1" applyAlignment="1">
      <alignment horizontal="center" vertical="center"/>
    </xf>
    <xf numFmtId="0" fontId="19" fillId="3" borderId="37" xfId="0" applyFont="1" applyFill="1" applyBorder="1" applyAlignment="1">
      <alignment horizontal="center" vertical="center" wrapText="1"/>
    </xf>
    <xf numFmtId="166" fontId="18" fillId="3" borderId="38" xfId="0" applyNumberFormat="1" applyFont="1" applyFill="1" applyBorder="1" applyAlignment="1">
      <alignment horizontal="center" vertical="center" wrapText="1"/>
    </xf>
    <xf numFmtId="166" fontId="18" fillId="3" borderId="10" xfId="0" applyNumberFormat="1" applyFont="1" applyFill="1" applyBorder="1" applyAlignment="1">
      <alignment horizontal="center" vertical="center" wrapText="1"/>
    </xf>
    <xf numFmtId="166" fontId="18" fillId="3" borderId="26" xfId="0" applyNumberFormat="1" applyFont="1" applyFill="1" applyBorder="1" applyAlignment="1">
      <alignment horizontal="center" vertical="center" wrapText="1"/>
    </xf>
    <xf numFmtId="166" fontId="22" fillId="3" borderId="10" xfId="0" applyNumberFormat="1" applyFont="1" applyFill="1" applyBorder="1" applyAlignment="1">
      <alignment horizontal="center" vertical="center" wrapText="1"/>
    </xf>
    <xf numFmtId="166" fontId="18" fillId="3" borderId="39" xfId="0" applyNumberFormat="1" applyFont="1" applyFill="1" applyBorder="1" applyAlignment="1">
      <alignment horizontal="center" vertical="center" wrapText="1"/>
    </xf>
    <xf numFmtId="166" fontId="21" fillId="3" borderId="10" xfId="0" applyNumberFormat="1" applyFont="1" applyFill="1" applyBorder="1" applyAlignment="1">
      <alignment horizontal="center" vertical="center" wrapText="1"/>
    </xf>
    <xf numFmtId="0" fontId="19" fillId="3" borderId="17" xfId="0" applyFont="1" applyFill="1" applyBorder="1" applyAlignment="1">
      <alignment horizontal="left" vertical="center" wrapText="1"/>
    </xf>
    <xf numFmtId="0" fontId="41" fillId="0" borderId="0" xfId="408"/>
    <xf numFmtId="0" fontId="41" fillId="0" borderId="0" xfId="408" applyAlignment="1">
      <alignment horizontal="center"/>
    </xf>
    <xf numFmtId="1" fontId="43" fillId="0" borderId="0" xfId="408" applyNumberFormat="1" applyFont="1"/>
    <xf numFmtId="2" fontId="42" fillId="0" borderId="0" xfId="408" applyNumberFormat="1" applyFont="1"/>
    <xf numFmtId="1" fontId="42" fillId="0" borderId="0" xfId="408" applyNumberFormat="1" applyFont="1"/>
    <xf numFmtId="0" fontId="41" fillId="7" borderId="0" xfId="408" applyFill="1" applyAlignment="1">
      <alignment horizontal="center"/>
    </xf>
    <xf numFmtId="1" fontId="41" fillId="0" borderId="0" xfId="408" applyNumberFormat="1"/>
    <xf numFmtId="0" fontId="44" fillId="0" borderId="0" xfId="408" applyFont="1"/>
    <xf numFmtId="0" fontId="44" fillId="0" borderId="48" xfId="408" applyFont="1" applyBorder="1" applyAlignment="1">
      <alignment horizontal="center"/>
    </xf>
    <xf numFmtId="0" fontId="45" fillId="0" borderId="48" xfId="408" applyFont="1" applyBorder="1" applyAlignment="1">
      <alignment horizontal="center"/>
    </xf>
    <xf numFmtId="0" fontId="20" fillId="0" borderId="52" xfId="408" applyFont="1" applyBorder="1" applyAlignment="1">
      <alignment horizontal="left" vertical="center" wrapText="1"/>
    </xf>
    <xf numFmtId="2" fontId="5" fillId="0" borderId="18" xfId="0" applyNumberFormat="1" applyFont="1" applyBorder="1" applyAlignment="1">
      <alignment horizontal="center" vertical="center"/>
    </xf>
    <xf numFmtId="168" fontId="38" fillId="0" borderId="2" xfId="0" applyNumberFormat="1" applyFont="1" applyBorder="1" applyAlignment="1">
      <alignment horizontal="center"/>
    </xf>
    <xf numFmtId="166" fontId="18" fillId="3" borderId="16" xfId="0" applyNumberFormat="1" applyFont="1" applyFill="1" applyBorder="1" applyAlignment="1">
      <alignment horizontal="center" vertical="center" wrapText="1"/>
    </xf>
    <xf numFmtId="166" fontId="18" fillId="3" borderId="14" xfId="0" applyNumberFormat="1" applyFont="1" applyFill="1" applyBorder="1" applyAlignment="1">
      <alignment horizontal="center" vertical="center" wrapText="1"/>
    </xf>
    <xf numFmtId="0" fontId="25" fillId="0" borderId="7" xfId="0" applyFont="1" applyBorder="1" applyAlignment="1">
      <alignment wrapText="1"/>
    </xf>
    <xf numFmtId="168" fontId="38" fillId="12" borderId="2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19" fillId="7" borderId="43" xfId="0" applyFont="1" applyFill="1" applyBorder="1" applyAlignment="1">
      <alignment horizontal="center" vertical="center" wrapText="1"/>
    </xf>
    <xf numFmtId="0" fontId="19" fillId="7" borderId="44" xfId="0" applyFont="1" applyFill="1" applyBorder="1" applyAlignment="1">
      <alignment horizontal="center" vertical="center" wrapText="1"/>
    </xf>
    <xf numFmtId="167" fontId="19" fillId="7" borderId="45" xfId="0" applyNumberFormat="1" applyFont="1" applyFill="1" applyBorder="1" applyAlignment="1">
      <alignment horizontal="center" vertical="center" wrapText="1"/>
    </xf>
    <xf numFmtId="0" fontId="19" fillId="7" borderId="45" xfId="0" applyFont="1" applyFill="1" applyBorder="1" applyAlignment="1">
      <alignment horizontal="center" vertical="center" wrapText="1"/>
    </xf>
    <xf numFmtId="0" fontId="19" fillId="7" borderId="46" xfId="0" applyFont="1" applyFill="1" applyBorder="1" applyAlignment="1">
      <alignment horizontal="left" vertical="center" wrapText="1"/>
    </xf>
    <xf numFmtId="0" fontId="25" fillId="0" borderId="0" xfId="0" applyFont="1" applyAlignment="1">
      <alignment horizontal="center" vertical="center" wrapText="1"/>
    </xf>
    <xf numFmtId="0" fontId="25" fillId="8" borderId="47" xfId="0" applyFont="1" applyFill="1" applyBorder="1" applyAlignment="1">
      <alignment horizontal="center" vertical="center" wrapText="1"/>
    </xf>
    <xf numFmtId="0" fontId="18" fillId="8" borderId="48" xfId="0" applyFont="1" applyFill="1" applyBorder="1" applyAlignment="1">
      <alignment horizontal="center" vertical="center" wrapText="1"/>
    </xf>
    <xf numFmtId="0" fontId="18" fillId="7" borderId="48" xfId="0" applyFont="1" applyFill="1" applyBorder="1" applyAlignment="1">
      <alignment horizontal="center" vertical="center" wrapText="1"/>
    </xf>
    <xf numFmtId="1" fontId="18" fillId="7" borderId="48" xfId="0" applyNumberFormat="1" applyFont="1" applyFill="1" applyBorder="1" applyAlignment="1">
      <alignment horizontal="center" vertical="center" wrapText="1"/>
    </xf>
    <xf numFmtId="167" fontId="18" fillId="7" borderId="48" xfId="0" applyNumberFormat="1" applyFont="1" applyFill="1" applyBorder="1" applyAlignment="1">
      <alignment horizontal="center" vertical="center" wrapText="1"/>
    </xf>
    <xf numFmtId="0" fontId="18" fillId="0" borderId="49" xfId="0" applyFont="1" applyBorder="1" applyAlignment="1">
      <alignment wrapText="1"/>
    </xf>
    <xf numFmtId="0" fontId="25" fillId="8" borderId="50" xfId="0" applyFont="1" applyFill="1" applyBorder="1" applyAlignment="1">
      <alignment horizontal="center" vertical="center" wrapText="1"/>
    </xf>
    <xf numFmtId="0" fontId="18" fillId="8" borderId="51" xfId="0" applyFont="1" applyFill="1" applyBorder="1" applyAlignment="1">
      <alignment horizontal="center" vertical="center" wrapText="1"/>
    </xf>
    <xf numFmtId="0" fontId="18" fillId="7" borderId="51" xfId="0" applyFont="1" applyFill="1" applyBorder="1" applyAlignment="1">
      <alignment horizontal="center" vertical="center" wrapText="1"/>
    </xf>
    <xf numFmtId="1" fontId="18" fillId="7" borderId="51" xfId="0" applyNumberFormat="1" applyFont="1" applyFill="1" applyBorder="1" applyAlignment="1">
      <alignment horizontal="center" vertical="center" wrapText="1"/>
    </xf>
    <xf numFmtId="167" fontId="18" fillId="7" borderId="51" xfId="0" applyNumberFormat="1" applyFont="1" applyFill="1" applyBorder="1" applyAlignment="1">
      <alignment horizontal="center" vertical="center" wrapText="1"/>
    </xf>
    <xf numFmtId="0" fontId="25" fillId="0" borderId="52" xfId="0" applyFont="1" applyBorder="1" applyAlignment="1">
      <alignment wrapText="1"/>
    </xf>
    <xf numFmtId="1" fontId="20" fillId="7" borderId="51" xfId="0" applyNumberFormat="1" applyFont="1" applyFill="1" applyBorder="1" applyAlignment="1">
      <alignment horizontal="center" vertical="center" wrapText="1"/>
    </xf>
    <xf numFmtId="0" fontId="25" fillId="8" borderId="53" xfId="0" applyFont="1" applyFill="1" applyBorder="1" applyAlignment="1">
      <alignment horizontal="center" vertical="center" wrapText="1"/>
    </xf>
    <xf numFmtId="0" fontId="18" fillId="8" borderId="54" xfId="0" applyFont="1" applyFill="1" applyBorder="1" applyAlignment="1">
      <alignment horizontal="center" vertical="center" wrapText="1"/>
    </xf>
    <xf numFmtId="0" fontId="18" fillId="7" borderId="54" xfId="0" applyFont="1" applyFill="1" applyBorder="1" applyAlignment="1">
      <alignment horizontal="center" vertical="center" wrapText="1"/>
    </xf>
    <xf numFmtId="1" fontId="18" fillId="7" borderId="54" xfId="0" applyNumberFormat="1" applyFont="1" applyFill="1" applyBorder="1" applyAlignment="1">
      <alignment horizontal="center" vertical="center" wrapText="1"/>
    </xf>
    <xf numFmtId="167" fontId="18" fillId="7" borderId="54" xfId="0" applyNumberFormat="1" applyFont="1" applyFill="1" applyBorder="1" applyAlignment="1">
      <alignment horizontal="center" vertical="center" wrapText="1"/>
    </xf>
    <xf numFmtId="0" fontId="25" fillId="0" borderId="55" xfId="0" applyFont="1" applyBorder="1" applyAlignment="1">
      <alignment wrapText="1"/>
    </xf>
    <xf numFmtId="0" fontId="26" fillId="7" borderId="0" xfId="0" applyFont="1" applyFill="1" applyAlignment="1">
      <alignment vertical="center" wrapText="1"/>
    </xf>
    <xf numFmtId="0" fontId="26" fillId="7" borderId="0" xfId="0" applyFont="1" applyFill="1" applyAlignment="1">
      <alignment horizontal="center" vertical="center" wrapText="1"/>
    </xf>
    <xf numFmtId="1" fontId="19" fillId="9" borderId="56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/>
    </xf>
    <xf numFmtId="1" fontId="19" fillId="10" borderId="56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8" borderId="50" xfId="0" applyFont="1" applyFill="1" applyBorder="1" applyAlignment="1">
      <alignment horizontal="center" vertical="center" wrapText="1"/>
    </xf>
    <xf numFmtId="168" fontId="18" fillId="7" borderId="48" xfId="0" applyNumberFormat="1" applyFont="1" applyFill="1" applyBorder="1" applyAlignment="1">
      <alignment horizontal="center" vertical="center" wrapText="1"/>
    </xf>
    <xf numFmtId="0" fontId="25" fillId="0" borderId="52" xfId="0" applyFont="1" applyBorder="1" applyAlignment="1">
      <alignment horizontal="left" vertical="center" wrapText="1"/>
    </xf>
    <xf numFmtId="0" fontId="18" fillId="8" borderId="53" xfId="0" applyFont="1" applyFill="1" applyBorder="1" applyAlignment="1">
      <alignment horizontal="center" vertical="center" wrapText="1"/>
    </xf>
    <xf numFmtId="166" fontId="18" fillId="7" borderId="57" xfId="0" applyNumberFormat="1" applyFont="1" applyFill="1" applyBorder="1" applyAlignment="1">
      <alignment horizontal="center" vertical="center" wrapText="1"/>
    </xf>
    <xf numFmtId="0" fontId="18" fillId="11" borderId="47" xfId="0" applyFont="1" applyFill="1" applyBorder="1" applyAlignment="1">
      <alignment vertical="center" wrapText="1"/>
    </xf>
    <xf numFmtId="0" fontId="18" fillId="11" borderId="50" xfId="0" applyFont="1" applyFill="1" applyBorder="1" applyAlignment="1">
      <alignment vertical="center" wrapText="1"/>
    </xf>
    <xf numFmtId="0" fontId="18" fillId="7" borderId="0" xfId="0" applyFont="1" applyFill="1" applyAlignment="1">
      <alignment horizontal="center" vertical="center" wrapText="1"/>
    </xf>
    <xf numFmtId="0" fontId="21" fillId="11" borderId="50" xfId="0" applyFont="1" applyFill="1" applyBorder="1" applyAlignment="1">
      <alignment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7" borderId="51" xfId="0" applyFont="1" applyFill="1" applyBorder="1" applyAlignment="1">
      <alignment horizontal="center" vertical="center" wrapText="1"/>
    </xf>
    <xf numFmtId="1" fontId="21" fillId="7" borderId="51" xfId="0" applyNumberFormat="1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18" fillId="11" borderId="53" xfId="0" applyFont="1" applyFill="1" applyBorder="1" applyAlignment="1">
      <alignment vertical="center" wrapText="1"/>
    </xf>
    <xf numFmtId="1" fontId="19" fillId="9" borderId="58" xfId="0" applyNumberFormat="1" applyFont="1" applyFill="1" applyBorder="1" applyAlignment="1">
      <alignment horizontal="center" vertical="center" wrapText="1"/>
    </xf>
    <xf numFmtId="0" fontId="25" fillId="7" borderId="0" xfId="0" applyFont="1" applyFill="1" applyAlignment="1">
      <alignment horizontal="center"/>
    </xf>
    <xf numFmtId="0" fontId="19" fillId="7" borderId="46" xfId="0" applyFont="1" applyFill="1" applyBorder="1" applyAlignment="1">
      <alignment horizontal="center" vertical="center" wrapText="1"/>
    </xf>
    <xf numFmtId="0" fontId="18" fillId="11" borderId="47" xfId="0" applyFont="1" applyFill="1" applyBorder="1" applyAlignment="1">
      <alignment horizontal="center" vertical="center" wrapText="1"/>
    </xf>
    <xf numFmtId="0" fontId="22" fillId="8" borderId="48" xfId="0" applyFont="1" applyFill="1" applyBorder="1" applyAlignment="1">
      <alignment horizontal="center" vertical="center" wrapText="1"/>
    </xf>
    <xf numFmtId="0" fontId="18" fillId="11" borderId="50" xfId="0" applyFont="1" applyFill="1" applyBorder="1" applyAlignment="1">
      <alignment horizontal="center" vertical="center" wrapText="1"/>
    </xf>
    <xf numFmtId="0" fontId="22" fillId="8" borderId="51" xfId="0" applyFont="1" applyFill="1" applyBorder="1" applyAlignment="1">
      <alignment horizontal="center" vertical="center" wrapText="1"/>
    </xf>
    <xf numFmtId="0" fontId="25" fillId="0" borderId="49" xfId="0" applyFont="1" applyBorder="1" applyAlignment="1">
      <alignment wrapText="1"/>
    </xf>
    <xf numFmtId="0" fontId="18" fillId="11" borderId="53" xfId="0" applyFont="1" applyFill="1" applyBorder="1" applyAlignment="1">
      <alignment horizontal="center" vertical="center" wrapText="1"/>
    </xf>
    <xf numFmtId="0" fontId="22" fillId="8" borderId="54" xfId="0" applyFont="1" applyFill="1" applyBorder="1" applyAlignment="1">
      <alignment horizontal="center" vertical="center" wrapText="1"/>
    </xf>
    <xf numFmtId="166" fontId="18" fillId="7" borderId="54" xfId="0" applyNumberFormat="1" applyFont="1" applyFill="1" applyBorder="1" applyAlignment="1">
      <alignment horizontal="left" vertical="center" wrapText="1"/>
    </xf>
    <xf numFmtId="0" fontId="19" fillId="9" borderId="58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1" fillId="0" borderId="52" xfId="0" applyFont="1" applyBorder="1" applyAlignment="1">
      <alignment wrapText="1"/>
    </xf>
    <xf numFmtId="0" fontId="18" fillId="0" borderId="52" xfId="0" applyFont="1" applyBorder="1" applyAlignment="1">
      <alignment wrapText="1"/>
    </xf>
    <xf numFmtId="3" fontId="48" fillId="0" borderId="4" xfId="0" applyNumberFormat="1" applyFont="1" applyBorder="1" applyAlignment="1">
      <alignment horizontal="center"/>
    </xf>
    <xf numFmtId="3" fontId="48" fillId="0" borderId="3" xfId="0" applyNumberFormat="1" applyFont="1" applyBorder="1" applyAlignment="1">
      <alignment horizontal="center"/>
    </xf>
    <xf numFmtId="168" fontId="48" fillId="0" borderId="2" xfId="0" applyNumberFormat="1" applyFont="1" applyBorder="1" applyAlignment="1">
      <alignment horizontal="center"/>
    </xf>
    <xf numFmtId="0" fontId="16" fillId="0" borderId="0" xfId="0" applyFont="1"/>
    <xf numFmtId="167" fontId="17" fillId="0" borderId="0" xfId="0" applyNumberFormat="1" applyFont="1" applyAlignment="1">
      <alignment horizontal="center"/>
    </xf>
    <xf numFmtId="168" fontId="38" fillId="0" borderId="0" xfId="0" applyNumberFormat="1" applyFont="1" applyAlignment="1">
      <alignment horizontal="center"/>
    </xf>
    <xf numFmtId="168" fontId="48" fillId="0" borderId="0" xfId="0" applyNumberFormat="1" applyFont="1" applyAlignment="1">
      <alignment horizontal="center"/>
    </xf>
    <xf numFmtId="168" fontId="38" fillId="12" borderId="0" xfId="0" applyNumberFormat="1" applyFont="1" applyFill="1" applyAlignment="1">
      <alignment horizontal="center"/>
    </xf>
    <xf numFmtId="0" fontId="49" fillId="0" borderId="13" xfId="0" applyFont="1" applyBorder="1" applyAlignment="1">
      <alignment horizontal="center" vertical="center" wrapText="1"/>
    </xf>
    <xf numFmtId="0" fontId="49" fillId="0" borderId="14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2" fontId="50" fillId="0" borderId="2" xfId="0" applyNumberFormat="1" applyFont="1" applyBorder="1" applyAlignment="1">
      <alignment horizontal="center" vertical="center" wrapText="1"/>
    </xf>
    <xf numFmtId="0" fontId="49" fillId="0" borderId="5" xfId="0" applyFont="1" applyBorder="1" applyAlignment="1">
      <alignment horizontal="center" vertical="center" wrapText="1"/>
    </xf>
    <xf numFmtId="2" fontId="50" fillId="0" borderId="6" xfId="0" applyNumberFormat="1" applyFont="1" applyBorder="1" applyAlignment="1">
      <alignment horizontal="center" vertical="center" wrapText="1"/>
    </xf>
    <xf numFmtId="0" fontId="20" fillId="11" borderId="50" xfId="0" applyFont="1" applyFill="1" applyBorder="1" applyAlignment="1">
      <alignment vertical="center" wrapText="1"/>
    </xf>
    <xf numFmtId="0" fontId="20" fillId="8" borderId="51" xfId="0" applyFont="1" applyFill="1" applyBorder="1" applyAlignment="1">
      <alignment horizontal="center" vertical="center" wrapText="1"/>
    </xf>
    <xf numFmtId="0" fontId="20" fillId="7" borderId="51" xfId="0" applyFont="1" applyFill="1" applyBorder="1" applyAlignment="1">
      <alignment horizontal="center" vertical="center" wrapText="1"/>
    </xf>
    <xf numFmtId="0" fontId="20" fillId="0" borderId="52" xfId="0" applyFont="1" applyBorder="1" applyAlignment="1">
      <alignment wrapText="1"/>
    </xf>
    <xf numFmtId="0" fontId="21" fillId="11" borderId="53" xfId="0" applyFont="1" applyFill="1" applyBorder="1" applyAlignment="1">
      <alignment vertical="center" wrapText="1"/>
    </xf>
    <xf numFmtId="0" fontId="21" fillId="8" borderId="54" xfId="0" applyFont="1" applyFill="1" applyBorder="1" applyAlignment="1">
      <alignment horizontal="center" vertical="center" wrapText="1"/>
    </xf>
    <xf numFmtId="0" fontId="21" fillId="7" borderId="54" xfId="0" applyFont="1" applyFill="1" applyBorder="1" applyAlignment="1">
      <alignment horizontal="center" vertical="center" wrapText="1"/>
    </xf>
    <xf numFmtId="1" fontId="21" fillId="7" borderId="54" xfId="0" applyNumberFormat="1" applyFont="1" applyFill="1" applyBorder="1" applyAlignment="1">
      <alignment horizontal="center" vertical="center" wrapText="1"/>
    </xf>
    <xf numFmtId="0" fontId="21" fillId="0" borderId="55" xfId="0" applyFont="1" applyBorder="1" applyAlignment="1">
      <alignment wrapText="1"/>
    </xf>
    <xf numFmtId="0" fontId="20" fillId="0" borderId="0" xfId="0" applyFont="1" applyAlignment="1">
      <alignment horizontal="center" vertical="center" wrapText="1"/>
    </xf>
    <xf numFmtId="0" fontId="20" fillId="8" borderId="50" xfId="0" applyFont="1" applyFill="1" applyBorder="1" applyAlignment="1">
      <alignment horizontal="center" vertical="center" wrapText="1"/>
    </xf>
    <xf numFmtId="0" fontId="47" fillId="0" borderId="0" xfId="0" applyFont="1"/>
    <xf numFmtId="0" fontId="21" fillId="0" borderId="0" xfId="0" applyFont="1" applyAlignment="1">
      <alignment horizontal="center" vertical="center" wrapText="1"/>
    </xf>
    <xf numFmtId="0" fontId="54" fillId="0" borderId="0" xfId="0" applyFont="1"/>
    <xf numFmtId="4" fontId="38" fillId="0" borderId="2" xfId="0" applyNumberFormat="1" applyFont="1" applyBorder="1" applyAlignment="1">
      <alignment horizontal="center"/>
    </xf>
    <xf numFmtId="4" fontId="38" fillId="13" borderId="2" xfId="0" applyNumberFormat="1" applyFont="1" applyFill="1" applyBorder="1" applyAlignment="1">
      <alignment horizontal="center"/>
    </xf>
    <xf numFmtId="4" fontId="17" fillId="0" borderId="2" xfId="0" applyNumberFormat="1" applyFont="1" applyBorder="1" applyAlignment="1">
      <alignment horizontal="center"/>
    </xf>
    <xf numFmtId="4" fontId="17" fillId="13" borderId="2" xfId="0" applyNumberFormat="1" applyFont="1" applyFill="1" applyBorder="1" applyAlignment="1">
      <alignment horizontal="center"/>
    </xf>
    <xf numFmtId="2" fontId="10" fillId="0" borderId="0" xfId="0" applyNumberFormat="1" applyFont="1"/>
    <xf numFmtId="4" fontId="38" fillId="12" borderId="2" xfId="0" applyNumberFormat="1" applyFont="1" applyFill="1" applyBorder="1" applyAlignment="1">
      <alignment horizontal="center"/>
    </xf>
    <xf numFmtId="4" fontId="17" fillId="12" borderId="2" xfId="0" applyNumberFormat="1" applyFont="1" applyFill="1" applyBorder="1" applyAlignment="1">
      <alignment horizontal="center"/>
    </xf>
    <xf numFmtId="0" fontId="17" fillId="0" borderId="22" xfId="0" applyFont="1" applyBorder="1" applyAlignment="1">
      <alignment vertical="center" wrapText="1"/>
    </xf>
    <xf numFmtId="3" fontId="38" fillId="0" borderId="24" xfId="0" applyNumberFormat="1" applyFont="1" applyBorder="1" applyAlignment="1">
      <alignment horizontal="center"/>
    </xf>
    <xf numFmtId="3" fontId="17" fillId="0" borderId="24" xfId="0" applyNumberFormat="1" applyFont="1" applyBorder="1" applyAlignment="1">
      <alignment horizontal="center"/>
    </xf>
    <xf numFmtId="2" fontId="55" fillId="0" borderId="2" xfId="0" applyNumberFormat="1" applyFont="1" applyBorder="1" applyAlignment="1">
      <alignment horizontal="center" vertical="center" wrapText="1"/>
    </xf>
    <xf numFmtId="1" fontId="21" fillId="7" borderId="48" xfId="0" applyNumberFormat="1" applyFont="1" applyFill="1" applyBorder="1" applyAlignment="1">
      <alignment horizontal="center" vertical="center" wrapText="1"/>
    </xf>
    <xf numFmtId="0" fontId="56" fillId="0" borderId="0" xfId="0" applyFont="1"/>
    <xf numFmtId="0" fontId="21" fillId="0" borderId="49" xfId="0" applyFont="1" applyBorder="1" applyAlignment="1">
      <alignment wrapText="1"/>
    </xf>
    <xf numFmtId="167" fontId="21" fillId="7" borderId="51" xfId="0" applyNumberFormat="1" applyFont="1" applyFill="1" applyBorder="1" applyAlignment="1">
      <alignment horizontal="center" vertical="center" wrapText="1"/>
    </xf>
    <xf numFmtId="0" fontId="21" fillId="8" borderId="47" xfId="0" applyFont="1" applyFill="1" applyBorder="1" applyAlignment="1">
      <alignment horizontal="center" vertical="center" wrapText="1"/>
    </xf>
    <xf numFmtId="0" fontId="21" fillId="8" borderId="48" xfId="0" applyFont="1" applyFill="1" applyBorder="1" applyAlignment="1">
      <alignment horizontal="center" vertical="center" wrapText="1"/>
    </xf>
    <xf numFmtId="0" fontId="21" fillId="7" borderId="48" xfId="0" applyFont="1" applyFill="1" applyBorder="1" applyAlignment="1">
      <alignment horizontal="center" vertical="center" wrapText="1"/>
    </xf>
    <xf numFmtId="167" fontId="21" fillId="7" borderId="48" xfId="0" applyNumberFormat="1" applyFont="1" applyFill="1" applyBorder="1" applyAlignment="1">
      <alignment horizontal="center" vertical="center" wrapText="1"/>
    </xf>
    <xf numFmtId="168" fontId="21" fillId="7" borderId="48" xfId="0" applyNumberFormat="1" applyFont="1" applyFill="1" applyBorder="1" applyAlignment="1">
      <alignment horizontal="center" vertical="center" wrapText="1"/>
    </xf>
    <xf numFmtId="0" fontId="21" fillId="0" borderId="52" xfId="0" applyFont="1" applyBorder="1" applyAlignment="1">
      <alignment horizontal="left" vertical="center" wrapText="1"/>
    </xf>
    <xf numFmtId="0" fontId="21" fillId="11" borderId="47" xfId="0" applyFont="1" applyFill="1" applyBorder="1" applyAlignment="1">
      <alignment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20" fillId="0" borderId="52" xfId="0" applyFont="1" applyBorder="1" applyAlignment="1">
      <alignment horizontal="left" vertical="center" wrapText="1"/>
    </xf>
    <xf numFmtId="2" fontId="56" fillId="0" borderId="0" xfId="0" applyNumberFormat="1" applyFont="1"/>
    <xf numFmtId="164" fontId="0" fillId="0" borderId="0" xfId="1" applyFont="1" applyAlignment="1"/>
    <xf numFmtId="167" fontId="20" fillId="7" borderId="51" xfId="0" applyNumberFormat="1" applyFont="1" applyFill="1" applyBorder="1" applyAlignment="1">
      <alignment horizontal="center" vertical="center" wrapText="1"/>
    </xf>
    <xf numFmtId="0" fontId="20" fillId="0" borderId="49" xfId="0" applyFont="1" applyBorder="1" applyAlignment="1">
      <alignment wrapText="1"/>
    </xf>
    <xf numFmtId="1" fontId="20" fillId="7" borderId="48" xfId="0" applyNumberFormat="1" applyFont="1" applyFill="1" applyBorder="1" applyAlignment="1">
      <alignment horizontal="center" vertical="center" wrapText="1"/>
    </xf>
    <xf numFmtId="168" fontId="20" fillId="7" borderId="48" xfId="0" applyNumberFormat="1" applyFont="1" applyFill="1" applyBorder="1" applyAlignment="1">
      <alignment horizontal="center" vertical="center" wrapText="1"/>
    </xf>
    <xf numFmtId="3" fontId="17" fillId="0" borderId="0" xfId="0" applyNumberFormat="1" applyFont="1" applyAlignment="1">
      <alignment horizontal="center"/>
    </xf>
    <xf numFmtId="3" fontId="38" fillId="0" borderId="0" xfId="0" applyNumberFormat="1" applyFont="1" applyAlignment="1">
      <alignment horizontal="center"/>
    </xf>
    <xf numFmtId="3" fontId="48" fillId="0" borderId="0" xfId="0" applyNumberFormat="1" applyFont="1" applyAlignment="1">
      <alignment horizontal="center"/>
    </xf>
    <xf numFmtId="4" fontId="48" fillId="13" borderId="2" xfId="0" applyNumberFormat="1" applyFont="1" applyFill="1" applyBorder="1" applyAlignment="1">
      <alignment horizontal="center"/>
    </xf>
    <xf numFmtId="3" fontId="48" fillId="0" borderId="2" xfId="0" applyNumberFormat="1" applyFont="1" applyBorder="1" applyAlignment="1">
      <alignment horizontal="center"/>
    </xf>
    <xf numFmtId="1" fontId="25" fillId="7" borderId="51" xfId="0" applyNumberFormat="1" applyFont="1" applyFill="1" applyBorder="1" applyAlignment="1">
      <alignment horizontal="center" vertical="center" wrapText="1"/>
    </xf>
    <xf numFmtId="0" fontId="58" fillId="0" borderId="0" xfId="0" applyFont="1"/>
    <xf numFmtId="0" fontId="58" fillId="0" borderId="61" xfId="0" applyFont="1" applyBorder="1" applyAlignment="1">
      <alignment horizontal="center"/>
    </xf>
    <xf numFmtId="0" fontId="58" fillId="0" borderId="61" xfId="0" applyFont="1" applyBorder="1" applyAlignment="1">
      <alignment horizontal="center" wrapText="1"/>
    </xf>
    <xf numFmtId="0" fontId="58" fillId="0" borderId="63" xfId="0" applyFont="1" applyBorder="1" applyAlignment="1">
      <alignment horizontal="center"/>
    </xf>
    <xf numFmtId="14" fontId="58" fillId="0" borderId="63" xfId="0" applyNumberFormat="1" applyFont="1" applyBorder="1" applyAlignment="1">
      <alignment horizontal="center"/>
    </xf>
    <xf numFmtId="0" fontId="58" fillId="0" borderId="48" xfId="0" applyFont="1" applyBorder="1" applyAlignment="1">
      <alignment horizontal="center"/>
    </xf>
    <xf numFmtId="171" fontId="58" fillId="0" borderId="63" xfId="0" applyNumberFormat="1" applyFont="1" applyBorder="1" applyAlignment="1">
      <alignment horizontal="center"/>
    </xf>
    <xf numFmtId="0" fontId="25" fillId="0" borderId="52" xfId="0" applyFont="1" applyBorder="1"/>
    <xf numFmtId="0" fontId="20" fillId="0" borderId="52" xfId="0" applyFont="1" applyBorder="1"/>
    <xf numFmtId="0" fontId="18" fillId="0" borderId="52" xfId="0" applyFont="1" applyBorder="1"/>
    <xf numFmtId="1" fontId="18" fillId="7" borderId="48" xfId="0" applyNumberFormat="1" applyFont="1" applyFill="1" applyBorder="1" applyAlignment="1">
      <alignment horizontal="center" vertical="center"/>
    </xf>
    <xf numFmtId="1" fontId="20" fillId="7" borderId="48" xfId="0" applyNumberFormat="1" applyFont="1" applyFill="1" applyBorder="1" applyAlignment="1">
      <alignment horizontal="center"/>
    </xf>
    <xf numFmtId="1" fontId="21" fillId="7" borderId="48" xfId="0" applyNumberFormat="1" applyFont="1" applyFill="1" applyBorder="1" applyAlignment="1">
      <alignment horizontal="center"/>
    </xf>
    <xf numFmtId="1" fontId="18" fillId="7" borderId="48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25" fillId="7" borderId="0" xfId="0" applyFont="1" applyFill="1" applyAlignment="1">
      <alignment horizontal="center" vertical="center"/>
    </xf>
    <xf numFmtId="0" fontId="57" fillId="0" borderId="0" xfId="0" applyFont="1" applyAlignment="1">
      <alignment vertical="center"/>
    </xf>
    <xf numFmtId="0" fontId="0" fillId="7" borderId="0" xfId="0" applyFill="1" applyAlignment="1">
      <alignment horizontal="center" vertical="center"/>
    </xf>
    <xf numFmtId="1" fontId="56" fillId="0" borderId="0" xfId="0" applyNumberFormat="1" applyFont="1" applyAlignment="1">
      <alignment horizontal="center"/>
    </xf>
    <xf numFmtId="164" fontId="25" fillId="0" borderId="52" xfId="1" applyFont="1" applyBorder="1"/>
    <xf numFmtId="164" fontId="20" fillId="0" borderId="52" xfId="1" applyFont="1" applyBorder="1"/>
    <xf numFmtId="0" fontId="59" fillId="0" borderId="52" xfId="0" applyFont="1" applyBorder="1" applyAlignment="1">
      <alignment wrapText="1"/>
    </xf>
    <xf numFmtId="2" fontId="5" fillId="0" borderId="0" xfId="0" applyNumberFormat="1" applyFont="1" applyAlignment="1">
      <alignment horizontal="center" vertical="center"/>
    </xf>
    <xf numFmtId="1" fontId="18" fillId="7" borderId="64" xfId="0" applyNumberFormat="1" applyFont="1" applyFill="1" applyBorder="1" applyAlignment="1">
      <alignment horizontal="center" vertical="center" wrapText="1"/>
    </xf>
    <xf numFmtId="0" fontId="21" fillId="14" borderId="47" xfId="0" applyFont="1" applyFill="1" applyBorder="1" applyAlignment="1">
      <alignment horizontal="center" vertical="center" wrapText="1"/>
    </xf>
    <xf numFmtId="0" fontId="21" fillId="14" borderId="50" xfId="0" applyFont="1" applyFill="1" applyBorder="1" applyAlignment="1">
      <alignment horizontal="center" vertical="center" wrapText="1"/>
    </xf>
    <xf numFmtId="0" fontId="25" fillId="14" borderId="50" xfId="0" applyFont="1" applyFill="1" applyBorder="1" applyAlignment="1">
      <alignment horizontal="center" vertical="center" wrapText="1"/>
    </xf>
    <xf numFmtId="0" fontId="25" fillId="14" borderId="53" xfId="0" applyFont="1" applyFill="1" applyBorder="1" applyAlignment="1">
      <alignment horizontal="center" vertical="center" wrapText="1"/>
    </xf>
    <xf numFmtId="0" fontId="18" fillId="14" borderId="50" xfId="0" applyFont="1" applyFill="1" applyBorder="1" applyAlignment="1">
      <alignment horizontal="center" vertical="center" wrapText="1"/>
    </xf>
    <xf numFmtId="0" fontId="20" fillId="14" borderId="50" xfId="0" applyFont="1" applyFill="1" applyBorder="1" applyAlignment="1">
      <alignment horizontal="center" vertical="center" wrapText="1"/>
    </xf>
    <xf numFmtId="0" fontId="21" fillId="14" borderId="53" xfId="0" applyFont="1" applyFill="1" applyBorder="1" applyAlignment="1">
      <alignment horizontal="center" vertical="center" wrapText="1"/>
    </xf>
    <xf numFmtId="0" fontId="21" fillId="11" borderId="50" xfId="0" applyFont="1" applyFill="1" applyBorder="1" applyAlignment="1">
      <alignment horizontal="center" vertical="center" wrapText="1"/>
    </xf>
    <xf numFmtId="0" fontId="23" fillId="8" borderId="51" xfId="0" applyFont="1" applyFill="1" applyBorder="1" applyAlignment="1">
      <alignment horizontal="center" vertical="center" wrapText="1"/>
    </xf>
    <xf numFmtId="0" fontId="61" fillId="0" borderId="48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21" fillId="0" borderId="52" xfId="0" applyFont="1" applyBorder="1"/>
    <xf numFmtId="0" fontId="0" fillId="8" borderId="51" xfId="0" applyFill="1" applyBorder="1" applyAlignment="1">
      <alignment horizontal="center" vertical="center" wrapText="1"/>
    </xf>
    <xf numFmtId="0" fontId="0" fillId="7" borderId="51" xfId="0" applyFill="1" applyBorder="1" applyAlignment="1">
      <alignment horizontal="center" vertical="center" wrapText="1"/>
    </xf>
    <xf numFmtId="1" fontId="0" fillId="7" borderId="51" xfId="0" applyNumberForma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" fontId="0" fillId="0" borderId="51" xfId="0" applyNumberFormat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7" borderId="54" xfId="0" applyFill="1" applyBorder="1" applyAlignment="1">
      <alignment horizontal="center" vertical="center" wrapText="1"/>
    </xf>
    <xf numFmtId="1" fontId="0" fillId="7" borderId="54" xfId="0" applyNumberFormat="1" applyFill="1" applyBorder="1" applyAlignment="1">
      <alignment horizontal="center" vertical="center" wrapText="1"/>
    </xf>
    <xf numFmtId="1" fontId="0" fillId="0" borderId="54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1" fontId="0" fillId="7" borderId="48" xfId="0" applyNumberFormat="1" applyFill="1" applyBorder="1" applyAlignment="1">
      <alignment horizontal="center" vertical="center" wrapText="1"/>
    </xf>
    <xf numFmtId="0" fontId="0" fillId="8" borderId="53" xfId="0" applyFill="1" applyBorder="1" applyAlignment="1">
      <alignment horizontal="center" vertical="center" wrapText="1"/>
    </xf>
    <xf numFmtId="0" fontId="0" fillId="11" borderId="50" xfId="0" applyFill="1" applyBorder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0" borderId="52" xfId="0" applyBorder="1" applyAlignment="1">
      <alignment wrapText="1"/>
    </xf>
    <xf numFmtId="0" fontId="0" fillId="0" borderId="52" xfId="0" applyBorder="1"/>
    <xf numFmtId="0" fontId="0" fillId="7" borderId="48" xfId="0" applyFill="1" applyBorder="1" applyAlignment="1">
      <alignment horizontal="center" vertical="center" wrapText="1"/>
    </xf>
    <xf numFmtId="0" fontId="0" fillId="11" borderId="47" xfId="0" applyFill="1" applyBorder="1" applyAlignment="1">
      <alignment horizontal="center" vertical="center" wrapText="1"/>
    </xf>
    <xf numFmtId="0" fontId="0" fillId="0" borderId="49" xfId="0" applyBorder="1" applyAlignment="1">
      <alignment wrapText="1"/>
    </xf>
    <xf numFmtId="0" fontId="0" fillId="11" borderId="50" xfId="0" applyFill="1" applyBorder="1" applyAlignment="1">
      <alignment horizontal="center" vertical="center" wrapText="1"/>
    </xf>
    <xf numFmtId="0" fontId="0" fillId="11" borderId="53" xfId="0" applyFill="1" applyBorder="1" applyAlignment="1">
      <alignment horizontal="center" vertical="center" wrapText="1"/>
    </xf>
    <xf numFmtId="166" fontId="0" fillId="7" borderId="54" xfId="0" applyNumberFormat="1" applyFill="1" applyBorder="1" applyAlignment="1">
      <alignment horizontal="left" vertical="center" wrapText="1"/>
    </xf>
    <xf numFmtId="0" fontId="64" fillId="0" borderId="0" xfId="0" applyFont="1" applyAlignment="1">
      <alignment horizontal="center" vertical="center" wrapText="1"/>
    </xf>
    <xf numFmtId="0" fontId="64" fillId="7" borderId="43" xfId="0" applyFont="1" applyFill="1" applyBorder="1" applyAlignment="1">
      <alignment horizontal="center" vertical="center" wrapText="1"/>
    </xf>
    <xf numFmtId="0" fontId="64" fillId="7" borderId="44" xfId="0" applyFont="1" applyFill="1" applyBorder="1" applyAlignment="1">
      <alignment horizontal="center" vertical="center" wrapText="1"/>
    </xf>
    <xf numFmtId="167" fontId="64" fillId="7" borderId="45" xfId="0" applyNumberFormat="1" applyFont="1" applyFill="1" applyBorder="1" applyAlignment="1">
      <alignment horizontal="center" vertical="center" wrapText="1"/>
    </xf>
    <xf numFmtId="0" fontId="64" fillId="7" borderId="45" xfId="0" applyFont="1" applyFill="1" applyBorder="1" applyAlignment="1">
      <alignment horizontal="center" vertical="center" wrapText="1"/>
    </xf>
    <xf numFmtId="0" fontId="64" fillId="7" borderId="46" xfId="0" applyFont="1" applyFill="1" applyBorder="1" applyAlignment="1">
      <alignment horizontal="left" vertical="center" wrapText="1"/>
    </xf>
    <xf numFmtId="0" fontId="0" fillId="0" borderId="55" xfId="0" applyBorder="1" applyAlignment="1">
      <alignment wrapText="1"/>
    </xf>
    <xf numFmtId="0" fontId="65" fillId="7" borderId="0" xfId="0" applyFont="1" applyFill="1" applyAlignment="1">
      <alignment vertical="center" wrapText="1"/>
    </xf>
    <xf numFmtId="0" fontId="65" fillId="7" borderId="0" xfId="0" applyFont="1" applyFill="1" applyAlignment="1">
      <alignment horizontal="center" vertical="center" wrapText="1"/>
    </xf>
    <xf numFmtId="1" fontId="64" fillId="9" borderId="56" xfId="0" applyNumberFormat="1" applyFont="1" applyFill="1" applyBorder="1" applyAlignment="1">
      <alignment horizontal="center" vertical="center" wrapText="1"/>
    </xf>
    <xf numFmtId="1" fontId="64" fillId="10" borderId="56" xfId="0" applyNumberFormat="1" applyFont="1" applyFill="1" applyBorder="1" applyAlignment="1">
      <alignment horizontal="center" vertical="center" wrapText="1"/>
    </xf>
    <xf numFmtId="172" fontId="0" fillId="0" borderId="0" xfId="0" applyNumberFormat="1" applyAlignment="1">
      <alignment horizontal="center"/>
    </xf>
    <xf numFmtId="0" fontId="0" fillId="0" borderId="52" xfId="0" applyBorder="1" applyAlignment="1">
      <alignment horizontal="left" vertical="center" wrapText="1"/>
    </xf>
    <xf numFmtId="170" fontId="0" fillId="0" borderId="0" xfId="0" applyNumberFormat="1"/>
    <xf numFmtId="16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0" xfId="0" applyNumberFormat="1"/>
    <xf numFmtId="1" fontId="64" fillId="9" borderId="58" xfId="0" applyNumberFormat="1" applyFont="1" applyFill="1" applyBorder="1" applyAlignment="1">
      <alignment horizontal="center" vertical="center" wrapText="1"/>
    </xf>
    <xf numFmtId="0" fontId="64" fillId="7" borderId="46" xfId="0" applyFont="1" applyFill="1" applyBorder="1" applyAlignment="1">
      <alignment horizontal="center" vertical="center" wrapText="1"/>
    </xf>
    <xf numFmtId="0" fontId="58" fillId="8" borderId="48" xfId="0" applyFont="1" applyFill="1" applyBorder="1" applyAlignment="1">
      <alignment horizontal="center" vertical="center" wrapText="1"/>
    </xf>
    <xf numFmtId="0" fontId="58" fillId="8" borderId="51" xfId="0" applyFont="1" applyFill="1" applyBorder="1" applyAlignment="1">
      <alignment horizontal="center" vertical="center" wrapText="1"/>
    </xf>
    <xf numFmtId="0" fontId="58" fillId="8" borderId="54" xfId="0" applyFont="1" applyFill="1" applyBorder="1" applyAlignment="1">
      <alignment horizontal="center" vertical="center" wrapText="1"/>
    </xf>
    <xf numFmtId="0" fontId="54" fillId="8" borderId="50" xfId="0" applyFont="1" applyFill="1" applyBorder="1" applyAlignment="1">
      <alignment horizontal="center" vertical="center" wrapText="1"/>
    </xf>
    <xf numFmtId="0" fontId="54" fillId="8" borderId="51" xfId="0" applyFont="1" applyFill="1" applyBorder="1" applyAlignment="1">
      <alignment horizontal="center" vertical="center" wrapText="1"/>
    </xf>
    <xf numFmtId="1" fontId="54" fillId="7" borderId="48" xfId="0" applyNumberFormat="1" applyFont="1" applyFill="1" applyBorder="1" applyAlignment="1">
      <alignment horizontal="center" vertical="center" wrapText="1"/>
    </xf>
    <xf numFmtId="1" fontId="54" fillId="7" borderId="51" xfId="0" applyNumberFormat="1" applyFont="1" applyFill="1" applyBorder="1" applyAlignment="1">
      <alignment horizontal="center" vertical="center" wrapText="1"/>
    </xf>
    <xf numFmtId="0" fontId="54" fillId="0" borderId="52" xfId="0" applyFont="1" applyBorder="1" applyAlignment="1">
      <alignment horizontal="left" vertical="center" wrapText="1"/>
    </xf>
    <xf numFmtId="0" fontId="54" fillId="11" borderId="50" xfId="0" applyFont="1" applyFill="1" applyBorder="1" applyAlignment="1">
      <alignment vertical="center" wrapText="1"/>
    </xf>
    <xf numFmtId="0" fontId="54" fillId="0" borderId="48" xfId="0" applyFont="1" applyBorder="1" applyAlignment="1">
      <alignment horizontal="center" vertical="center" wrapText="1"/>
    </xf>
    <xf numFmtId="1" fontId="54" fillId="0" borderId="48" xfId="0" applyNumberFormat="1" applyFont="1" applyBorder="1" applyAlignment="1">
      <alignment horizontal="center" vertical="center" wrapText="1"/>
    </xf>
    <xf numFmtId="0" fontId="54" fillId="0" borderId="49" xfId="0" applyFont="1" applyBorder="1"/>
    <xf numFmtId="0" fontId="54" fillId="7" borderId="51" xfId="0" applyFont="1" applyFill="1" applyBorder="1" applyAlignment="1">
      <alignment horizontal="center" vertical="center" wrapText="1"/>
    </xf>
    <xf numFmtId="0" fontId="54" fillId="0" borderId="52" xfId="0" applyFont="1" applyBorder="1"/>
    <xf numFmtId="0" fontId="54" fillId="0" borderId="54" xfId="0" applyFont="1" applyBorder="1" applyAlignment="1">
      <alignment horizontal="center" vertical="center" wrapText="1"/>
    </xf>
    <xf numFmtId="1" fontId="54" fillId="0" borderId="54" xfId="0" applyNumberFormat="1" applyFont="1" applyBorder="1" applyAlignment="1">
      <alignment horizontal="center" vertical="center" wrapText="1"/>
    </xf>
    <xf numFmtId="0" fontId="54" fillId="0" borderId="55" xfId="0" applyFont="1" applyBorder="1"/>
    <xf numFmtId="0" fontId="54" fillId="8" borderId="47" xfId="0" applyFont="1" applyFill="1" applyBorder="1" applyAlignment="1">
      <alignment horizontal="center" vertical="center" wrapText="1"/>
    </xf>
    <xf numFmtId="0" fontId="54" fillId="8" borderId="48" xfId="0" applyFont="1" applyFill="1" applyBorder="1" applyAlignment="1">
      <alignment horizontal="center" vertical="center" wrapText="1"/>
    </xf>
    <xf numFmtId="0" fontId="54" fillId="7" borderId="48" xfId="0" applyFont="1" applyFill="1" applyBorder="1" applyAlignment="1">
      <alignment horizontal="center" vertical="center" wrapText="1"/>
    </xf>
    <xf numFmtId="0" fontId="54" fillId="0" borderId="52" xfId="0" applyFont="1" applyBorder="1" applyAlignment="1">
      <alignment wrapText="1"/>
    </xf>
    <xf numFmtId="164" fontId="0" fillId="0" borderId="0" xfId="1" applyFont="1"/>
    <xf numFmtId="0" fontId="54" fillId="0" borderId="51" xfId="0" applyFont="1" applyBorder="1" applyAlignment="1">
      <alignment horizontal="center" vertical="center" wrapText="1"/>
    </xf>
    <xf numFmtId="1" fontId="54" fillId="0" borderId="51" xfId="0" applyNumberFormat="1" applyFont="1" applyBorder="1" applyAlignment="1">
      <alignment horizontal="center" vertical="center" wrapText="1"/>
    </xf>
    <xf numFmtId="1" fontId="66" fillId="0" borderId="0" xfId="0" applyNumberFormat="1" applyFont="1" applyAlignment="1">
      <alignment wrapText="1"/>
    </xf>
    <xf numFmtId="0" fontId="25" fillId="7" borderId="51" xfId="0" applyFont="1" applyFill="1" applyBorder="1" applyAlignment="1">
      <alignment horizontal="center" vertical="center" wrapText="1"/>
    </xf>
    <xf numFmtId="1" fontId="25" fillId="7" borderId="54" xfId="0" applyNumberFormat="1" applyFont="1" applyFill="1" applyBorder="1" applyAlignment="1">
      <alignment horizontal="center" vertical="center" wrapText="1"/>
    </xf>
    <xf numFmtId="0" fontId="57" fillId="0" borderId="0" xfId="0" applyFont="1"/>
    <xf numFmtId="0" fontId="21" fillId="15" borderId="53" xfId="0" applyFont="1" applyFill="1" applyBorder="1" applyAlignment="1">
      <alignment horizontal="center" vertical="center" wrapText="1"/>
    </xf>
    <xf numFmtId="0" fontId="21" fillId="15" borderId="53" xfId="0" applyFont="1" applyFill="1" applyBorder="1" applyAlignment="1">
      <alignment vertical="center" wrapText="1"/>
    </xf>
    <xf numFmtId="0" fontId="21" fillId="15" borderId="54" xfId="0" applyFont="1" applyFill="1" applyBorder="1" applyAlignment="1">
      <alignment horizontal="center" vertical="center" wrapText="1"/>
    </xf>
    <xf numFmtId="1" fontId="21" fillId="15" borderId="54" xfId="0" applyNumberFormat="1" applyFont="1" applyFill="1" applyBorder="1" applyAlignment="1">
      <alignment horizontal="center" vertical="center" wrapText="1"/>
    </xf>
    <xf numFmtId="0" fontId="21" fillId="15" borderId="55" xfId="0" applyFont="1" applyFill="1" applyBorder="1"/>
    <xf numFmtId="0" fontId="43" fillId="0" borderId="0" xfId="0" applyFont="1" applyAlignment="1">
      <alignment horizontal="center"/>
    </xf>
    <xf numFmtId="0" fontId="43" fillId="0" borderId="0" xfId="0" applyFont="1" applyAlignment="1">
      <alignment wrapText="1"/>
    </xf>
    <xf numFmtId="1" fontId="45" fillId="0" borderId="0" xfId="0" applyNumberFormat="1" applyFont="1" applyAlignment="1">
      <alignment horizontal="center"/>
    </xf>
    <xf numFmtId="2" fontId="45" fillId="0" borderId="0" xfId="0" applyNumberFormat="1" applyFont="1" applyAlignment="1">
      <alignment horizontal="center"/>
    </xf>
    <xf numFmtId="1" fontId="43" fillId="0" borderId="0" xfId="0" applyNumberFormat="1" applyFont="1"/>
    <xf numFmtId="1" fontId="43" fillId="0" borderId="0" xfId="0" applyNumberFormat="1" applyFont="1" applyAlignment="1">
      <alignment wrapText="1"/>
    </xf>
    <xf numFmtId="0" fontId="25" fillId="0" borderId="52" xfId="0" applyFont="1" applyBorder="1" applyAlignment="1">
      <alignment horizontal="center" wrapText="1"/>
    </xf>
    <xf numFmtId="1" fontId="42" fillId="0" borderId="0" xfId="0" applyNumberFormat="1" applyFont="1"/>
    <xf numFmtId="1" fontId="42" fillId="0" borderId="0" xfId="0" applyNumberFormat="1" applyFont="1" applyAlignment="1">
      <alignment wrapText="1"/>
    </xf>
    <xf numFmtId="1" fontId="68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2" fontId="43" fillId="0" borderId="0" xfId="0" applyNumberFormat="1" applyFont="1" applyAlignment="1">
      <alignment horizontal="center"/>
    </xf>
    <xf numFmtId="170" fontId="4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" fontId="19" fillId="16" borderId="56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3" fillId="0" borderId="0" xfId="0" applyNumberFormat="1" applyFont="1" applyAlignment="1">
      <alignment horizontal="center"/>
    </xf>
    <xf numFmtId="1" fontId="57" fillId="0" borderId="0" xfId="0" applyNumberFormat="1" applyFont="1" applyAlignment="1">
      <alignment horizontal="center"/>
    </xf>
    <xf numFmtId="0" fontId="45" fillId="0" borderId="48" xfId="0" applyFont="1" applyBorder="1" applyAlignment="1">
      <alignment horizontal="center"/>
    </xf>
    <xf numFmtId="1" fontId="18" fillId="0" borderId="51" xfId="0" applyNumberFormat="1" applyFont="1" applyBorder="1" applyAlignment="1">
      <alignment horizontal="center" vertical="center" wrapText="1"/>
    </xf>
    <xf numFmtId="0" fontId="18" fillId="17" borderId="50" xfId="0" applyFont="1" applyFill="1" applyBorder="1" applyAlignment="1">
      <alignment vertical="center" wrapText="1"/>
    </xf>
    <xf numFmtId="0" fontId="20" fillId="17" borderId="50" xfId="0" applyFont="1" applyFill="1" applyBorder="1" applyAlignment="1">
      <alignment vertical="center" wrapText="1"/>
    </xf>
    <xf numFmtId="1" fontId="21" fillId="0" borderId="51" xfId="0" applyNumberFormat="1" applyFont="1" applyBorder="1" applyAlignment="1">
      <alignment horizontal="center" vertical="center" wrapText="1"/>
    </xf>
    <xf numFmtId="0" fontId="69" fillId="0" borderId="0" xfId="0" applyFont="1"/>
    <xf numFmtId="1" fontId="20" fillId="0" borderId="51" xfId="0" applyNumberFormat="1" applyFont="1" applyBorder="1" applyAlignment="1">
      <alignment horizontal="center" vertical="center" wrapText="1"/>
    </xf>
    <xf numFmtId="0" fontId="42" fillId="0" borderId="0" xfId="0" applyFont="1"/>
    <xf numFmtId="2" fontId="56" fillId="0" borderId="0" xfId="0" applyNumberFormat="1" applyFont="1" applyAlignment="1">
      <alignment horizontal="center"/>
    </xf>
    <xf numFmtId="0" fontId="56" fillId="0" borderId="0" xfId="0" applyFont="1" applyAlignment="1">
      <alignment horizontal="center"/>
    </xf>
    <xf numFmtId="2" fontId="57" fillId="0" borderId="0" xfId="0" applyNumberFormat="1" applyFont="1" applyAlignment="1">
      <alignment horizontal="center"/>
    </xf>
    <xf numFmtId="0" fontId="57" fillId="0" borderId="0" xfId="0" applyFont="1" applyAlignment="1">
      <alignment horizontal="center"/>
    </xf>
    <xf numFmtId="0" fontId="70" fillId="0" borderId="0" xfId="0" applyFont="1"/>
    <xf numFmtId="0" fontId="21" fillId="0" borderId="49" xfId="0" applyFont="1" applyBorder="1" applyAlignment="1">
      <alignment horizontal="left" wrapText="1"/>
    </xf>
    <xf numFmtId="1" fontId="18" fillId="18" borderId="48" xfId="0" applyNumberFormat="1" applyFont="1" applyFill="1" applyBorder="1" applyAlignment="1">
      <alignment horizontal="center" vertical="center" wrapText="1"/>
    </xf>
    <xf numFmtId="1" fontId="21" fillId="18" borderId="48" xfId="0" applyNumberFormat="1" applyFont="1" applyFill="1" applyBorder="1" applyAlignment="1">
      <alignment horizontal="center" vertical="center" wrapText="1"/>
    </xf>
    <xf numFmtId="164" fontId="54" fillId="0" borderId="0" xfId="1" applyFont="1" applyAlignment="1"/>
    <xf numFmtId="0" fontId="18" fillId="19" borderId="50" xfId="0" applyFont="1" applyFill="1" applyBorder="1" applyAlignment="1">
      <alignment horizontal="center" vertical="center" wrapText="1"/>
    </xf>
    <xf numFmtId="0" fontId="21" fillId="19" borderId="50" xfId="0" applyFont="1" applyFill="1" applyBorder="1" applyAlignment="1">
      <alignment horizontal="center" vertical="center" wrapText="1"/>
    </xf>
    <xf numFmtId="0" fontId="20" fillId="19" borderId="50" xfId="0" applyFont="1" applyFill="1" applyBorder="1" applyAlignment="1">
      <alignment horizontal="center" vertical="center" wrapText="1"/>
    </xf>
    <xf numFmtId="3" fontId="38" fillId="20" borderId="0" xfId="0" applyNumberFormat="1" applyFont="1" applyFill="1" applyAlignment="1">
      <alignment horizontal="center"/>
    </xf>
    <xf numFmtId="0" fontId="0" fillId="20" borderId="0" xfId="0" applyFill="1"/>
    <xf numFmtId="3" fontId="38" fillId="12" borderId="0" xfId="0" applyNumberFormat="1" applyFont="1" applyFill="1" applyAlignment="1">
      <alignment horizontal="center"/>
    </xf>
    <xf numFmtId="172" fontId="0" fillId="0" borderId="0" xfId="0" applyNumberFormat="1" applyAlignment="1">
      <alignment horizontal="center" vertical="center"/>
    </xf>
    <xf numFmtId="0" fontId="43" fillId="0" borderId="0" xfId="0" applyFont="1" applyAlignment="1">
      <alignment horizontal="center" vertical="center"/>
    </xf>
    <xf numFmtId="1" fontId="19" fillId="10" borderId="58" xfId="0" applyNumberFormat="1" applyFont="1" applyFill="1" applyBorder="1" applyAlignment="1">
      <alignment horizontal="center" vertical="center" wrapText="1"/>
    </xf>
    <xf numFmtId="1" fontId="18" fillId="7" borderId="57" xfId="0" applyNumberFormat="1" applyFont="1" applyFill="1" applyBorder="1" applyAlignment="1">
      <alignment horizontal="center" vertical="center" wrapText="1"/>
    </xf>
    <xf numFmtId="1" fontId="18" fillId="7" borderId="67" xfId="0" applyNumberFormat="1" applyFont="1" applyFill="1" applyBorder="1" applyAlignment="1">
      <alignment horizontal="center" vertical="center" wrapText="1"/>
    </xf>
    <xf numFmtId="0" fontId="25" fillId="7" borderId="69" xfId="0" applyFont="1" applyFill="1" applyBorder="1" applyAlignment="1">
      <alignment horizontal="center"/>
    </xf>
    <xf numFmtId="0" fontId="57" fillId="0" borderId="70" xfId="0" applyFont="1" applyBorder="1"/>
    <xf numFmtId="0" fontId="25" fillId="7" borderId="70" xfId="0" applyFont="1" applyFill="1" applyBorder="1" applyAlignment="1">
      <alignment horizontal="center"/>
    </xf>
    <xf numFmtId="0" fontId="0" fillId="0" borderId="61" xfId="0" applyBorder="1"/>
    <xf numFmtId="164" fontId="25" fillId="0" borderId="0" xfId="1" applyFont="1" applyAlignment="1"/>
    <xf numFmtId="0" fontId="18" fillId="0" borderId="0" xfId="409"/>
    <xf numFmtId="0" fontId="1" fillId="0" borderId="0" xfId="409" applyFont="1" applyAlignment="1">
      <alignment horizontal="center"/>
    </xf>
    <xf numFmtId="0" fontId="25" fillId="0" borderId="0" xfId="409" applyFont="1" applyAlignment="1">
      <alignment horizontal="center"/>
    </xf>
    <xf numFmtId="0" fontId="19" fillId="0" borderId="0" xfId="409" applyFont="1" applyAlignment="1">
      <alignment horizontal="center" vertical="center" wrapText="1"/>
    </xf>
    <xf numFmtId="0" fontId="19" fillId="7" borderId="43" xfId="409" applyFont="1" applyFill="1" applyBorder="1" applyAlignment="1">
      <alignment horizontal="center" vertical="center" wrapText="1"/>
    </xf>
    <xf numFmtId="0" fontId="19" fillId="7" borderId="44" xfId="409" applyFont="1" applyFill="1" applyBorder="1" applyAlignment="1">
      <alignment horizontal="center" vertical="center" wrapText="1"/>
    </xf>
    <xf numFmtId="167" fontId="19" fillId="7" borderId="45" xfId="409" applyNumberFormat="1" applyFont="1" applyFill="1" applyBorder="1" applyAlignment="1">
      <alignment horizontal="center" vertical="center" wrapText="1"/>
    </xf>
    <xf numFmtId="0" fontId="19" fillId="7" borderId="45" xfId="409" applyFont="1" applyFill="1" applyBorder="1" applyAlignment="1">
      <alignment horizontal="center" vertical="center" wrapText="1"/>
    </xf>
    <xf numFmtId="0" fontId="19" fillId="7" borderId="46" xfId="409" applyFont="1" applyFill="1" applyBorder="1" applyAlignment="1">
      <alignment horizontal="left" vertical="center" wrapText="1"/>
    </xf>
    <xf numFmtId="0" fontId="25" fillId="0" borderId="0" xfId="409" applyFont="1" applyAlignment="1">
      <alignment wrapText="1"/>
    </xf>
    <xf numFmtId="1" fontId="45" fillId="0" borderId="0" xfId="409" applyNumberFormat="1" applyFont="1" applyAlignment="1">
      <alignment horizontal="center"/>
    </xf>
    <xf numFmtId="2" fontId="45" fillId="0" borderId="0" xfId="409" applyNumberFormat="1" applyFont="1" applyAlignment="1">
      <alignment horizontal="center"/>
    </xf>
    <xf numFmtId="0" fontId="25" fillId="0" borderId="0" xfId="409" applyFont="1" applyAlignment="1">
      <alignment horizontal="center" vertical="center" wrapText="1"/>
    </xf>
    <xf numFmtId="0" fontId="25" fillId="8" borderId="47" xfId="409" applyFont="1" applyFill="1" applyBorder="1" applyAlignment="1">
      <alignment horizontal="center" vertical="center" wrapText="1"/>
    </xf>
    <xf numFmtId="0" fontId="21" fillId="8" borderId="47" xfId="409" applyFont="1" applyFill="1" applyBorder="1" applyAlignment="1">
      <alignment horizontal="center" vertical="center" wrapText="1"/>
    </xf>
    <xf numFmtId="0" fontId="21" fillId="8" borderId="48" xfId="409" applyFont="1" applyFill="1" applyBorder="1" applyAlignment="1">
      <alignment horizontal="center" vertical="center" wrapText="1"/>
    </xf>
    <xf numFmtId="0" fontId="21" fillId="7" borderId="48" xfId="409" applyFont="1" applyFill="1" applyBorder="1" applyAlignment="1">
      <alignment horizontal="center" vertical="center" wrapText="1"/>
    </xf>
    <xf numFmtId="1" fontId="21" fillId="7" borderId="48" xfId="409" applyNumberFormat="1" applyFont="1" applyFill="1" applyBorder="1" applyAlignment="1">
      <alignment horizontal="center" vertical="center" wrapText="1"/>
    </xf>
    <xf numFmtId="1" fontId="21" fillId="7" borderId="51" xfId="409" applyNumberFormat="1" applyFont="1" applyFill="1" applyBorder="1" applyAlignment="1">
      <alignment horizontal="center" vertical="center" wrapText="1"/>
    </xf>
    <xf numFmtId="0" fontId="21" fillId="0" borderId="49" xfId="409" applyFont="1" applyBorder="1" applyAlignment="1">
      <alignment horizontal="center" wrapText="1"/>
    </xf>
    <xf numFmtId="1" fontId="25" fillId="0" borderId="0" xfId="409" applyNumberFormat="1" applyFont="1"/>
    <xf numFmtId="1" fontId="25" fillId="0" borderId="0" xfId="409" applyNumberFormat="1" applyFont="1" applyAlignment="1">
      <alignment wrapText="1"/>
    </xf>
    <xf numFmtId="0" fontId="25" fillId="8" borderId="50" xfId="409" applyFont="1" applyFill="1" applyBorder="1" applyAlignment="1">
      <alignment horizontal="center" vertical="center" wrapText="1"/>
    </xf>
    <xf numFmtId="0" fontId="21" fillId="8" borderId="50" xfId="409" applyFont="1" applyFill="1" applyBorder="1" applyAlignment="1">
      <alignment horizontal="center" vertical="center" wrapText="1"/>
    </xf>
    <xf numFmtId="0" fontId="21" fillId="8" borderId="51" xfId="409" applyFont="1" applyFill="1" applyBorder="1" applyAlignment="1">
      <alignment horizontal="center" vertical="center" wrapText="1"/>
    </xf>
    <xf numFmtId="0" fontId="21" fillId="7" borderId="51" xfId="409" applyFont="1" applyFill="1" applyBorder="1" applyAlignment="1">
      <alignment horizontal="center" vertical="center" wrapText="1"/>
    </xf>
    <xf numFmtId="0" fontId="18" fillId="8" borderId="51" xfId="409" applyFill="1" applyBorder="1" applyAlignment="1">
      <alignment horizontal="center" vertical="center" wrapText="1"/>
    </xf>
    <xf numFmtId="0" fontId="18" fillId="7" borderId="51" xfId="409" applyFill="1" applyBorder="1" applyAlignment="1">
      <alignment horizontal="center" vertical="center" wrapText="1"/>
    </xf>
    <xf numFmtId="1" fontId="18" fillId="7" borderId="51" xfId="409" applyNumberFormat="1" applyFill="1" applyBorder="1" applyAlignment="1">
      <alignment horizontal="center" vertical="center" wrapText="1"/>
    </xf>
    <xf numFmtId="1" fontId="18" fillId="7" borderId="48" xfId="409" applyNumberFormat="1" applyFill="1" applyBorder="1" applyAlignment="1">
      <alignment horizontal="center" vertical="center" wrapText="1"/>
    </xf>
    <xf numFmtId="0" fontId="25" fillId="0" borderId="52" xfId="409" applyFont="1" applyBorder="1" applyAlignment="1">
      <alignment horizontal="center" wrapText="1"/>
    </xf>
    <xf numFmtId="4" fontId="25" fillId="0" borderId="0" xfId="409" applyNumberFormat="1" applyFont="1" applyAlignment="1">
      <alignment horizontal="center"/>
    </xf>
    <xf numFmtId="0" fontId="21" fillId="0" borderId="52" xfId="409" applyFont="1" applyBorder="1" applyAlignment="1">
      <alignment horizontal="center" wrapText="1"/>
    </xf>
    <xf numFmtId="0" fontId="25" fillId="8" borderId="53" xfId="409" applyFont="1" applyFill="1" applyBorder="1" applyAlignment="1">
      <alignment horizontal="center" vertical="center" wrapText="1"/>
    </xf>
    <xf numFmtId="0" fontId="18" fillId="8" borderId="54" xfId="409" applyFill="1" applyBorder="1" applyAlignment="1">
      <alignment horizontal="center" vertical="center" wrapText="1"/>
    </xf>
    <xf numFmtId="0" fontId="18" fillId="7" borderId="54" xfId="409" applyFill="1" applyBorder="1" applyAlignment="1">
      <alignment horizontal="center" vertical="center" wrapText="1"/>
    </xf>
    <xf numFmtId="1" fontId="18" fillId="7" borderId="54" xfId="409" applyNumberFormat="1" applyFill="1" applyBorder="1" applyAlignment="1">
      <alignment horizontal="center" vertical="center" wrapText="1"/>
    </xf>
    <xf numFmtId="1" fontId="18" fillId="7" borderId="71" xfId="409" applyNumberFormat="1" applyFill="1" applyBorder="1" applyAlignment="1">
      <alignment horizontal="center" vertical="center" wrapText="1"/>
    </xf>
    <xf numFmtId="0" fontId="25" fillId="0" borderId="55" xfId="409" applyFont="1" applyBorder="1" applyAlignment="1">
      <alignment horizontal="center" wrapText="1"/>
    </xf>
    <xf numFmtId="0" fontId="26" fillId="7" borderId="0" xfId="409" applyFont="1" applyFill="1" applyAlignment="1">
      <alignment vertical="center" wrapText="1"/>
    </xf>
    <xf numFmtId="0" fontId="26" fillId="7" borderId="0" xfId="409" applyFont="1" applyFill="1" applyAlignment="1">
      <alignment horizontal="center" vertical="center" wrapText="1"/>
    </xf>
    <xf numFmtId="1" fontId="19" fillId="9" borderId="58" xfId="409" applyNumberFormat="1" applyFont="1" applyFill="1" applyBorder="1" applyAlignment="1">
      <alignment horizontal="center" vertical="center" wrapText="1"/>
    </xf>
    <xf numFmtId="0" fontId="1" fillId="7" borderId="0" xfId="409" applyFont="1" applyFill="1" applyAlignment="1">
      <alignment horizontal="center"/>
    </xf>
    <xf numFmtId="0" fontId="21" fillId="0" borderId="0" xfId="409" applyFont="1"/>
    <xf numFmtId="0" fontId="1" fillId="0" borderId="0" xfId="409" applyFont="1"/>
    <xf numFmtId="0" fontId="72" fillId="0" borderId="0" xfId="409" applyFont="1" applyAlignment="1">
      <alignment horizontal="center"/>
    </xf>
    <xf numFmtId="1" fontId="19" fillId="10" borderId="56" xfId="409" applyNumberFormat="1" applyFont="1" applyFill="1" applyBorder="1" applyAlignment="1">
      <alignment horizontal="center" vertical="center" wrapText="1"/>
    </xf>
    <xf numFmtId="172" fontId="1" fillId="0" borderId="0" xfId="409" applyNumberFormat="1" applyFont="1" applyAlignment="1">
      <alignment horizontal="center"/>
    </xf>
    <xf numFmtId="0" fontId="25" fillId="0" borderId="0" xfId="409" applyFont="1"/>
    <xf numFmtId="0" fontId="45" fillId="0" borderId="0" xfId="409" applyFont="1" applyAlignment="1">
      <alignment horizontal="center"/>
    </xf>
    <xf numFmtId="0" fontId="58" fillId="0" borderId="0" xfId="409" applyFont="1"/>
    <xf numFmtId="0" fontId="18" fillId="0" borderId="0" xfId="409" applyAlignment="1">
      <alignment horizontal="center" vertical="center" wrapText="1"/>
    </xf>
    <xf numFmtId="0" fontId="18" fillId="8" borderId="50" xfId="409" applyFill="1" applyBorder="1" applyAlignment="1">
      <alignment horizontal="center" vertical="center" wrapText="1"/>
    </xf>
    <xf numFmtId="0" fontId="25" fillId="0" borderId="52" xfId="409" applyFont="1" applyBorder="1" applyAlignment="1">
      <alignment horizontal="left" vertical="center" wrapText="1"/>
    </xf>
    <xf numFmtId="2" fontId="25" fillId="0" borderId="0" xfId="409" applyNumberFormat="1" applyFont="1" applyAlignment="1">
      <alignment horizontal="center"/>
    </xf>
    <xf numFmtId="0" fontId="21" fillId="0" borderId="52" xfId="409" applyFont="1" applyBorder="1" applyAlignment="1">
      <alignment horizontal="left" vertical="center" wrapText="1"/>
    </xf>
    <xf numFmtId="0" fontId="58" fillId="0" borderId="63" xfId="409" applyFont="1" applyBorder="1" applyAlignment="1">
      <alignment horizontal="center"/>
    </xf>
    <xf numFmtId="0" fontId="18" fillId="0" borderId="52" xfId="409" applyBorder="1" applyAlignment="1">
      <alignment horizontal="left" vertical="center" wrapText="1"/>
    </xf>
    <xf numFmtId="170" fontId="25" fillId="0" borderId="0" xfId="409" applyNumberFormat="1" applyFont="1" applyAlignment="1">
      <alignment horizontal="center"/>
    </xf>
    <xf numFmtId="1" fontId="19" fillId="10" borderId="51" xfId="409" applyNumberFormat="1" applyFont="1" applyFill="1" applyBorder="1" applyAlignment="1">
      <alignment horizontal="center" vertical="center" wrapText="1"/>
    </xf>
    <xf numFmtId="1" fontId="19" fillId="16" borderId="51" xfId="409" applyNumberFormat="1" applyFont="1" applyFill="1" applyBorder="1" applyAlignment="1">
      <alignment horizontal="center" vertical="center" wrapText="1"/>
    </xf>
    <xf numFmtId="169" fontId="1" fillId="0" borderId="0" xfId="409" applyNumberFormat="1" applyFont="1" applyAlignment="1">
      <alignment horizontal="center"/>
    </xf>
    <xf numFmtId="0" fontId="2" fillId="0" borderId="0" xfId="409" applyFont="1"/>
    <xf numFmtId="0" fontId="2" fillId="0" borderId="0" xfId="409" applyFont="1" applyAlignment="1">
      <alignment horizontal="center"/>
    </xf>
    <xf numFmtId="1" fontId="25" fillId="0" borderId="0" xfId="409" applyNumberFormat="1" applyFont="1" applyAlignment="1">
      <alignment horizontal="center"/>
    </xf>
    <xf numFmtId="0" fontId="18" fillId="11" borderId="50" xfId="409" applyFill="1" applyBorder="1" applyAlignment="1">
      <alignment vertical="center" wrapText="1"/>
    </xf>
    <xf numFmtId="0" fontId="18" fillId="0" borderId="52" xfId="409" applyBorder="1"/>
    <xf numFmtId="0" fontId="18" fillId="7" borderId="0" xfId="409" applyFill="1" applyAlignment="1">
      <alignment horizontal="center" vertical="center" wrapText="1"/>
    </xf>
    <xf numFmtId="169" fontId="25" fillId="0" borderId="0" xfId="409" applyNumberFormat="1" applyFont="1"/>
    <xf numFmtId="0" fontId="21" fillId="0" borderId="0" xfId="409" applyFont="1" applyAlignment="1">
      <alignment horizontal="center"/>
    </xf>
    <xf numFmtId="0" fontId="21" fillId="0" borderId="0" xfId="409" applyFont="1" applyAlignment="1">
      <alignment horizontal="center" vertical="center" wrapText="1"/>
    </xf>
    <xf numFmtId="0" fontId="21" fillId="11" borderId="50" xfId="409" applyFont="1" applyFill="1" applyBorder="1" applyAlignment="1">
      <alignment vertical="center" wrapText="1"/>
    </xf>
    <xf numFmtId="0" fontId="21" fillId="0" borderId="52" xfId="409" applyFont="1" applyBorder="1"/>
    <xf numFmtId="1" fontId="21" fillId="0" borderId="0" xfId="409" applyNumberFormat="1" applyFont="1" applyAlignment="1">
      <alignment horizontal="center"/>
    </xf>
    <xf numFmtId="1" fontId="19" fillId="9" borderId="51" xfId="409" applyNumberFormat="1" applyFont="1" applyFill="1" applyBorder="1" applyAlignment="1">
      <alignment horizontal="center" vertical="center" wrapText="1"/>
    </xf>
    <xf numFmtId="0" fontId="25" fillId="7" borderId="0" xfId="409" applyFont="1" applyFill="1" applyAlignment="1">
      <alignment horizontal="center"/>
    </xf>
    <xf numFmtId="0" fontId="19" fillId="7" borderId="72" xfId="409" applyFont="1" applyFill="1" applyBorder="1" applyAlignment="1">
      <alignment horizontal="center" vertical="center" wrapText="1"/>
    </xf>
    <xf numFmtId="0" fontId="19" fillId="7" borderId="73" xfId="409" applyFont="1" applyFill="1" applyBorder="1" applyAlignment="1">
      <alignment horizontal="center" vertical="center" wrapText="1"/>
    </xf>
    <xf numFmtId="0" fontId="18" fillId="7" borderId="62" xfId="409" applyFill="1" applyBorder="1" applyAlignment="1">
      <alignment horizontal="center" vertical="center" wrapText="1"/>
    </xf>
    <xf numFmtId="0" fontId="19" fillId="7" borderId="74" xfId="409" applyFont="1" applyFill="1" applyBorder="1" applyAlignment="1">
      <alignment horizontal="center" vertical="center" wrapText="1"/>
    </xf>
    <xf numFmtId="0" fontId="19" fillId="7" borderId="75" xfId="409" applyFont="1" applyFill="1" applyBorder="1" applyAlignment="1">
      <alignment horizontal="center" vertical="center" wrapText="1"/>
    </xf>
    <xf numFmtId="0" fontId="18" fillId="8" borderId="69" xfId="409" applyFill="1" applyBorder="1" applyAlignment="1">
      <alignment horizontal="center" vertical="center" wrapText="1"/>
    </xf>
    <xf numFmtId="0" fontId="18" fillId="11" borderId="76" xfId="409" applyFill="1" applyBorder="1" applyAlignment="1">
      <alignment horizontal="center" vertical="center" wrapText="1"/>
    </xf>
    <xf numFmtId="0" fontId="22" fillId="8" borderId="77" xfId="409" applyFont="1" applyFill="1" applyBorder="1" applyAlignment="1">
      <alignment horizontal="center" vertical="center" wrapText="1"/>
    </xf>
    <xf numFmtId="0" fontId="18" fillId="7" borderId="77" xfId="409" applyFill="1" applyBorder="1" applyAlignment="1">
      <alignment horizontal="center" vertical="center" wrapText="1"/>
    </xf>
    <xf numFmtId="1" fontId="18" fillId="7" borderId="77" xfId="409" applyNumberFormat="1" applyFill="1" applyBorder="1" applyAlignment="1">
      <alignment horizontal="center" vertical="center" wrapText="1"/>
    </xf>
    <xf numFmtId="0" fontId="45" fillId="0" borderId="77" xfId="409" applyFont="1" applyBorder="1" applyAlignment="1">
      <alignment horizontal="center"/>
    </xf>
    <xf numFmtId="0" fontId="18" fillId="0" borderId="78" xfId="409" applyBorder="1" applyAlignment="1">
      <alignment wrapText="1"/>
    </xf>
    <xf numFmtId="1" fontId="1" fillId="0" borderId="0" xfId="409" applyNumberFormat="1" applyFont="1" applyAlignment="1">
      <alignment horizontal="center"/>
    </xf>
    <xf numFmtId="0" fontId="18" fillId="11" borderId="50" xfId="409" applyFill="1" applyBorder="1" applyAlignment="1">
      <alignment horizontal="center" vertical="center" wrapText="1"/>
    </xf>
    <xf numFmtId="0" fontId="22" fillId="8" borderId="51" xfId="409" applyFont="1" applyFill="1" applyBorder="1" applyAlignment="1">
      <alignment horizontal="center" vertical="center" wrapText="1"/>
    </xf>
    <xf numFmtId="0" fontId="45" fillId="0" borderId="48" xfId="409" applyFont="1" applyBorder="1" applyAlignment="1">
      <alignment horizontal="center"/>
    </xf>
    <xf numFmtId="0" fontId="18" fillId="7" borderId="48" xfId="409" applyFill="1" applyBorder="1" applyAlignment="1">
      <alignment horizontal="center" vertical="center" wrapText="1"/>
    </xf>
    <xf numFmtId="0" fontId="25" fillId="0" borderId="49" xfId="409" applyFont="1" applyBorder="1" applyAlignment="1">
      <alignment wrapText="1"/>
    </xf>
    <xf numFmtId="0" fontId="18" fillId="8" borderId="79" xfId="409" applyFill="1" applyBorder="1" applyAlignment="1">
      <alignment horizontal="center" vertical="center" wrapText="1"/>
    </xf>
    <xf numFmtId="0" fontId="18" fillId="11" borderId="53" xfId="409" applyFill="1" applyBorder="1" applyAlignment="1">
      <alignment horizontal="center" vertical="center" wrapText="1"/>
    </xf>
    <xf numFmtId="0" fontId="22" fillId="8" borderId="54" xfId="409" applyFont="1" applyFill="1" applyBorder="1" applyAlignment="1">
      <alignment horizontal="center" vertical="center" wrapText="1"/>
    </xf>
    <xf numFmtId="1" fontId="18" fillId="7" borderId="64" xfId="409" applyNumberFormat="1" applyFill="1" applyBorder="1" applyAlignment="1">
      <alignment horizontal="center" vertical="center" wrapText="1"/>
    </xf>
    <xf numFmtId="0" fontId="45" fillId="0" borderId="71" xfId="409" applyFont="1" applyBorder="1" applyAlignment="1">
      <alignment horizontal="center"/>
    </xf>
    <xf numFmtId="0" fontId="18" fillId="7" borderId="71" xfId="409" applyFill="1" applyBorder="1" applyAlignment="1">
      <alignment horizontal="center" vertical="center" wrapText="1"/>
    </xf>
    <xf numFmtId="0" fontId="18" fillId="7" borderId="55" xfId="409" applyFill="1" applyBorder="1" applyAlignment="1">
      <alignment horizontal="left" vertical="center" wrapText="1"/>
    </xf>
    <xf numFmtId="0" fontId="20" fillId="8" borderId="50" xfId="409" applyFont="1" applyFill="1" applyBorder="1" applyAlignment="1">
      <alignment horizontal="center" vertical="center" wrapText="1"/>
    </xf>
    <xf numFmtId="0" fontId="20" fillId="8" borderId="51" xfId="409" applyFont="1" applyFill="1" applyBorder="1" applyAlignment="1">
      <alignment horizontal="center" vertical="center" wrapText="1"/>
    </xf>
    <xf numFmtId="1" fontId="20" fillId="7" borderId="48" xfId="409" applyNumberFormat="1" applyFont="1" applyFill="1" applyBorder="1" applyAlignment="1">
      <alignment horizontal="center" vertical="center" wrapText="1"/>
    </xf>
    <xf numFmtId="1" fontId="20" fillId="7" borderId="51" xfId="409" applyNumberFormat="1" applyFont="1" applyFill="1" applyBorder="1" applyAlignment="1">
      <alignment horizontal="center" vertical="center" wrapText="1"/>
    </xf>
    <xf numFmtId="0" fontId="20" fillId="0" borderId="52" xfId="409" applyFont="1" applyBorder="1" applyAlignment="1">
      <alignment horizontal="left" vertical="center" wrapText="1"/>
    </xf>
    <xf numFmtId="0" fontId="20" fillId="8" borderId="53" xfId="409" applyFont="1" applyFill="1" applyBorder="1" applyAlignment="1">
      <alignment horizontal="center" vertical="center" wrapText="1"/>
    </xf>
    <xf numFmtId="0" fontId="20" fillId="8" borderId="54" xfId="409" applyFont="1" applyFill="1" applyBorder="1" applyAlignment="1">
      <alignment horizontal="center" vertical="center" wrapText="1"/>
    </xf>
    <xf numFmtId="2" fontId="5" fillId="0" borderId="30" xfId="0" applyNumberFormat="1" applyFont="1" applyBorder="1" applyAlignment="1">
      <alignment horizontal="center" vertical="center"/>
    </xf>
    <xf numFmtId="1" fontId="18" fillId="0" borderId="0" xfId="409" applyNumberFormat="1"/>
    <xf numFmtId="0" fontId="39" fillId="0" borderId="13" xfId="0" applyFont="1" applyBorder="1" applyAlignment="1">
      <alignment horizontal="center" vertical="center" wrapText="1"/>
    </xf>
    <xf numFmtId="0" fontId="39" fillId="0" borderId="14" xfId="0" applyFont="1" applyBorder="1" applyAlignment="1">
      <alignment horizontal="center" vertical="center" wrapText="1"/>
    </xf>
    <xf numFmtId="3" fontId="38" fillId="0" borderId="80" xfId="0" applyNumberFormat="1" applyFont="1" applyBorder="1" applyAlignment="1">
      <alignment horizontal="center"/>
    </xf>
    <xf numFmtId="3" fontId="17" fillId="0" borderId="80" xfId="0" applyNumberFormat="1" applyFont="1" applyBorder="1" applyAlignment="1">
      <alignment horizontal="center"/>
    </xf>
    <xf numFmtId="0" fontId="73" fillId="0" borderId="81" xfId="0" applyFont="1" applyBorder="1" applyAlignment="1">
      <alignment wrapText="1"/>
    </xf>
    <xf numFmtId="0" fontId="73" fillId="0" borderId="0" xfId="0" applyFont="1"/>
    <xf numFmtId="0" fontId="73" fillId="0" borderId="85" xfId="0" applyFont="1" applyBorder="1" applyAlignment="1">
      <alignment wrapText="1"/>
    </xf>
    <xf numFmtId="0" fontId="73" fillId="0" borderId="86" xfId="0" applyFont="1" applyBorder="1" applyAlignment="1">
      <alignment wrapText="1"/>
    </xf>
    <xf numFmtId="0" fontId="73" fillId="0" borderId="87" xfId="0" applyFont="1" applyBorder="1" applyAlignment="1">
      <alignment vertical="center" wrapText="1"/>
    </xf>
    <xf numFmtId="0" fontId="76" fillId="3" borderId="86" xfId="0" applyFont="1" applyFill="1" applyBorder="1" applyAlignment="1">
      <alignment horizontal="center" vertical="center" wrapText="1"/>
    </xf>
    <xf numFmtId="0" fontId="76" fillId="3" borderId="86" xfId="0" applyFont="1" applyFill="1" applyBorder="1" applyAlignment="1">
      <alignment vertical="center" wrapText="1"/>
    </xf>
    <xf numFmtId="0" fontId="77" fillId="4" borderId="86" xfId="0" applyFont="1" applyFill="1" applyBorder="1" applyAlignment="1">
      <alignment horizontal="center" vertical="center" wrapText="1"/>
    </xf>
    <xf numFmtId="0" fontId="78" fillId="4" borderId="86" xfId="0" applyFont="1" applyFill="1" applyBorder="1" applyAlignment="1">
      <alignment horizontal="center" vertical="center" wrapText="1"/>
    </xf>
    <xf numFmtId="0" fontId="78" fillId="3" borderId="86" xfId="0" applyFont="1" applyFill="1" applyBorder="1" applyAlignment="1">
      <alignment horizontal="center" vertical="center" wrapText="1"/>
    </xf>
    <xf numFmtId="0" fontId="73" fillId="0" borderId="87" xfId="0" applyFont="1" applyBorder="1" applyAlignment="1">
      <alignment wrapText="1"/>
    </xf>
    <xf numFmtId="0" fontId="77" fillId="0" borderId="86" xfId="0" applyFont="1" applyBorder="1" applyAlignment="1">
      <alignment horizontal="center" wrapText="1"/>
    </xf>
    <xf numFmtId="3" fontId="77" fillId="0" borderId="86" xfId="0" applyNumberFormat="1" applyFont="1" applyBorder="1" applyAlignment="1">
      <alignment horizontal="center" wrapText="1"/>
    </xf>
    <xf numFmtId="0" fontId="79" fillId="4" borderId="86" xfId="0" applyFont="1" applyFill="1" applyBorder="1" applyAlignment="1">
      <alignment horizontal="center" vertical="center" wrapText="1"/>
    </xf>
    <xf numFmtId="0" fontId="79" fillId="3" borderId="86" xfId="0" applyFont="1" applyFill="1" applyBorder="1" applyAlignment="1">
      <alignment horizontal="center" vertical="center" wrapText="1"/>
    </xf>
    <xf numFmtId="0" fontId="77" fillId="0" borderId="86" xfId="0" applyFont="1" applyBorder="1" applyAlignment="1">
      <alignment horizontal="center" vertical="center" wrapText="1"/>
    </xf>
    <xf numFmtId="0" fontId="73" fillId="0" borderId="81" xfId="0" applyFont="1" applyBorder="1" applyAlignment="1">
      <alignment horizontal="center" wrapText="1"/>
    </xf>
    <xf numFmtId="0" fontId="77" fillId="2" borderId="86" xfId="0" applyFont="1" applyFill="1" applyBorder="1" applyAlignment="1">
      <alignment horizontal="center" wrapText="1"/>
    </xf>
    <xf numFmtId="0" fontId="73" fillId="2" borderId="86" xfId="0" applyFont="1" applyFill="1" applyBorder="1" applyAlignment="1">
      <alignment horizontal="center" wrapText="1"/>
    </xf>
    <xf numFmtId="3" fontId="77" fillId="2" borderId="86" xfId="0" applyNumberFormat="1" applyFont="1" applyFill="1" applyBorder="1" applyAlignment="1">
      <alignment horizontal="center" wrapText="1"/>
    </xf>
    <xf numFmtId="4" fontId="77" fillId="0" borderId="81" xfId="0" applyNumberFormat="1" applyFont="1" applyBorder="1" applyAlignment="1">
      <alignment horizontal="center" wrapText="1"/>
    </xf>
    <xf numFmtId="4" fontId="77" fillId="21" borderId="81" xfId="0" applyNumberFormat="1" applyFont="1" applyFill="1" applyBorder="1" applyAlignment="1">
      <alignment horizontal="center" wrapText="1"/>
    </xf>
    <xf numFmtId="3" fontId="77" fillId="22" borderId="81" xfId="0" applyNumberFormat="1" applyFont="1" applyFill="1" applyBorder="1" applyAlignment="1">
      <alignment horizontal="center" wrapText="1"/>
    </xf>
    <xf numFmtId="0" fontId="73" fillId="3" borderId="81" xfId="0" applyFont="1" applyFill="1" applyBorder="1" applyAlignment="1">
      <alignment vertical="center" wrapText="1"/>
    </xf>
    <xf numFmtId="0" fontId="73" fillId="3" borderId="87" xfId="0" applyFont="1" applyFill="1" applyBorder="1" applyAlignment="1">
      <alignment vertical="center" wrapText="1"/>
    </xf>
    <xf numFmtId="0" fontId="76" fillId="5" borderId="86" xfId="0" applyFont="1" applyFill="1" applyBorder="1" applyAlignment="1">
      <alignment horizontal="center" vertical="center" wrapText="1"/>
    </xf>
    <xf numFmtId="0" fontId="73" fillId="3" borderId="81" xfId="0" applyFont="1" applyFill="1" applyBorder="1" applyAlignment="1">
      <alignment wrapText="1"/>
    </xf>
    <xf numFmtId="0" fontId="76" fillId="21" borderId="86" xfId="0" applyFont="1" applyFill="1" applyBorder="1" applyAlignment="1">
      <alignment horizontal="center" vertical="center" wrapText="1"/>
    </xf>
    <xf numFmtId="4" fontId="73" fillId="0" borderId="81" xfId="0" applyNumberFormat="1" applyFont="1" applyBorder="1" applyAlignment="1">
      <alignment wrapText="1"/>
    </xf>
    <xf numFmtId="0" fontId="73" fillId="22" borderId="81" xfId="0" applyFont="1" applyFill="1" applyBorder="1" applyAlignment="1">
      <alignment horizontal="center" wrapText="1"/>
    </xf>
    <xf numFmtId="0" fontId="80" fillId="3" borderId="86" xfId="0" applyFont="1" applyFill="1" applyBorder="1" applyAlignment="1">
      <alignment horizontal="center" wrapText="1"/>
    </xf>
    <xf numFmtId="0" fontId="79" fillId="4" borderId="86" xfId="0" applyFont="1" applyFill="1" applyBorder="1" applyAlignment="1">
      <alignment horizontal="center" wrapText="1"/>
    </xf>
    <xf numFmtId="0" fontId="79" fillId="3" borderId="86" xfId="0" applyFont="1" applyFill="1" applyBorder="1" applyAlignment="1">
      <alignment horizontal="center" wrapText="1"/>
    </xf>
    <xf numFmtId="0" fontId="79" fillId="0" borderId="86" xfId="0" applyFont="1" applyBorder="1" applyAlignment="1">
      <alignment wrapText="1"/>
    </xf>
    <xf numFmtId="0" fontId="73" fillId="3" borderId="86" xfId="0" applyFont="1" applyFill="1" applyBorder="1" applyAlignment="1">
      <alignment vertical="center" wrapText="1"/>
    </xf>
    <xf numFmtId="0" fontId="78" fillId="4" borderId="86" xfId="0" applyFont="1" applyFill="1" applyBorder="1" applyAlignment="1">
      <alignment horizontal="center" wrapText="1"/>
    </xf>
    <xf numFmtId="0" fontId="78" fillId="3" borderId="86" xfId="0" applyFont="1" applyFill="1" applyBorder="1" applyAlignment="1">
      <alignment horizontal="center" wrapText="1"/>
    </xf>
    <xf numFmtId="0" fontId="78" fillId="0" borderId="86" xfId="0" applyFont="1" applyBorder="1" applyAlignment="1">
      <alignment wrapText="1"/>
    </xf>
    <xf numFmtId="0" fontId="73" fillId="3" borderId="87" xfId="0" applyFont="1" applyFill="1" applyBorder="1" applyAlignment="1">
      <alignment wrapText="1"/>
    </xf>
    <xf numFmtId="0" fontId="73" fillId="3" borderId="86" xfId="0" applyFont="1" applyFill="1" applyBorder="1" applyAlignment="1">
      <alignment wrapText="1"/>
    </xf>
    <xf numFmtId="0" fontId="76" fillId="21" borderId="86" xfId="0" applyFont="1" applyFill="1" applyBorder="1" applyAlignment="1">
      <alignment horizontal="center" wrapText="1"/>
    </xf>
    <xf numFmtId="0" fontId="76" fillId="23" borderId="86" xfId="0" applyFont="1" applyFill="1" applyBorder="1" applyAlignment="1">
      <alignment horizontal="center" wrapText="1"/>
    </xf>
    <xf numFmtId="0" fontId="73" fillId="0" borderId="81" xfId="0" applyFont="1" applyBorder="1" applyAlignment="1">
      <alignment vertical="center" wrapText="1"/>
    </xf>
    <xf numFmtId="0" fontId="73" fillId="3" borderId="85" xfId="0" applyFont="1" applyFill="1" applyBorder="1" applyAlignment="1">
      <alignment vertical="center" wrapText="1"/>
    </xf>
    <xf numFmtId="0" fontId="79" fillId="6" borderId="86" xfId="0" applyFont="1" applyFill="1" applyBorder="1" applyAlignment="1">
      <alignment vertical="center" wrapText="1"/>
    </xf>
    <xf numFmtId="0" fontId="78" fillId="6" borderId="86" xfId="0" applyFont="1" applyFill="1" applyBorder="1" applyAlignment="1">
      <alignment vertical="center" wrapText="1"/>
    </xf>
    <xf numFmtId="0" fontId="73" fillId="0" borderId="85" xfId="0" applyFont="1" applyBorder="1" applyAlignment="1">
      <alignment horizontal="center" wrapText="1"/>
    </xf>
    <xf numFmtId="0" fontId="81" fillId="0" borderId="81" xfId="0" applyFont="1" applyBorder="1" applyAlignment="1">
      <alignment horizontal="right" wrapText="1"/>
    </xf>
    <xf numFmtId="0" fontId="79" fillId="6" borderId="86" xfId="0" applyFont="1" applyFill="1" applyBorder="1" applyAlignment="1">
      <alignment horizontal="center" vertical="center" wrapText="1"/>
    </xf>
    <xf numFmtId="0" fontId="82" fillId="4" borderId="86" xfId="0" applyFont="1" applyFill="1" applyBorder="1" applyAlignment="1">
      <alignment horizontal="center" vertical="center" wrapText="1"/>
    </xf>
    <xf numFmtId="0" fontId="82" fillId="0" borderId="86" xfId="0" applyFont="1" applyBorder="1" applyAlignment="1">
      <alignment horizontal="center" wrapText="1"/>
    </xf>
    <xf numFmtId="0" fontId="77" fillId="0" borderId="86" xfId="0" applyFont="1" applyBorder="1" applyAlignment="1">
      <alignment wrapText="1"/>
    </xf>
    <xf numFmtId="0" fontId="83" fillId="4" borderId="86" xfId="0" applyFont="1" applyFill="1" applyBorder="1" applyAlignment="1">
      <alignment horizontal="center" wrapText="1"/>
    </xf>
    <xf numFmtId="0" fontId="83" fillId="3" borderId="86" xfId="0" applyFont="1" applyFill="1" applyBorder="1" applyAlignment="1">
      <alignment horizontal="center" wrapText="1"/>
    </xf>
    <xf numFmtId="0" fontId="83" fillId="0" borderId="86" xfId="0" applyFont="1" applyBorder="1" applyAlignment="1">
      <alignment wrapText="1"/>
    </xf>
    <xf numFmtId="0" fontId="73" fillId="3" borderId="91" xfId="0" applyFont="1" applyFill="1" applyBorder="1" applyAlignment="1">
      <alignment vertical="center" wrapText="1"/>
    </xf>
    <xf numFmtId="0" fontId="73" fillId="3" borderId="92" xfId="0" applyFont="1" applyFill="1" applyBorder="1" applyAlignment="1">
      <alignment vertical="center" wrapText="1"/>
    </xf>
    <xf numFmtId="0" fontId="73" fillId="3" borderId="82" xfId="0" applyFont="1" applyFill="1" applyBorder="1" applyAlignment="1">
      <alignment vertical="center" wrapText="1"/>
    </xf>
    <xf numFmtId="0" fontId="73" fillId="3" borderId="84" xfId="0" applyFont="1" applyFill="1" applyBorder="1" applyAlignment="1">
      <alignment vertical="center" wrapText="1"/>
    </xf>
    <xf numFmtId="0" fontId="73" fillId="3" borderId="89" xfId="0" applyFont="1" applyFill="1" applyBorder="1" applyAlignment="1">
      <alignment vertical="center" wrapText="1"/>
    </xf>
    <xf numFmtId="0" fontId="83" fillId="4" borderId="86" xfId="0" applyFont="1" applyFill="1" applyBorder="1" applyAlignment="1">
      <alignment horizontal="center" vertical="center" wrapText="1"/>
    </xf>
    <xf numFmtId="0" fontId="83" fillId="6" borderId="86" xfId="0" applyFont="1" applyFill="1" applyBorder="1" applyAlignment="1">
      <alignment vertical="center" wrapText="1"/>
    </xf>
    <xf numFmtId="0" fontId="83" fillId="3" borderId="86" xfId="0" applyFont="1" applyFill="1" applyBorder="1" applyAlignment="1">
      <alignment horizontal="center" vertical="center" wrapText="1"/>
    </xf>
    <xf numFmtId="0" fontId="78" fillId="6" borderId="86" xfId="0" applyFont="1" applyFill="1" applyBorder="1" applyAlignment="1">
      <alignment horizontal="center" vertical="center" wrapText="1"/>
    </xf>
    <xf numFmtId="0" fontId="85" fillId="4" borderId="86" xfId="0" applyFont="1" applyFill="1" applyBorder="1" applyAlignment="1">
      <alignment horizontal="center" vertical="center" wrapText="1"/>
    </xf>
    <xf numFmtId="0" fontId="85" fillId="0" borderId="86" xfId="0" applyFont="1" applyBorder="1" applyAlignment="1">
      <alignment horizontal="center" wrapText="1"/>
    </xf>
    <xf numFmtId="0" fontId="84" fillId="0" borderId="87" xfId="0" applyFont="1" applyBorder="1" applyAlignment="1">
      <alignment vertical="center" wrapText="1"/>
    </xf>
    <xf numFmtId="0" fontId="84" fillId="0" borderId="81" xfId="0" applyFont="1" applyBorder="1" applyAlignment="1">
      <alignment wrapText="1"/>
    </xf>
    <xf numFmtId="0" fontId="84" fillId="0" borderId="0" xfId="0" applyFont="1"/>
    <xf numFmtId="0" fontId="78" fillId="0" borderId="86" xfId="0" applyFont="1" applyBorder="1" applyAlignment="1">
      <alignment horizontal="left" wrapText="1"/>
    </xf>
    <xf numFmtId="0" fontId="73" fillId="0" borderId="86" xfId="0" applyFont="1" applyBorder="1" applyAlignment="1">
      <alignment horizontal="left" wrapText="1"/>
    </xf>
    <xf numFmtId="0" fontId="81" fillId="0" borderId="86" xfId="0" applyFont="1" applyBorder="1" applyAlignment="1">
      <alignment wrapText="1"/>
    </xf>
    <xf numFmtId="0" fontId="39" fillId="0" borderId="22" xfId="0" applyFont="1" applyBorder="1" applyAlignment="1">
      <alignment horizontal="center" vertical="center" wrapText="1"/>
    </xf>
    <xf numFmtId="2" fontId="50" fillId="0" borderId="24" xfId="0" applyNumberFormat="1" applyFont="1" applyBorder="1" applyAlignment="1">
      <alignment horizontal="center" vertical="center" wrapText="1"/>
    </xf>
    <xf numFmtId="2" fontId="50" fillId="0" borderId="27" xfId="0" applyNumberFormat="1" applyFont="1" applyBorder="1" applyAlignment="1">
      <alignment horizontal="center" vertical="center" wrapText="1"/>
    </xf>
    <xf numFmtId="2" fontId="50" fillId="0" borderId="94" xfId="0" applyNumberFormat="1" applyFont="1" applyBorder="1" applyAlignment="1">
      <alignment horizontal="center" vertical="center" wrapText="1"/>
    </xf>
    <xf numFmtId="0" fontId="39" fillId="0" borderId="99" xfId="0" applyFont="1" applyBorder="1" applyAlignment="1">
      <alignment horizontal="center" vertical="center" wrapText="1"/>
    </xf>
    <xf numFmtId="0" fontId="49" fillId="0" borderId="100" xfId="0" applyFont="1" applyBorder="1" applyAlignment="1">
      <alignment horizontal="center" vertical="center" wrapText="1"/>
    </xf>
    <xf numFmtId="0" fontId="49" fillId="0" borderId="98" xfId="0" applyFont="1" applyBorder="1" applyAlignment="1">
      <alignment horizontal="center" vertical="center" wrapText="1"/>
    </xf>
    <xf numFmtId="0" fontId="49" fillId="0" borderId="9" xfId="0" applyFont="1" applyBorder="1" applyAlignment="1">
      <alignment horizontal="center" vertical="center" wrapText="1"/>
    </xf>
    <xf numFmtId="0" fontId="81" fillId="0" borderId="86" xfId="0" applyFont="1" applyBorder="1" applyAlignment="1">
      <alignment horizontal="left" wrapText="1"/>
    </xf>
    <xf numFmtId="164" fontId="73" fillId="0" borderId="81" xfId="1" applyFont="1" applyBorder="1" applyAlignment="1">
      <alignment wrapText="1"/>
    </xf>
    <xf numFmtId="0" fontId="83" fillId="0" borderId="86" xfId="0" applyFont="1" applyBorder="1" applyAlignment="1">
      <alignment horizontal="left" wrapText="1"/>
    </xf>
    <xf numFmtId="164" fontId="2" fillId="0" borderId="0" xfId="1" applyFont="1" applyBorder="1" applyAlignment="1">
      <alignment horizontal="center"/>
    </xf>
    <xf numFmtId="0" fontId="81" fillId="0" borderId="87" xfId="0" applyFont="1" applyBorder="1" applyAlignment="1">
      <alignment vertical="center" wrapText="1"/>
    </xf>
    <xf numFmtId="0" fontId="81" fillId="0" borderId="81" xfId="0" applyFont="1" applyBorder="1" applyAlignment="1">
      <alignment wrapText="1"/>
    </xf>
    <xf numFmtId="0" fontId="81" fillId="0" borderId="87" xfId="0" applyFont="1" applyBorder="1" applyAlignment="1">
      <alignment wrapText="1"/>
    </xf>
    <xf numFmtId="0" fontId="78" fillId="0" borderId="86" xfId="0" applyFont="1" applyBorder="1" applyAlignment="1">
      <alignment horizontal="center" wrapText="1"/>
    </xf>
    <xf numFmtId="3" fontId="78" fillId="0" borderId="86" xfId="0" applyNumberFormat="1" applyFont="1" applyBorder="1" applyAlignment="1">
      <alignment horizontal="center" wrapText="1"/>
    </xf>
    <xf numFmtId="0" fontId="81" fillId="0" borderId="81" xfId="0" applyFont="1" applyBorder="1" applyAlignment="1">
      <alignment horizontal="center" wrapText="1"/>
    </xf>
    <xf numFmtId="0" fontId="81" fillId="0" borderId="0" xfId="0" applyFont="1"/>
    <xf numFmtId="173" fontId="0" fillId="0" borderId="0" xfId="0" applyNumberFormat="1"/>
    <xf numFmtId="0" fontId="76" fillId="3" borderId="101" xfId="0" applyFont="1" applyFill="1" applyBorder="1" applyAlignment="1">
      <alignment horizontal="center" vertical="center" wrapText="1"/>
    </xf>
    <xf numFmtId="0" fontId="78" fillId="4" borderId="101" xfId="0" applyFont="1" applyFill="1" applyBorder="1" applyAlignment="1">
      <alignment horizontal="center" vertical="center" wrapText="1"/>
    </xf>
    <xf numFmtId="0" fontId="77" fillId="4" borderId="101" xfId="0" applyFont="1" applyFill="1" applyBorder="1" applyAlignment="1">
      <alignment horizontal="center" vertical="center" wrapText="1"/>
    </xf>
    <xf numFmtId="0" fontId="79" fillId="4" borderId="101" xfId="0" applyFont="1" applyFill="1" applyBorder="1" applyAlignment="1">
      <alignment horizontal="center" vertical="center" wrapText="1"/>
    </xf>
    <xf numFmtId="0" fontId="80" fillId="3" borderId="101" xfId="0" applyFont="1" applyFill="1" applyBorder="1" applyAlignment="1">
      <alignment horizontal="center" wrapText="1"/>
    </xf>
    <xf numFmtId="0" fontId="79" fillId="4" borderId="101" xfId="0" applyFont="1" applyFill="1" applyBorder="1" applyAlignment="1">
      <alignment horizontal="center" wrapText="1"/>
    </xf>
    <xf numFmtId="0" fontId="78" fillId="4" borderId="101" xfId="0" applyFont="1" applyFill="1" applyBorder="1" applyAlignment="1">
      <alignment horizontal="center" wrapText="1"/>
    </xf>
    <xf numFmtId="0" fontId="73" fillId="0" borderId="86" xfId="0" applyFont="1" applyBorder="1" applyAlignment="1">
      <alignment vertical="center" wrapText="1"/>
    </xf>
    <xf numFmtId="0" fontId="78" fillId="0" borderId="86" xfId="0" applyFont="1" applyBorder="1" applyAlignment="1">
      <alignment vertical="center" wrapText="1"/>
    </xf>
    <xf numFmtId="0" fontId="73" fillId="0" borderId="85" xfId="0" applyFont="1" applyBorder="1" applyAlignment="1">
      <alignment vertical="center" wrapText="1"/>
    </xf>
    <xf numFmtId="0" fontId="73" fillId="3" borderId="102" xfId="0" applyFont="1" applyFill="1" applyBorder="1" applyAlignment="1">
      <alignment vertical="center" wrapText="1"/>
    </xf>
    <xf numFmtId="0" fontId="33" fillId="2" borderId="0" xfId="0" applyFont="1" applyFill="1" applyAlignment="1">
      <alignment horizontal="center" vertical="center" wrapText="1"/>
    </xf>
    <xf numFmtId="0" fontId="39" fillId="0" borderId="0" xfId="0" applyFont="1" applyAlignment="1">
      <alignment horizontal="left" vertical="center" wrapText="1"/>
    </xf>
    <xf numFmtId="0" fontId="40" fillId="0" borderId="0" xfId="0" applyFont="1" applyAlignment="1">
      <alignment horizontal="left" vertical="center" wrapText="1"/>
    </xf>
    <xf numFmtId="0" fontId="67" fillId="0" borderId="0" xfId="0" applyFont="1" applyAlignment="1">
      <alignment horizontal="left" vertical="center" wrapText="1"/>
    </xf>
    <xf numFmtId="0" fontId="17" fillId="0" borderId="31" xfId="0" applyFont="1" applyBorder="1" applyAlignment="1">
      <alignment vertical="center" wrapText="1"/>
    </xf>
    <xf numFmtId="0" fontId="17" fillId="0" borderId="33" xfId="0" applyFont="1" applyBorder="1" applyAlignment="1">
      <alignment vertical="center" wrapText="1"/>
    </xf>
    <xf numFmtId="0" fontId="17" fillId="0" borderId="32" xfId="0" applyFont="1" applyBorder="1" applyAlignment="1">
      <alignment vertical="center" wrapText="1"/>
    </xf>
    <xf numFmtId="4" fontId="17" fillId="0" borderId="3" xfId="0" applyNumberFormat="1" applyFont="1" applyBorder="1" applyAlignment="1">
      <alignment horizontal="center"/>
    </xf>
    <xf numFmtId="0" fontId="83" fillId="4" borderId="101" xfId="0" applyFont="1" applyFill="1" applyBorder="1" applyAlignment="1">
      <alignment horizontal="center" vertical="center" wrapText="1"/>
    </xf>
    <xf numFmtId="0" fontId="83" fillId="0" borderId="86" xfId="0" applyFont="1" applyBorder="1" applyAlignment="1">
      <alignment vertical="center" wrapText="1"/>
    </xf>
    <xf numFmtId="0" fontId="83" fillId="4" borderId="101" xfId="0" applyFont="1" applyFill="1" applyBorder="1" applyAlignment="1">
      <alignment horizontal="center" wrapText="1"/>
    </xf>
    <xf numFmtId="2" fontId="55" fillId="0" borderId="24" xfId="0" applyNumberFormat="1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81" fillId="0" borderId="86" xfId="0" applyFont="1" applyBorder="1" applyAlignment="1">
      <alignment vertical="center" wrapText="1"/>
    </xf>
    <xf numFmtId="0" fontId="26" fillId="0" borderId="0" xfId="0" applyFont="1" applyAlignment="1">
      <alignment vertical="center" wrapText="1"/>
    </xf>
    <xf numFmtId="0" fontId="26" fillId="0" borderId="0" xfId="0" applyFont="1" applyAlignment="1">
      <alignment horizontal="center" vertical="center" wrapText="1"/>
    </xf>
    <xf numFmtId="0" fontId="21" fillId="0" borderId="113" xfId="0" applyFont="1" applyBorder="1" applyAlignment="1">
      <alignment horizontal="left" wrapText="1"/>
    </xf>
    <xf numFmtId="2" fontId="0" fillId="0" borderId="0" xfId="0" applyNumberFormat="1" applyAlignment="1">
      <alignment horizontal="center"/>
    </xf>
    <xf numFmtId="0" fontId="87" fillId="7" borderId="0" xfId="0" applyFont="1" applyFill="1"/>
    <xf numFmtId="0" fontId="87" fillId="7" borderId="0" xfId="0" applyFont="1" applyFill="1" applyAlignment="1">
      <alignment horizontal="center"/>
    </xf>
    <xf numFmtId="0" fontId="25" fillId="8" borderId="79" xfId="0" applyFont="1" applyFill="1" applyBorder="1" applyAlignment="1">
      <alignment horizontal="center" vertical="center" wrapText="1"/>
    </xf>
    <xf numFmtId="0" fontId="25" fillId="11" borderId="53" xfId="0" applyFont="1" applyFill="1" applyBorder="1" applyAlignment="1">
      <alignment horizontal="center" vertical="center" wrapText="1"/>
    </xf>
    <xf numFmtId="0" fontId="70" fillId="8" borderId="54" xfId="0" applyFont="1" applyFill="1" applyBorder="1" applyAlignment="1">
      <alignment horizontal="center" vertical="center" wrapText="1"/>
    </xf>
    <xf numFmtId="0" fontId="25" fillId="7" borderId="54" xfId="0" applyFont="1" applyFill="1" applyBorder="1" applyAlignment="1">
      <alignment horizontal="center" vertical="center" wrapText="1"/>
    </xf>
    <xf numFmtId="1" fontId="25" fillId="7" borderId="64" xfId="0" applyNumberFormat="1" applyFont="1" applyFill="1" applyBorder="1" applyAlignment="1">
      <alignment horizontal="center" vertical="center" wrapText="1"/>
    </xf>
    <xf numFmtId="0" fontId="88" fillId="0" borderId="71" xfId="0" applyFont="1" applyBorder="1" applyAlignment="1">
      <alignment horizontal="center"/>
    </xf>
    <xf numFmtId="0" fontId="25" fillId="7" borderId="71" xfId="0" applyFont="1" applyFill="1" applyBorder="1" applyAlignment="1">
      <alignment horizontal="center" vertical="center" wrapText="1"/>
    </xf>
    <xf numFmtId="0" fontId="73" fillId="0" borderId="8" xfId="0" applyFont="1" applyBorder="1" applyAlignment="1">
      <alignment horizontal="center" vertical="center" wrapText="1"/>
    </xf>
    <xf numFmtId="0" fontId="73" fillId="0" borderId="14" xfId="0" applyFont="1" applyBorder="1" applyAlignment="1">
      <alignment horizontal="center" vertical="center" wrapText="1"/>
    </xf>
    <xf numFmtId="0" fontId="73" fillId="0" borderId="16" xfId="0" applyFont="1" applyBorder="1" applyAlignment="1">
      <alignment horizontal="center" vertical="center" wrapText="1"/>
    </xf>
    <xf numFmtId="0" fontId="73" fillId="0" borderId="13" xfId="0" applyFont="1" applyBorder="1" applyAlignment="1">
      <alignment horizontal="center" vertical="center" wrapText="1"/>
    </xf>
    <xf numFmtId="0" fontId="73" fillId="0" borderId="14" xfId="0" applyFont="1" applyBorder="1" applyAlignment="1">
      <alignment vertical="center" wrapText="1"/>
    </xf>
    <xf numFmtId="0" fontId="73" fillId="0" borderId="16" xfId="0" applyFont="1" applyBorder="1" applyAlignment="1">
      <alignment vertical="center" wrapText="1"/>
    </xf>
    <xf numFmtId="0" fontId="73" fillId="0" borderId="13" xfId="0" applyFont="1" applyBorder="1" applyAlignment="1">
      <alignment vertical="center" wrapText="1"/>
    </xf>
    <xf numFmtId="15" fontId="80" fillId="0" borderId="12" xfId="0" applyNumberFormat="1" applyFont="1" applyBorder="1" applyAlignment="1">
      <alignment horizontal="right" wrapText="1"/>
    </xf>
    <xf numFmtId="3" fontId="80" fillId="0" borderId="2" xfId="0" applyNumberFormat="1" applyFont="1" applyBorder="1" applyAlignment="1">
      <alignment horizontal="center"/>
    </xf>
    <xf numFmtId="3" fontId="80" fillId="0" borderId="4" xfId="0" applyNumberFormat="1" applyFont="1" applyBorder="1" applyAlignment="1">
      <alignment horizontal="center"/>
    </xf>
    <xf numFmtId="3" fontId="90" fillId="0" borderId="3" xfId="0" applyNumberFormat="1" applyFont="1" applyBorder="1" applyAlignment="1">
      <alignment horizontal="center"/>
    </xf>
    <xf numFmtId="3" fontId="91" fillId="0" borderId="2" xfId="0" applyNumberFormat="1" applyFont="1" applyBorder="1" applyAlignment="1">
      <alignment horizontal="center"/>
    </xf>
    <xf numFmtId="4" fontId="90" fillId="0" borderId="10" xfId="0" applyNumberFormat="1" applyFont="1" applyBorder="1" applyAlignment="1">
      <alignment horizontal="center"/>
    </xf>
    <xf numFmtId="3" fontId="90" fillId="0" borderId="2" xfId="0" applyNumberFormat="1" applyFont="1" applyBorder="1" applyAlignment="1">
      <alignment horizontal="center"/>
    </xf>
    <xf numFmtId="4" fontId="90" fillId="0" borderId="2" xfId="0" applyNumberFormat="1" applyFont="1" applyBorder="1" applyAlignment="1">
      <alignment horizontal="center"/>
    </xf>
    <xf numFmtId="0" fontId="73" fillId="0" borderId="15" xfId="0" applyFont="1" applyBorder="1" applyAlignment="1">
      <alignment vertical="center" wrapText="1"/>
    </xf>
    <xf numFmtId="0" fontId="90" fillId="0" borderId="22" xfId="0" applyFont="1" applyBorder="1" applyAlignment="1">
      <alignment vertical="center" wrapText="1"/>
    </xf>
    <xf numFmtId="0" fontId="90" fillId="0" borderId="0" xfId="0" applyFont="1"/>
    <xf numFmtId="0" fontId="73" fillId="0" borderId="0" xfId="0" applyFont="1" applyAlignment="1">
      <alignment horizontal="center"/>
    </xf>
    <xf numFmtId="0" fontId="17" fillId="0" borderId="0" xfId="0" applyFont="1" applyAlignment="1">
      <alignment vertical="center" wrapText="1"/>
    </xf>
    <xf numFmtId="0" fontId="73" fillId="20" borderId="0" xfId="0" applyFont="1" applyFill="1"/>
    <xf numFmtId="3" fontId="73" fillId="0" borderId="0" xfId="0" applyNumberFormat="1" applyFont="1"/>
    <xf numFmtId="0" fontId="16" fillId="0" borderId="0" xfId="0" applyFont="1" applyAlignment="1">
      <alignment horizontal="center" wrapText="1"/>
    </xf>
    <xf numFmtId="2" fontId="17" fillId="0" borderId="0" xfId="0" applyNumberFormat="1" applyFont="1" applyAlignment="1">
      <alignment horizontal="center"/>
    </xf>
    <xf numFmtId="164" fontId="17" fillId="0" borderId="0" xfId="1" applyFont="1" applyBorder="1" applyAlignment="1">
      <alignment horizontal="center"/>
    </xf>
    <xf numFmtId="164" fontId="73" fillId="0" borderId="0" xfId="1" applyFont="1"/>
    <xf numFmtId="0" fontId="93" fillId="0" borderId="0" xfId="0" applyFont="1"/>
    <xf numFmtId="2" fontId="93" fillId="0" borderId="0" xfId="0" applyNumberFormat="1" applyFont="1"/>
    <xf numFmtId="3" fontId="93" fillId="0" borderId="0" xfId="0" applyNumberFormat="1" applyFont="1"/>
    <xf numFmtId="0" fontId="94" fillId="0" borderId="0" xfId="0" applyFont="1"/>
    <xf numFmtId="2" fontId="73" fillId="0" borderId="0" xfId="0" applyNumberFormat="1" applyFont="1"/>
    <xf numFmtId="2" fontId="95" fillId="0" borderId="0" xfId="0" applyNumberFormat="1" applyFont="1" applyAlignment="1">
      <alignment horizontal="center" vertical="center"/>
    </xf>
    <xf numFmtId="0" fontId="89" fillId="0" borderId="0" xfId="0" applyFont="1"/>
    <xf numFmtId="0" fontId="73" fillId="0" borderId="96" xfId="0" applyFont="1" applyBorder="1" applyAlignment="1">
      <alignment vertical="center" wrapText="1"/>
    </xf>
    <xf numFmtId="3" fontId="90" fillId="0" borderId="10" xfId="0" applyNumberFormat="1" applyFont="1" applyBorder="1" applyAlignment="1">
      <alignment horizontal="center"/>
    </xf>
    <xf numFmtId="0" fontId="73" fillId="0" borderId="132" xfId="0" applyFont="1" applyBorder="1" applyAlignment="1">
      <alignment vertical="center" wrapText="1"/>
    </xf>
    <xf numFmtId="4" fontId="90" fillId="0" borderId="80" xfId="0" applyNumberFormat="1" applyFont="1" applyBorder="1" applyAlignment="1">
      <alignment horizontal="center"/>
    </xf>
    <xf numFmtId="4" fontId="90" fillId="0" borderId="3" xfId="0" applyNumberFormat="1" applyFont="1" applyBorder="1" applyAlignment="1">
      <alignment horizontal="center"/>
    </xf>
    <xf numFmtId="4" fontId="90" fillId="0" borderId="4" xfId="0" applyNumberFormat="1" applyFont="1" applyBorder="1" applyAlignment="1">
      <alignment horizontal="center"/>
    </xf>
    <xf numFmtId="4" fontId="90" fillId="0" borderId="4" xfId="0" applyNumberFormat="1" applyFont="1" applyBorder="1"/>
    <xf numFmtId="174" fontId="80" fillId="0" borderId="2" xfId="0" applyNumberFormat="1" applyFont="1" applyBorder="1" applyAlignment="1">
      <alignment horizontal="center"/>
    </xf>
    <xf numFmtId="174" fontId="80" fillId="0" borderId="4" xfId="0" applyNumberFormat="1" applyFont="1" applyBorder="1" applyAlignment="1">
      <alignment horizontal="center"/>
    </xf>
    <xf numFmtId="174" fontId="90" fillId="0" borderId="3" xfId="0" applyNumberFormat="1" applyFont="1" applyBorder="1" applyAlignment="1">
      <alignment horizontal="center"/>
    </xf>
    <xf numFmtId="174" fontId="91" fillId="0" borderId="2" xfId="0" applyNumberFormat="1" applyFont="1" applyBorder="1" applyAlignment="1">
      <alignment horizontal="center"/>
    </xf>
    <xf numFmtId="174" fontId="90" fillId="0" borderId="24" xfId="0" applyNumberFormat="1" applyFont="1" applyBorder="1" applyAlignment="1">
      <alignment horizontal="center"/>
    </xf>
    <xf numFmtId="174" fontId="90" fillId="0" borderId="2" xfId="0" applyNumberFormat="1" applyFont="1" applyBorder="1" applyAlignment="1">
      <alignment horizontal="center"/>
    </xf>
    <xf numFmtId="3" fontId="90" fillId="0" borderId="4" xfId="0" applyNumberFormat="1" applyFont="1" applyBorder="1" applyAlignment="1">
      <alignment horizontal="center"/>
    </xf>
    <xf numFmtId="0" fontId="20" fillId="8" borderId="114" xfId="0" applyFont="1" applyFill="1" applyBorder="1" applyAlignment="1">
      <alignment horizontal="center"/>
    </xf>
    <xf numFmtId="0" fontId="20" fillId="8" borderId="126" xfId="0" applyFont="1" applyFill="1" applyBorder="1" applyAlignment="1">
      <alignment horizontal="center"/>
    </xf>
    <xf numFmtId="0" fontId="20" fillId="7" borderId="126" xfId="0" applyFont="1" applyFill="1" applyBorder="1" applyAlignment="1">
      <alignment horizontal="center"/>
    </xf>
    <xf numFmtId="0" fontId="20" fillId="3" borderId="127" xfId="0" applyFont="1" applyFill="1" applyBorder="1" applyAlignment="1">
      <alignment horizontal="center" wrapText="1" readingOrder="1"/>
    </xf>
    <xf numFmtId="0" fontId="20" fillId="3" borderId="128" xfId="0" applyFont="1" applyFill="1" applyBorder="1" applyAlignment="1">
      <alignment horizontal="center" wrapText="1" readingOrder="1"/>
    </xf>
    <xf numFmtId="0" fontId="20" fillId="0" borderId="129" xfId="0" applyFont="1" applyBorder="1" applyAlignment="1">
      <alignment wrapText="1" readingOrder="1"/>
    </xf>
    <xf numFmtId="4" fontId="17" fillId="20" borderId="0" xfId="0" applyNumberFormat="1" applyFont="1" applyFill="1" applyAlignment="1">
      <alignment horizontal="center"/>
    </xf>
    <xf numFmtId="0" fontId="16" fillId="20" borderId="0" xfId="0" applyFont="1" applyFill="1"/>
    <xf numFmtId="4" fontId="91" fillId="0" borderId="10" xfId="0" applyNumberFormat="1" applyFont="1" applyBorder="1" applyAlignment="1">
      <alignment horizontal="center"/>
    </xf>
    <xf numFmtId="4" fontId="91" fillId="0" borderId="3" xfId="0" applyNumberFormat="1" applyFont="1" applyBorder="1" applyAlignment="1">
      <alignment horizontal="center"/>
    </xf>
    <xf numFmtId="0" fontId="20" fillId="8" borderId="69" xfId="0" applyFont="1" applyFill="1" applyBorder="1" applyAlignment="1">
      <alignment horizontal="center" vertical="center" wrapText="1"/>
    </xf>
    <xf numFmtId="0" fontId="20" fillId="11" borderId="76" xfId="0" applyFont="1" applyFill="1" applyBorder="1" applyAlignment="1">
      <alignment horizontal="center" vertical="center" wrapText="1"/>
    </xf>
    <xf numFmtId="0" fontId="96" fillId="8" borderId="77" xfId="0" applyFont="1" applyFill="1" applyBorder="1" applyAlignment="1">
      <alignment horizontal="center" vertical="center" wrapText="1"/>
    </xf>
    <xf numFmtId="0" fontId="20" fillId="7" borderId="77" xfId="0" applyFont="1" applyFill="1" applyBorder="1" applyAlignment="1">
      <alignment horizontal="center" vertical="center" wrapText="1"/>
    </xf>
    <xf numFmtId="1" fontId="20" fillId="7" borderId="77" xfId="0" applyNumberFormat="1" applyFont="1" applyFill="1" applyBorder="1" applyAlignment="1">
      <alignment horizontal="center" vertical="center" wrapText="1"/>
    </xf>
    <xf numFmtId="0" fontId="97" fillId="0" borderId="77" xfId="0" applyFont="1" applyBorder="1" applyAlignment="1">
      <alignment horizontal="center"/>
    </xf>
    <xf numFmtId="0" fontId="21" fillId="8" borderId="110" xfId="0" applyFont="1" applyFill="1" applyBorder="1" applyAlignment="1">
      <alignment horizontal="center"/>
    </xf>
    <xf numFmtId="0" fontId="21" fillId="8" borderId="63" xfId="0" applyFont="1" applyFill="1" applyBorder="1" applyAlignment="1">
      <alignment horizontal="center"/>
    </xf>
    <xf numFmtId="1" fontId="21" fillId="7" borderId="63" xfId="0" applyNumberFormat="1" applyFont="1" applyFill="1" applyBorder="1" applyAlignment="1">
      <alignment horizontal="center"/>
    </xf>
    <xf numFmtId="0" fontId="21" fillId="3" borderId="123" xfId="0" applyFont="1" applyFill="1" applyBorder="1" applyAlignment="1">
      <alignment horizontal="center" wrapText="1" readingOrder="1"/>
    </xf>
    <xf numFmtId="0" fontId="21" fillId="3" borderId="124" xfId="0" applyFont="1" applyFill="1" applyBorder="1" applyAlignment="1">
      <alignment horizontal="center" wrapText="1" readingOrder="1"/>
    </xf>
    <xf numFmtId="0" fontId="57" fillId="0" borderId="125" xfId="0" applyFont="1" applyBorder="1" applyAlignment="1">
      <alignment wrapText="1" readingOrder="1"/>
    </xf>
    <xf numFmtId="2" fontId="17" fillId="0" borderId="0" xfId="0" applyNumberFormat="1" applyFont="1"/>
    <xf numFmtId="0" fontId="20" fillId="0" borderId="52" xfId="0" applyFont="1" applyBorder="1" applyAlignment="1">
      <alignment vertical="center" wrapText="1"/>
    </xf>
    <xf numFmtId="164" fontId="84" fillId="0" borderId="81" xfId="1" applyFont="1" applyBorder="1" applyAlignment="1">
      <alignment wrapText="1"/>
    </xf>
    <xf numFmtId="4" fontId="91" fillId="0" borderId="2" xfId="0" applyNumberFormat="1" applyFont="1" applyBorder="1" applyAlignment="1">
      <alignment horizontal="center"/>
    </xf>
    <xf numFmtId="0" fontId="21" fillId="0" borderId="125" xfId="0" applyFont="1" applyBorder="1" applyAlignment="1">
      <alignment wrapText="1" readingOrder="1"/>
    </xf>
    <xf numFmtId="0" fontId="20" fillId="8" borderId="110" xfId="0" applyFont="1" applyFill="1" applyBorder="1" applyAlignment="1">
      <alignment horizontal="center"/>
    </xf>
    <xf numFmtId="0" fontId="20" fillId="8" borderId="63" xfId="0" applyFont="1" applyFill="1" applyBorder="1" applyAlignment="1">
      <alignment horizontal="center"/>
    </xf>
    <xf numFmtId="1" fontId="20" fillId="7" borderId="63" xfId="0" applyNumberFormat="1" applyFont="1" applyFill="1" applyBorder="1" applyAlignment="1">
      <alignment horizontal="center"/>
    </xf>
    <xf numFmtId="0" fontId="20" fillId="3" borderId="123" xfId="0" applyFont="1" applyFill="1" applyBorder="1" applyAlignment="1">
      <alignment horizontal="center" wrapText="1" readingOrder="1"/>
    </xf>
    <xf numFmtId="0" fontId="20" fillId="3" borderId="124" xfId="0" applyFont="1" applyFill="1" applyBorder="1" applyAlignment="1">
      <alignment horizontal="center" wrapText="1" readingOrder="1"/>
    </xf>
    <xf numFmtId="0" fontId="20" fillId="0" borderId="125" xfId="0" applyFont="1" applyBorder="1" applyAlignment="1">
      <alignment wrapText="1" readingOrder="1"/>
    </xf>
    <xf numFmtId="0" fontId="73" fillId="0" borderId="15" xfId="0" applyFont="1" applyBorder="1" applyAlignment="1">
      <alignment horizontal="center" vertical="center" wrapText="1"/>
    </xf>
    <xf numFmtId="164" fontId="73" fillId="0" borderId="0" xfId="1" applyFont="1" applyAlignment="1">
      <alignment horizontal="center"/>
    </xf>
    <xf numFmtId="0" fontId="56" fillId="0" borderId="125" xfId="0" applyFont="1" applyBorder="1" applyAlignment="1">
      <alignment wrapText="1" readingOrder="1"/>
    </xf>
    <xf numFmtId="0" fontId="20" fillId="7" borderId="63" xfId="0" applyFont="1" applyFill="1" applyBorder="1" applyAlignment="1">
      <alignment horizontal="center"/>
    </xf>
    <xf numFmtId="2" fontId="98" fillId="0" borderId="0" xfId="0" applyNumberFormat="1" applyFont="1"/>
    <xf numFmtId="43" fontId="17" fillId="0" borderId="0" xfId="0" applyNumberFormat="1" applyFont="1"/>
    <xf numFmtId="0" fontId="19" fillId="7" borderId="62" xfId="0" applyFont="1" applyFill="1" applyBorder="1" applyAlignment="1">
      <alignment horizontal="center" vertical="center" wrapText="1"/>
    </xf>
    <xf numFmtId="3" fontId="100" fillId="0" borderId="0" xfId="0" applyNumberFormat="1" applyFont="1"/>
    <xf numFmtId="174" fontId="101" fillId="0" borderId="2" xfId="0" applyNumberFormat="1" applyFont="1" applyBorder="1" applyAlignment="1">
      <alignment horizontal="center"/>
    </xf>
    <xf numFmtId="0" fontId="21" fillId="8" borderId="106" xfId="0" applyFont="1" applyFill="1" applyBorder="1" applyAlignment="1">
      <alignment horizontal="center"/>
    </xf>
    <xf numFmtId="0" fontId="21" fillId="8" borderId="120" xfId="0" applyFont="1" applyFill="1" applyBorder="1" applyAlignment="1">
      <alignment horizontal="center"/>
    </xf>
    <xf numFmtId="0" fontId="102" fillId="7" borderId="121" xfId="0" applyFont="1" applyFill="1" applyBorder="1" applyAlignment="1">
      <alignment horizontal="center" vertical="center" wrapText="1"/>
    </xf>
    <xf numFmtId="0" fontId="21" fillId="3" borderId="108" xfId="0" applyFont="1" applyFill="1" applyBorder="1" applyAlignment="1">
      <alignment horizontal="center" wrapText="1" readingOrder="1"/>
    </xf>
    <xf numFmtId="0" fontId="21" fillId="3" borderId="122" xfId="0" applyFont="1" applyFill="1" applyBorder="1" applyAlignment="1">
      <alignment horizontal="center" wrapText="1" readingOrder="1"/>
    </xf>
    <xf numFmtId="0" fontId="19" fillId="7" borderId="72" xfId="0" applyFont="1" applyFill="1" applyBorder="1" applyAlignment="1">
      <alignment horizontal="center" vertical="center" wrapText="1"/>
    </xf>
    <xf numFmtId="0" fontId="19" fillId="7" borderId="73" xfId="0" applyFont="1" applyFill="1" applyBorder="1" applyAlignment="1">
      <alignment horizontal="center" vertical="center" wrapText="1"/>
    </xf>
    <xf numFmtId="167" fontId="19" fillId="7" borderId="74" xfId="0" applyNumberFormat="1" applyFont="1" applyFill="1" applyBorder="1" applyAlignment="1">
      <alignment horizontal="center" vertical="center" wrapText="1"/>
    </xf>
    <xf numFmtId="0" fontId="19" fillId="7" borderId="74" xfId="0" applyFont="1" applyFill="1" applyBorder="1" applyAlignment="1">
      <alignment horizontal="center" vertical="center" wrapText="1"/>
    </xf>
    <xf numFmtId="0" fontId="19" fillId="7" borderId="75" xfId="0" applyFont="1" applyFill="1" applyBorder="1" applyAlignment="1">
      <alignment horizontal="left" vertical="center" wrapText="1"/>
    </xf>
    <xf numFmtId="0" fontId="21" fillId="8" borderId="106" xfId="0" applyFont="1" applyFill="1" applyBorder="1" applyAlignment="1">
      <alignment horizontal="center" vertical="center" wrapText="1"/>
    </xf>
    <xf numFmtId="0" fontId="21" fillId="8" borderId="107" xfId="0" applyFont="1" applyFill="1" applyBorder="1" applyAlignment="1">
      <alignment horizontal="center" vertical="center" wrapText="1"/>
    </xf>
    <xf numFmtId="0" fontId="21" fillId="8" borderId="108" xfId="0" applyFont="1" applyFill="1" applyBorder="1" applyAlignment="1">
      <alignment horizontal="center" vertical="center" wrapText="1"/>
    </xf>
    <xf numFmtId="0" fontId="21" fillId="7" borderId="108" xfId="0" applyFont="1" applyFill="1" applyBorder="1" applyAlignment="1">
      <alignment horizontal="center" vertical="center" wrapText="1"/>
    </xf>
    <xf numFmtId="1" fontId="21" fillId="7" borderId="108" xfId="0" applyNumberFormat="1" applyFont="1" applyFill="1" applyBorder="1" applyAlignment="1">
      <alignment horizontal="center" vertical="center" wrapText="1"/>
    </xf>
    <xf numFmtId="0" fontId="21" fillId="0" borderId="109" xfId="0" applyFont="1" applyBorder="1" applyAlignment="1">
      <alignment horizontal="left" wrapText="1"/>
    </xf>
    <xf numFmtId="0" fontId="21" fillId="8" borderId="110" xfId="0" applyFont="1" applyFill="1" applyBorder="1" applyAlignment="1">
      <alignment horizontal="center" vertical="center" wrapText="1"/>
    </xf>
    <xf numFmtId="0" fontId="21" fillId="8" borderId="111" xfId="0" applyFont="1" applyFill="1" applyBorder="1" applyAlignment="1">
      <alignment horizontal="center" vertical="center" wrapText="1"/>
    </xf>
    <xf numFmtId="0" fontId="21" fillId="0" borderId="112" xfId="0" applyFont="1" applyBorder="1" applyAlignment="1">
      <alignment horizontal="left" wrapText="1"/>
    </xf>
    <xf numFmtId="0" fontId="25" fillId="8" borderId="110" xfId="0" applyFont="1" applyFill="1" applyBorder="1" applyAlignment="1">
      <alignment horizontal="center" vertical="center" wrapText="1"/>
    </xf>
    <xf numFmtId="0" fontId="18" fillId="8" borderId="111" xfId="0" applyFont="1" applyFill="1" applyBorder="1" applyAlignment="1">
      <alignment horizontal="center" vertical="center" wrapText="1"/>
    </xf>
    <xf numFmtId="0" fontId="18" fillId="0" borderId="113" xfId="0" applyFont="1" applyBorder="1" applyAlignment="1">
      <alignment horizontal="left" wrapText="1"/>
    </xf>
    <xf numFmtId="0" fontId="18" fillId="8" borderId="110" xfId="0" applyFont="1" applyFill="1" applyBorder="1" applyAlignment="1">
      <alignment horizontal="center" vertical="center" wrapText="1"/>
    </xf>
    <xf numFmtId="0" fontId="18" fillId="0" borderId="112" xfId="0" applyFont="1" applyBorder="1" applyAlignment="1">
      <alignment horizontal="left" wrapText="1"/>
    </xf>
    <xf numFmtId="0" fontId="21" fillId="8" borderId="114" xfId="0" applyFont="1" applyFill="1" applyBorder="1" applyAlignment="1">
      <alignment horizontal="center" vertical="center" wrapText="1"/>
    </xf>
    <xf numFmtId="0" fontId="21" fillId="8" borderId="115" xfId="0" applyFont="1" applyFill="1" applyBorder="1" applyAlignment="1">
      <alignment horizontal="center" vertical="center" wrapText="1"/>
    </xf>
    <xf numFmtId="0" fontId="21" fillId="8" borderId="116" xfId="0" applyFont="1" applyFill="1" applyBorder="1" applyAlignment="1">
      <alignment horizontal="center" vertical="center" wrapText="1"/>
    </xf>
    <xf numFmtId="0" fontId="21" fillId="7" borderId="116" xfId="0" applyFont="1" applyFill="1" applyBorder="1" applyAlignment="1">
      <alignment horizontal="center" vertical="center" wrapText="1"/>
    </xf>
    <xf numFmtId="1" fontId="21" fillId="7" borderId="116" xfId="0" applyNumberFormat="1" applyFont="1" applyFill="1" applyBorder="1" applyAlignment="1">
      <alignment horizontal="center" vertical="center" wrapText="1"/>
    </xf>
    <xf numFmtId="1" fontId="21" fillId="7" borderId="117" xfId="0" applyNumberFormat="1" applyFont="1" applyFill="1" applyBorder="1" applyAlignment="1">
      <alignment horizontal="center" vertical="center" wrapText="1"/>
    </xf>
    <xf numFmtId="0" fontId="21" fillId="0" borderId="118" xfId="0" applyFont="1" applyBorder="1" applyAlignment="1">
      <alignment horizontal="left" wrapText="1"/>
    </xf>
    <xf numFmtId="0" fontId="64" fillId="7" borderId="18" xfId="0" applyFont="1" applyFill="1" applyBorder="1" applyAlignment="1">
      <alignment horizontal="center"/>
    </xf>
    <xf numFmtId="0" fontId="19" fillId="7" borderId="119" xfId="0" applyFont="1" applyFill="1" applyBorder="1" applyAlignment="1">
      <alignment horizontal="center" vertical="center" wrapText="1"/>
    </xf>
    <xf numFmtId="0" fontId="18" fillId="8" borderId="110" xfId="0" applyFont="1" applyFill="1" applyBorder="1" applyAlignment="1">
      <alignment horizontal="center"/>
    </xf>
    <xf numFmtId="0" fontId="18" fillId="8" borderId="61" xfId="0" applyFont="1" applyFill="1" applyBorder="1" applyAlignment="1">
      <alignment horizontal="center"/>
    </xf>
    <xf numFmtId="1" fontId="18" fillId="7" borderId="61" xfId="0" applyNumberFormat="1" applyFont="1" applyFill="1" applyBorder="1" applyAlignment="1">
      <alignment horizontal="center"/>
    </xf>
    <xf numFmtId="0" fontId="18" fillId="3" borderId="123" xfId="0" applyFont="1" applyFill="1" applyBorder="1" applyAlignment="1">
      <alignment horizontal="center" wrapText="1" readingOrder="1"/>
    </xf>
    <xf numFmtId="0" fontId="18" fillId="3" borderId="124" xfId="0" applyFont="1" applyFill="1" applyBorder="1" applyAlignment="1">
      <alignment horizontal="center" wrapText="1" readingOrder="1"/>
    </xf>
    <xf numFmtId="0" fontId="43" fillId="0" borderId="125" xfId="0" applyFont="1" applyBorder="1" applyAlignment="1">
      <alignment wrapText="1" readingOrder="1"/>
    </xf>
    <xf numFmtId="0" fontId="18" fillId="8" borderId="63" xfId="0" applyFont="1" applyFill="1" applyBorder="1" applyAlignment="1">
      <alignment horizontal="center"/>
    </xf>
    <xf numFmtId="1" fontId="18" fillId="7" borderId="63" xfId="0" applyNumberFormat="1" applyFont="1" applyFill="1" applyBorder="1" applyAlignment="1">
      <alignment horizontal="center"/>
    </xf>
    <xf numFmtId="0" fontId="18" fillId="0" borderId="0" xfId="0" applyFont="1"/>
    <xf numFmtId="0" fontId="18" fillId="7" borderId="63" xfId="0" applyFont="1" applyFill="1" applyBorder="1" applyAlignment="1">
      <alignment horizontal="center"/>
    </xf>
    <xf numFmtId="169" fontId="18" fillId="7" borderId="108" xfId="0" applyNumberFormat="1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3" borderId="0" xfId="0" applyFont="1" applyFill="1" applyAlignment="1">
      <alignment horizontal="center" wrapText="1" readingOrder="1"/>
    </xf>
    <xf numFmtId="0" fontId="19" fillId="7" borderId="0" xfId="0" applyFont="1" applyFill="1" applyAlignment="1">
      <alignment horizontal="center" vertical="center" wrapText="1"/>
    </xf>
    <xf numFmtId="0" fontId="19" fillId="7" borderId="0" xfId="0" applyFont="1" applyFill="1" applyAlignment="1">
      <alignment horizontal="left" vertical="center" wrapText="1"/>
    </xf>
    <xf numFmtId="0" fontId="18" fillId="0" borderId="52" xfId="0" applyFont="1" applyBorder="1" applyAlignment="1">
      <alignment vertical="center"/>
    </xf>
    <xf numFmtId="0" fontId="21" fillId="0" borderId="52" xfId="0" applyFont="1" applyBorder="1" applyAlignment="1">
      <alignment vertical="center" wrapText="1"/>
    </xf>
    <xf numFmtId="0" fontId="21" fillId="0" borderId="52" xfId="0" applyFont="1" applyBorder="1" applyAlignment="1">
      <alignment vertical="center"/>
    </xf>
    <xf numFmtId="1" fontId="21" fillId="7" borderId="64" xfId="0" applyNumberFormat="1" applyFont="1" applyFill="1" applyBorder="1" applyAlignment="1">
      <alignment horizontal="center" vertical="center" wrapText="1"/>
    </xf>
    <xf numFmtId="1" fontId="19" fillId="9" borderId="130" xfId="0" applyNumberFormat="1" applyFont="1" applyFill="1" applyBorder="1" applyAlignment="1">
      <alignment horizontal="center" vertical="center" wrapText="1"/>
    </xf>
    <xf numFmtId="1" fontId="19" fillId="9" borderId="131" xfId="0" applyNumberFormat="1" applyFont="1" applyFill="1" applyBorder="1" applyAlignment="1">
      <alignment horizontal="center" vertical="center" wrapText="1"/>
    </xf>
    <xf numFmtId="1" fontId="19" fillId="10" borderId="18" xfId="0" applyNumberFormat="1" applyFont="1" applyFill="1" applyBorder="1" applyAlignment="1">
      <alignment horizontal="center" vertical="center" wrapText="1"/>
    </xf>
    <xf numFmtId="0" fontId="18" fillId="8" borderId="69" xfId="0" applyFont="1" applyFill="1" applyBorder="1" applyAlignment="1">
      <alignment horizontal="center" vertical="center" wrapText="1"/>
    </xf>
    <xf numFmtId="0" fontId="20" fillId="8" borderId="114" xfId="0" applyFont="1" applyFill="1" applyBorder="1" applyAlignment="1">
      <alignment horizontal="center" vertical="center" wrapText="1"/>
    </xf>
    <xf numFmtId="0" fontId="20" fillId="8" borderId="115" xfId="0" applyFont="1" applyFill="1" applyBorder="1" applyAlignment="1">
      <alignment horizontal="center" vertical="center" wrapText="1"/>
    </xf>
    <xf numFmtId="0" fontId="20" fillId="8" borderId="116" xfId="0" applyFont="1" applyFill="1" applyBorder="1" applyAlignment="1">
      <alignment horizontal="center" vertical="center" wrapText="1"/>
    </xf>
    <xf numFmtId="0" fontId="20" fillId="7" borderId="116" xfId="0" applyFont="1" applyFill="1" applyBorder="1" applyAlignment="1">
      <alignment horizontal="center" vertical="center" wrapText="1"/>
    </xf>
    <xf numFmtId="1" fontId="20" fillId="7" borderId="116" xfId="0" applyNumberFormat="1" applyFont="1" applyFill="1" applyBorder="1" applyAlignment="1">
      <alignment horizontal="center" vertical="center" wrapText="1"/>
    </xf>
    <xf numFmtId="1" fontId="20" fillId="7" borderId="117" xfId="0" applyNumberFormat="1" applyFont="1" applyFill="1" applyBorder="1" applyAlignment="1">
      <alignment horizontal="center" vertical="center" wrapText="1"/>
    </xf>
    <xf numFmtId="0" fontId="20" fillId="0" borderId="118" xfId="0" applyFont="1" applyBorder="1" applyAlignment="1">
      <alignment horizontal="left" wrapText="1"/>
    </xf>
    <xf numFmtId="0" fontId="103" fillId="3" borderId="124" xfId="0" applyFont="1" applyFill="1" applyBorder="1" applyAlignment="1">
      <alignment horizontal="center" wrapText="1" readingOrder="1"/>
    </xf>
    <xf numFmtId="0" fontId="103" fillId="3" borderId="128" xfId="0" applyFont="1" applyFill="1" applyBorder="1" applyAlignment="1">
      <alignment horizontal="center" wrapText="1" readingOrder="1"/>
    </xf>
    <xf numFmtId="0" fontId="20" fillId="8" borderId="110" xfId="0" applyFont="1" applyFill="1" applyBorder="1" applyAlignment="1">
      <alignment horizontal="center" vertical="center" wrapText="1"/>
    </xf>
    <xf numFmtId="0" fontId="20" fillId="8" borderId="111" xfId="0" applyFont="1" applyFill="1" applyBorder="1" applyAlignment="1">
      <alignment horizontal="center" vertical="center" wrapText="1"/>
    </xf>
    <xf numFmtId="0" fontId="20" fillId="0" borderId="112" xfId="0" applyFont="1" applyBorder="1" applyAlignment="1">
      <alignment horizontal="left" wrapText="1"/>
    </xf>
    <xf numFmtId="0" fontId="73" fillId="0" borderId="84" xfId="0" applyFont="1" applyBorder="1" applyAlignment="1">
      <alignment wrapText="1"/>
    </xf>
    <xf numFmtId="1" fontId="20" fillId="7" borderId="64" xfId="0" applyNumberFormat="1" applyFont="1" applyFill="1" applyBorder="1" applyAlignment="1">
      <alignment horizontal="center" vertical="center" wrapText="1"/>
    </xf>
    <xf numFmtId="0" fontId="19" fillId="7" borderId="138" xfId="0" applyFont="1" applyFill="1" applyBorder="1" applyAlignment="1">
      <alignment horizontal="center" vertical="center" wrapText="1"/>
    </xf>
    <xf numFmtId="0" fontId="73" fillId="0" borderId="82" xfId="0" applyFont="1" applyBorder="1" applyAlignment="1">
      <alignment vertical="center" wrapText="1"/>
    </xf>
    <xf numFmtId="0" fontId="73" fillId="0" borderId="84" xfId="0" applyFont="1" applyBorder="1" applyAlignment="1">
      <alignment vertical="center" wrapText="1"/>
    </xf>
    <xf numFmtId="0" fontId="73" fillId="0" borderId="139" xfId="0" applyFont="1" applyBorder="1" applyAlignment="1">
      <alignment vertical="center" wrapText="1"/>
    </xf>
    <xf numFmtId="0" fontId="73" fillId="0" borderId="140" xfId="0" applyFont="1" applyBorder="1" applyAlignment="1">
      <alignment vertical="center" wrapText="1"/>
    </xf>
    <xf numFmtId="0" fontId="73" fillId="0" borderId="0" xfId="0" applyFont="1" applyAlignment="1">
      <alignment vertical="center" wrapText="1"/>
    </xf>
    <xf numFmtId="0" fontId="79" fillId="0" borderId="0" xfId="0" applyFont="1"/>
    <xf numFmtId="0" fontId="79" fillId="0" borderId="0" xfId="0" applyFont="1" applyAlignment="1">
      <alignment horizontal="left"/>
    </xf>
    <xf numFmtId="0" fontId="79" fillId="0" borderId="141" xfId="0" applyFont="1" applyBorder="1" applyAlignment="1">
      <alignment horizontal="left" vertical="center"/>
    </xf>
    <xf numFmtId="0" fontId="105" fillId="24" borderId="145" xfId="0" applyFont="1" applyFill="1" applyBorder="1" applyAlignment="1">
      <alignment horizontal="left" vertical="center"/>
    </xf>
    <xf numFmtId="0" fontId="82" fillId="0" borderId="135" xfId="0" applyFont="1" applyBorder="1" applyAlignment="1">
      <alignment vertical="center" wrapText="1"/>
    </xf>
    <xf numFmtId="0" fontId="82" fillId="0" borderId="0" xfId="0" applyFont="1"/>
    <xf numFmtId="0" fontId="105" fillId="24" borderId="146" xfId="0" applyFont="1" applyFill="1" applyBorder="1" applyAlignment="1">
      <alignment horizontal="left" vertical="center"/>
    </xf>
    <xf numFmtId="0" fontId="101" fillId="24" borderId="146" xfId="0" applyFont="1" applyFill="1" applyBorder="1" applyAlignment="1">
      <alignment horizontal="left" vertical="center"/>
    </xf>
    <xf numFmtId="0" fontId="106" fillId="0" borderId="137" xfId="0" applyFont="1" applyBorder="1" applyAlignment="1">
      <alignment vertical="center" wrapText="1"/>
    </xf>
    <xf numFmtId="0" fontId="79" fillId="0" borderId="0" xfId="0" applyFont="1" applyAlignment="1">
      <alignment horizontal="center" vertical="center"/>
    </xf>
    <xf numFmtId="0" fontId="107" fillId="0" borderId="0" xfId="0" applyFont="1" applyAlignment="1">
      <alignment horizontal="center" wrapText="1"/>
    </xf>
    <xf numFmtId="0" fontId="79" fillId="0" borderId="135" xfId="0" applyFont="1" applyBorder="1" applyAlignment="1">
      <alignment vertical="center" wrapText="1"/>
    </xf>
    <xf numFmtId="0" fontId="108" fillId="24" borderId="142" xfId="0" applyFont="1" applyFill="1" applyBorder="1" applyAlignment="1">
      <alignment horizontal="center" vertical="center" wrapText="1"/>
    </xf>
    <xf numFmtId="0" fontId="108" fillId="24" borderId="143" xfId="0" applyFont="1" applyFill="1" applyBorder="1" applyAlignment="1">
      <alignment horizontal="center" vertical="center" wrapText="1"/>
    </xf>
    <xf numFmtId="0" fontId="108" fillId="24" borderId="144" xfId="0" applyFont="1" applyFill="1" applyBorder="1" applyAlignment="1">
      <alignment vertical="center"/>
    </xf>
    <xf numFmtId="0" fontId="109" fillId="0" borderId="51" xfId="0" applyFont="1" applyBorder="1" applyAlignment="1">
      <alignment horizontal="center" vertical="center"/>
    </xf>
    <xf numFmtId="9" fontId="109" fillId="0" borderId="133" xfId="0" applyNumberFormat="1" applyFont="1" applyBorder="1" applyAlignment="1">
      <alignment horizontal="center" vertical="center"/>
    </xf>
    <xf numFmtId="0" fontId="109" fillId="0" borderId="136" xfId="0" applyFont="1" applyBorder="1" applyAlignment="1">
      <alignment horizontal="center" vertical="center"/>
    </xf>
    <xf numFmtId="0" fontId="92" fillId="0" borderId="0" xfId="411" applyFont="1" applyAlignment="1">
      <alignment vertical="center"/>
    </xf>
    <xf numFmtId="0" fontId="79" fillId="0" borderId="147" xfId="0" applyFont="1" applyBorder="1"/>
    <xf numFmtId="0" fontId="19" fillId="0" borderId="0" xfId="408" applyFont="1" applyAlignment="1">
      <alignment horizontal="center" vertical="center" wrapText="1"/>
    </xf>
    <xf numFmtId="0" fontId="19" fillId="7" borderId="43" xfId="408" applyFont="1" applyFill="1" applyBorder="1" applyAlignment="1">
      <alignment horizontal="center" vertical="center" wrapText="1"/>
    </xf>
    <xf numFmtId="0" fontId="19" fillId="7" borderId="44" xfId="408" applyFont="1" applyFill="1" applyBorder="1" applyAlignment="1">
      <alignment horizontal="center" vertical="center" wrapText="1"/>
    </xf>
    <xf numFmtId="0" fontId="19" fillId="7" borderId="45" xfId="408" applyFont="1" applyFill="1" applyBorder="1" applyAlignment="1">
      <alignment horizontal="center" vertical="center" wrapText="1"/>
    </xf>
    <xf numFmtId="0" fontId="19" fillId="7" borderId="46" xfId="408" applyFont="1" applyFill="1" applyBorder="1" applyAlignment="1">
      <alignment horizontal="left" vertical="center" wrapText="1"/>
    </xf>
    <xf numFmtId="0" fontId="25" fillId="0" borderId="0" xfId="408" applyFont="1" applyAlignment="1">
      <alignment horizontal="center" vertical="center" wrapText="1"/>
    </xf>
    <xf numFmtId="0" fontId="25" fillId="8" borderId="47" xfId="408" applyFont="1" applyFill="1" applyBorder="1" applyAlignment="1">
      <alignment horizontal="center" vertical="center" wrapText="1"/>
    </xf>
    <xf numFmtId="0" fontId="18" fillId="8" borderId="48" xfId="408" applyFont="1" applyFill="1" applyBorder="1" applyAlignment="1">
      <alignment horizontal="center" vertical="center" wrapText="1"/>
    </xf>
    <xf numFmtId="0" fontId="18" fillId="7" borderId="48" xfId="408" applyFont="1" applyFill="1" applyBorder="1" applyAlignment="1">
      <alignment horizontal="center" vertical="center" wrapText="1"/>
    </xf>
    <xf numFmtId="1" fontId="18" fillId="7" borderId="48" xfId="408" applyNumberFormat="1" applyFont="1" applyFill="1" applyBorder="1" applyAlignment="1">
      <alignment horizontal="center" vertical="center" wrapText="1"/>
    </xf>
    <xf numFmtId="166" fontId="18" fillId="7" borderId="48" xfId="408" applyNumberFormat="1" applyFont="1" applyFill="1" applyBorder="1" applyAlignment="1">
      <alignment horizontal="center" vertical="center" wrapText="1"/>
    </xf>
    <xf numFmtId="0" fontId="18" fillId="0" borderId="49" xfId="408" applyFont="1" applyBorder="1" applyAlignment="1">
      <alignment wrapText="1"/>
    </xf>
    <xf numFmtId="0" fontId="25" fillId="8" borderId="50" xfId="408" applyFont="1" applyFill="1" applyBorder="1" applyAlignment="1">
      <alignment horizontal="center" vertical="center" wrapText="1"/>
    </xf>
    <xf numFmtId="0" fontId="18" fillId="8" borderId="51" xfId="408" applyFont="1" applyFill="1" applyBorder="1" applyAlignment="1">
      <alignment horizontal="center" vertical="center" wrapText="1"/>
    </xf>
    <xf numFmtId="0" fontId="18" fillId="7" borderId="51" xfId="408" applyFont="1" applyFill="1" applyBorder="1" applyAlignment="1">
      <alignment horizontal="center" vertical="center" wrapText="1"/>
    </xf>
    <xf numFmtId="1" fontId="18" fillId="7" borderId="51" xfId="408" applyNumberFormat="1" applyFont="1" applyFill="1" applyBorder="1" applyAlignment="1">
      <alignment horizontal="center" vertical="center" wrapText="1"/>
    </xf>
    <xf numFmtId="166" fontId="18" fillId="7" borderId="51" xfId="408" applyNumberFormat="1" applyFont="1" applyFill="1" applyBorder="1" applyAlignment="1">
      <alignment horizontal="center" vertical="center" wrapText="1"/>
    </xf>
    <xf numFmtId="0" fontId="25" fillId="0" borderId="52" xfId="408" applyFont="1" applyBorder="1" applyAlignment="1">
      <alignment wrapText="1"/>
    </xf>
    <xf numFmtId="1" fontId="20" fillId="7" borderId="51" xfId="408" applyNumberFormat="1" applyFont="1" applyFill="1" applyBorder="1" applyAlignment="1">
      <alignment horizontal="center" vertical="center" wrapText="1"/>
    </xf>
    <xf numFmtId="0" fontId="25" fillId="8" borderId="53" xfId="408" applyFont="1" applyFill="1" applyBorder="1" applyAlignment="1">
      <alignment horizontal="center" vertical="center" wrapText="1"/>
    </xf>
    <xf numFmtId="0" fontId="18" fillId="8" borderId="54" xfId="408" applyFont="1" applyFill="1" applyBorder="1" applyAlignment="1">
      <alignment horizontal="center" vertical="center" wrapText="1"/>
    </xf>
    <xf numFmtId="0" fontId="18" fillId="7" borderId="54" xfId="408" applyFont="1" applyFill="1" applyBorder="1" applyAlignment="1">
      <alignment horizontal="center" vertical="center" wrapText="1"/>
    </xf>
    <xf numFmtId="1" fontId="18" fillId="7" borderId="54" xfId="408" applyNumberFormat="1" applyFont="1" applyFill="1" applyBorder="1" applyAlignment="1">
      <alignment horizontal="center" vertical="center" wrapText="1"/>
    </xf>
    <xf numFmtId="166" fontId="18" fillId="7" borderId="54" xfId="408" applyNumberFormat="1" applyFont="1" applyFill="1" applyBorder="1" applyAlignment="1">
      <alignment horizontal="center" vertical="center" wrapText="1"/>
    </xf>
    <xf numFmtId="0" fontId="25" fillId="0" borderId="55" xfId="408" applyFont="1" applyBorder="1" applyAlignment="1">
      <alignment wrapText="1"/>
    </xf>
    <xf numFmtId="0" fontId="26" fillId="7" borderId="0" xfId="408" applyFont="1" applyFill="1" applyAlignment="1">
      <alignment vertical="center" wrapText="1"/>
    </xf>
    <xf numFmtId="0" fontId="26" fillId="7" borderId="0" xfId="408" applyFont="1" applyFill="1" applyAlignment="1">
      <alignment horizontal="center" vertical="center" wrapText="1"/>
    </xf>
    <xf numFmtId="1" fontId="19" fillId="9" borderId="56" xfId="408" applyNumberFormat="1" applyFont="1" applyFill="1" applyBorder="1" applyAlignment="1">
      <alignment horizontal="center" vertical="center" wrapText="1"/>
    </xf>
    <xf numFmtId="1" fontId="19" fillId="10" borderId="56" xfId="408" applyNumberFormat="1" applyFont="1" applyFill="1" applyBorder="1" applyAlignment="1">
      <alignment horizontal="center" vertical="center" wrapText="1"/>
    </xf>
    <xf numFmtId="0" fontId="18" fillId="0" borderId="0" xfId="408" applyFont="1" applyAlignment="1">
      <alignment horizontal="center" vertical="center" wrapText="1"/>
    </xf>
    <xf numFmtId="0" fontId="18" fillId="8" borderId="50" xfId="408" applyFont="1" applyFill="1" applyBorder="1" applyAlignment="1">
      <alignment horizontal="center" vertical="center" wrapText="1"/>
    </xf>
    <xf numFmtId="168" fontId="18" fillId="7" borderId="48" xfId="408" applyNumberFormat="1" applyFont="1" applyFill="1" applyBorder="1" applyAlignment="1">
      <alignment horizontal="center" vertical="center" wrapText="1"/>
    </xf>
    <xf numFmtId="0" fontId="18" fillId="8" borderId="53" xfId="408" applyFont="1" applyFill="1" applyBorder="1" applyAlignment="1">
      <alignment horizontal="center" vertical="center" wrapText="1"/>
    </xf>
    <xf numFmtId="166" fontId="18" fillId="7" borderId="57" xfId="408" applyNumberFormat="1" applyFont="1" applyFill="1" applyBorder="1" applyAlignment="1">
      <alignment horizontal="center" vertical="center" wrapText="1"/>
    </xf>
    <xf numFmtId="0" fontId="2" fillId="0" borderId="0" xfId="408" applyFont="1"/>
    <xf numFmtId="0" fontId="18" fillId="11" borderId="47" xfId="408" applyFont="1" applyFill="1" applyBorder="1" applyAlignment="1">
      <alignment vertical="center" wrapText="1"/>
    </xf>
    <xf numFmtId="0" fontId="25" fillId="0" borderId="49" xfId="408" applyFont="1" applyBorder="1"/>
    <xf numFmtId="0" fontId="18" fillId="11" borderId="50" xfId="408" applyFont="1" applyFill="1" applyBorder="1" applyAlignment="1">
      <alignment vertical="center" wrapText="1"/>
    </xf>
    <xf numFmtId="0" fontId="25" fillId="0" borderId="52" xfId="408" applyFont="1" applyBorder="1"/>
    <xf numFmtId="0" fontId="18" fillId="7" borderId="0" xfId="408" applyFont="1" applyFill="1" applyAlignment="1">
      <alignment horizontal="center" vertical="center" wrapText="1"/>
    </xf>
    <xf numFmtId="0" fontId="21" fillId="7" borderId="51" xfId="408" applyFont="1" applyFill="1" applyBorder="1" applyAlignment="1">
      <alignment horizontal="center" vertical="center" wrapText="1"/>
    </xf>
    <xf numFmtId="1" fontId="21" fillId="7" borderId="51" xfId="408" applyNumberFormat="1" applyFont="1" applyFill="1" applyBorder="1" applyAlignment="1">
      <alignment horizontal="center" vertical="center" wrapText="1"/>
    </xf>
    <xf numFmtId="0" fontId="18" fillId="0" borderId="52" xfId="408" applyFont="1" applyBorder="1"/>
    <xf numFmtId="0" fontId="18" fillId="11" borderId="53" xfId="408" applyFont="1" applyFill="1" applyBorder="1" applyAlignment="1">
      <alignment vertical="center" wrapText="1"/>
    </xf>
    <xf numFmtId="0" fontId="25" fillId="0" borderId="55" xfId="408" applyFont="1" applyBorder="1"/>
    <xf numFmtId="0" fontId="19" fillId="9" borderId="58" xfId="408" applyFont="1" applyFill="1" applyBorder="1" applyAlignment="1">
      <alignment horizontal="center" vertical="center" wrapText="1"/>
    </xf>
    <xf numFmtId="0" fontId="25" fillId="7" borderId="0" xfId="408" applyFont="1" applyFill="1" applyAlignment="1">
      <alignment horizontal="center"/>
    </xf>
    <xf numFmtId="0" fontId="19" fillId="7" borderId="46" xfId="408" applyFont="1" applyFill="1" applyBorder="1" applyAlignment="1">
      <alignment horizontal="center" vertical="center" wrapText="1"/>
    </xf>
    <xf numFmtId="0" fontId="18" fillId="11" borderId="47" xfId="408" applyFont="1" applyFill="1" applyBorder="1" applyAlignment="1">
      <alignment horizontal="center" vertical="center" wrapText="1"/>
    </xf>
    <xf numFmtId="0" fontId="22" fillId="8" borderId="48" xfId="408" applyFont="1" applyFill="1" applyBorder="1" applyAlignment="1">
      <alignment horizontal="center" vertical="center" wrapText="1"/>
    </xf>
    <xf numFmtId="0" fontId="18" fillId="11" borderId="50" xfId="408" applyFont="1" applyFill="1" applyBorder="1" applyAlignment="1">
      <alignment horizontal="center" vertical="center" wrapText="1"/>
    </xf>
    <xf numFmtId="0" fontId="22" fillId="8" borderId="51" xfId="408" applyFont="1" applyFill="1" applyBorder="1" applyAlignment="1">
      <alignment horizontal="center" vertical="center" wrapText="1"/>
    </xf>
    <xf numFmtId="0" fontId="25" fillId="0" borderId="49" xfId="408" applyFont="1" applyBorder="1" applyAlignment="1">
      <alignment wrapText="1"/>
    </xf>
    <xf numFmtId="0" fontId="18" fillId="11" borderId="53" xfId="408" applyFont="1" applyFill="1" applyBorder="1" applyAlignment="1">
      <alignment horizontal="center" vertical="center" wrapText="1"/>
    </xf>
    <xf numFmtId="0" fontId="22" fillId="8" borderId="54" xfId="408" applyFont="1" applyFill="1" applyBorder="1" applyAlignment="1">
      <alignment horizontal="center" vertical="center" wrapText="1"/>
    </xf>
    <xf numFmtId="166" fontId="18" fillId="7" borderId="54" xfId="408" applyNumberFormat="1" applyFont="1" applyFill="1" applyBorder="1" applyAlignment="1">
      <alignment horizontal="left" vertical="center" wrapText="1"/>
    </xf>
    <xf numFmtId="2" fontId="43" fillId="0" borderId="0" xfId="0" applyNumberFormat="1" applyFont="1"/>
    <xf numFmtId="169" fontId="42" fillId="0" borderId="0" xfId="0" applyNumberFormat="1" applyFont="1"/>
    <xf numFmtId="0" fontId="44" fillId="0" borderId="0" xfId="0" applyFont="1"/>
    <xf numFmtId="0" fontId="44" fillId="0" borderId="48" xfId="0" applyFont="1" applyBorder="1" applyAlignment="1">
      <alignment horizontal="center"/>
    </xf>
    <xf numFmtId="1" fontId="43" fillId="0" borderId="0" xfId="0" applyNumberFormat="1" applyFont="1" applyAlignment="1">
      <alignment vertical="center"/>
    </xf>
    <xf numFmtId="170" fontId="43" fillId="0" borderId="0" xfId="0" applyNumberFormat="1" applyFont="1"/>
    <xf numFmtId="0" fontId="44" fillId="0" borderId="51" xfId="0" applyFont="1" applyBorder="1" applyAlignment="1">
      <alignment horizontal="center"/>
    </xf>
    <xf numFmtId="0" fontId="44" fillId="0" borderId="61" xfId="0" applyFont="1" applyBorder="1" applyAlignment="1">
      <alignment horizontal="center"/>
    </xf>
    <xf numFmtId="170" fontId="43" fillId="0" borderId="0" xfId="0" applyNumberFormat="1" applyFont="1" applyAlignment="1">
      <alignment vertical="center"/>
    </xf>
    <xf numFmtId="169" fontId="43" fillId="0" borderId="0" xfId="0" applyNumberFormat="1" applyFont="1"/>
    <xf numFmtId="1" fontId="43" fillId="0" borderId="0" xfId="0" applyNumberFormat="1" applyFont="1" applyAlignment="1">
      <alignment horizontal="center" vertical="center"/>
    </xf>
    <xf numFmtId="0" fontId="42" fillId="8" borderId="50" xfId="0" applyFont="1" applyFill="1" applyBorder="1" applyAlignment="1">
      <alignment horizontal="center" vertical="center" wrapText="1"/>
    </xf>
    <xf numFmtId="0" fontId="42" fillId="8" borderId="51" xfId="0" applyFont="1" applyFill="1" applyBorder="1" applyAlignment="1">
      <alignment horizontal="center" vertical="center" wrapText="1"/>
    </xf>
    <xf numFmtId="1" fontId="42" fillId="7" borderId="48" xfId="0" applyNumberFormat="1" applyFont="1" applyFill="1" applyBorder="1" applyAlignment="1">
      <alignment horizontal="center" vertical="center" wrapText="1"/>
    </xf>
    <xf numFmtId="1" fontId="42" fillId="7" borderId="51" xfId="0" applyNumberFormat="1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left" vertical="center" wrapText="1"/>
    </xf>
    <xf numFmtId="0" fontId="42" fillId="0" borderId="0" xfId="0" applyFont="1" applyAlignment="1">
      <alignment horizontal="center" vertical="center" wrapText="1"/>
    </xf>
    <xf numFmtId="0" fontId="42" fillId="11" borderId="50" xfId="0" applyFont="1" applyFill="1" applyBorder="1" applyAlignment="1">
      <alignment vertical="center" wrapText="1"/>
    </xf>
    <xf numFmtId="0" fontId="42" fillId="7" borderId="51" xfId="0" applyFont="1" applyFill="1" applyBorder="1" applyAlignment="1">
      <alignment horizontal="center" vertical="center" wrapText="1"/>
    </xf>
    <xf numFmtId="0" fontId="42" fillId="0" borderId="52" xfId="0" applyFont="1" applyBorder="1"/>
    <xf numFmtId="0" fontId="42" fillId="0" borderId="51" xfId="0" applyFont="1" applyBorder="1" applyAlignment="1">
      <alignment horizontal="center" vertical="center" wrapText="1"/>
    </xf>
    <xf numFmtId="1" fontId="42" fillId="0" borderId="51" xfId="0" applyNumberFormat="1" applyFont="1" applyBorder="1" applyAlignment="1">
      <alignment horizontal="center" vertical="center" wrapText="1"/>
    </xf>
    <xf numFmtId="0" fontId="45" fillId="0" borderId="54" xfId="0" applyFont="1" applyBorder="1" applyAlignment="1">
      <alignment horizontal="center"/>
    </xf>
    <xf numFmtId="0" fontId="17" fillId="0" borderId="4" xfId="0" applyFont="1" applyBorder="1"/>
    <xf numFmtId="3" fontId="17" fillId="0" borderId="4" xfId="0" applyNumberFormat="1" applyFont="1" applyBorder="1"/>
    <xf numFmtId="3" fontId="17" fillId="0" borderId="0" xfId="0" applyNumberFormat="1" applyFont="1"/>
    <xf numFmtId="4" fontId="17" fillId="0" borderId="10" xfId="0" applyNumberFormat="1" applyFont="1" applyBorder="1" applyAlignment="1">
      <alignment horizontal="center"/>
    </xf>
    <xf numFmtId="2" fontId="17" fillId="0" borderId="4" xfId="0" applyNumberFormat="1" applyFont="1" applyBorder="1"/>
    <xf numFmtId="3" fontId="17" fillId="0" borderId="103" xfId="0" applyNumberFormat="1" applyFont="1" applyBorder="1" applyAlignment="1">
      <alignment horizontal="center"/>
    </xf>
    <xf numFmtId="3" fontId="17" fillId="0" borderId="104" xfId="0" applyNumberFormat="1" applyFont="1" applyBorder="1" applyAlignment="1">
      <alignment horizontal="center"/>
    </xf>
    <xf numFmtId="3" fontId="17" fillId="0" borderId="39" xfId="0" applyNumberFormat="1" applyFont="1" applyBorder="1" applyAlignment="1">
      <alignment horizontal="center"/>
    </xf>
    <xf numFmtId="2" fontId="17" fillId="0" borderId="105" xfId="0" applyNumberFormat="1" applyFont="1" applyBorder="1"/>
    <xf numFmtId="0" fontId="18" fillId="8" borderId="106" xfId="0" applyFont="1" applyFill="1" applyBorder="1" applyAlignment="1">
      <alignment horizontal="center"/>
    </xf>
    <xf numFmtId="0" fontId="18" fillId="8" borderId="120" xfId="0" applyFont="1" applyFill="1" applyBorder="1" applyAlignment="1">
      <alignment horizontal="center"/>
    </xf>
    <xf numFmtId="0" fontId="19" fillId="7" borderId="121" xfId="0" applyFont="1" applyFill="1" applyBorder="1" applyAlignment="1">
      <alignment horizontal="center" vertical="center" wrapText="1"/>
    </xf>
    <xf numFmtId="0" fontId="18" fillId="3" borderId="108" xfId="0" applyFont="1" applyFill="1" applyBorder="1" applyAlignment="1">
      <alignment horizontal="center" wrapText="1" readingOrder="1"/>
    </xf>
    <xf numFmtId="0" fontId="18" fillId="3" borderId="122" xfId="0" applyFont="1" applyFill="1" applyBorder="1" applyAlignment="1">
      <alignment horizontal="center" wrapText="1" readingOrder="1"/>
    </xf>
    <xf numFmtId="0" fontId="43" fillId="0" borderId="109" xfId="0" applyFont="1" applyBorder="1" applyAlignment="1">
      <alignment wrapText="1" readingOrder="1"/>
    </xf>
    <xf numFmtId="0" fontId="18" fillId="7" borderId="62" xfId="0" applyFont="1" applyFill="1" applyBorder="1" applyAlignment="1">
      <alignment horizontal="center" vertical="center" wrapText="1"/>
    </xf>
    <xf numFmtId="4" fontId="91" fillId="0" borderId="80" xfId="0" applyNumberFormat="1" applyFont="1" applyBorder="1" applyAlignment="1">
      <alignment horizontal="center"/>
    </xf>
    <xf numFmtId="0" fontId="20" fillId="0" borderId="52" xfId="0" applyFont="1" applyBorder="1" applyAlignment="1">
      <alignment vertical="center"/>
    </xf>
    <xf numFmtId="0" fontId="20" fillId="8" borderId="106" xfId="0" applyFont="1" applyFill="1" applyBorder="1" applyAlignment="1">
      <alignment horizontal="center"/>
    </xf>
    <xf numFmtId="0" fontId="20" fillId="8" borderId="120" xfId="0" applyFont="1" applyFill="1" applyBorder="1" applyAlignment="1">
      <alignment horizontal="center"/>
    </xf>
    <xf numFmtId="0" fontId="110" fillId="7" borderId="121" xfId="0" applyFont="1" applyFill="1" applyBorder="1" applyAlignment="1">
      <alignment horizontal="center" vertical="center" wrapText="1"/>
    </xf>
    <xf numFmtId="0" fontId="20" fillId="3" borderId="108" xfId="0" applyFont="1" applyFill="1" applyBorder="1" applyAlignment="1">
      <alignment horizontal="center" wrapText="1" readingOrder="1"/>
    </xf>
    <xf numFmtId="0" fontId="20" fillId="3" borderId="122" xfId="0" applyFont="1" applyFill="1" applyBorder="1" applyAlignment="1">
      <alignment horizontal="center" wrapText="1" readingOrder="1"/>
    </xf>
    <xf numFmtId="0" fontId="20" fillId="0" borderId="112" xfId="0" applyFont="1" applyBorder="1" applyAlignment="1">
      <alignment wrapText="1" readingOrder="1"/>
    </xf>
    <xf numFmtId="4" fontId="17" fillId="12" borderId="10" xfId="0" applyNumberFormat="1" applyFont="1" applyFill="1" applyBorder="1" applyAlignment="1">
      <alignment horizontal="center"/>
    </xf>
    <xf numFmtId="0" fontId="21" fillId="7" borderId="63" xfId="0" applyFont="1" applyFill="1" applyBorder="1" applyAlignment="1">
      <alignment horizontal="center"/>
    </xf>
    <xf numFmtId="0" fontId="79" fillId="0" borderId="137" xfId="0" applyFont="1" applyBorder="1" applyAlignment="1">
      <alignment vertical="center" wrapText="1"/>
    </xf>
    <xf numFmtId="4" fontId="90" fillId="13" borderId="10" xfId="0" applyNumberFormat="1" applyFont="1" applyFill="1" applyBorder="1" applyAlignment="1">
      <alignment horizontal="center"/>
    </xf>
    <xf numFmtId="4" fontId="91" fillId="13" borderId="2" xfId="0" applyNumberFormat="1" applyFont="1" applyFill="1" applyBorder="1" applyAlignment="1">
      <alignment horizontal="center"/>
    </xf>
    <xf numFmtId="4" fontId="90" fillId="13" borderId="24" xfId="0" applyNumberFormat="1" applyFont="1" applyFill="1" applyBorder="1" applyAlignment="1">
      <alignment horizontal="center"/>
    </xf>
    <xf numFmtId="4" fontId="90" fillId="0" borderId="24" xfId="0" applyNumberFormat="1" applyFont="1" applyBorder="1" applyAlignment="1">
      <alignment horizontal="center"/>
    </xf>
    <xf numFmtId="0" fontId="16" fillId="0" borderId="99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90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73" fillId="0" borderId="0" xfId="410" applyFont="1" applyAlignment="1">
      <alignment horizontal="center"/>
    </xf>
    <xf numFmtId="3" fontId="90" fillId="0" borderId="0" xfId="0" applyNumberFormat="1" applyFont="1" applyAlignment="1">
      <alignment horizontal="center"/>
    </xf>
    <xf numFmtId="1" fontId="90" fillId="0" borderId="0" xfId="0" applyNumberFormat="1" applyFont="1" applyAlignment="1">
      <alignment horizontal="center"/>
    </xf>
    <xf numFmtId="9" fontId="90" fillId="0" borderId="0" xfId="410" applyFont="1" applyAlignment="1">
      <alignment horizontal="center"/>
    </xf>
    <xf numFmtId="0" fontId="20" fillId="2" borderId="124" xfId="0" applyFont="1" applyFill="1" applyBorder="1" applyAlignment="1">
      <alignment horizontal="center" wrapText="1" readingOrder="1"/>
    </xf>
    <xf numFmtId="0" fontId="21" fillId="2" borderId="110" xfId="0" applyFont="1" applyFill="1" applyBorder="1" applyAlignment="1">
      <alignment horizontal="center"/>
    </xf>
    <xf numFmtId="0" fontId="21" fillId="2" borderId="63" xfId="0" applyFont="1" applyFill="1" applyBorder="1" applyAlignment="1">
      <alignment horizontal="center"/>
    </xf>
    <xf numFmtId="1" fontId="21" fillId="2" borderId="63" xfId="0" applyNumberFormat="1" applyFont="1" applyFill="1" applyBorder="1" applyAlignment="1">
      <alignment horizontal="center"/>
    </xf>
    <xf numFmtId="0" fontId="21" fillId="2" borderId="123" xfId="0" applyFont="1" applyFill="1" applyBorder="1" applyAlignment="1">
      <alignment horizontal="center" wrapText="1" readingOrder="1"/>
    </xf>
    <xf numFmtId="0" fontId="21" fillId="2" borderId="124" xfId="0" applyFont="1" applyFill="1" applyBorder="1" applyAlignment="1">
      <alignment horizontal="center" wrapText="1" readingOrder="1"/>
    </xf>
    <xf numFmtId="0" fontId="21" fillId="2" borderId="125" xfId="0" applyFont="1" applyFill="1" applyBorder="1" applyAlignment="1">
      <alignment wrapText="1" readingOrder="1"/>
    </xf>
    <xf numFmtId="0" fontId="18" fillId="2" borderId="110" xfId="0" applyFont="1" applyFill="1" applyBorder="1" applyAlignment="1">
      <alignment horizontal="center"/>
    </xf>
    <xf numFmtId="0" fontId="18" fillId="2" borderId="63" xfId="0" applyFont="1" applyFill="1" applyBorder="1" applyAlignment="1">
      <alignment horizontal="center"/>
    </xf>
    <xf numFmtId="1" fontId="18" fillId="2" borderId="63" xfId="0" applyNumberFormat="1" applyFont="1" applyFill="1" applyBorder="1" applyAlignment="1">
      <alignment horizontal="center"/>
    </xf>
    <xf numFmtId="0" fontId="18" fillId="2" borderId="123" xfId="0" applyFont="1" applyFill="1" applyBorder="1" applyAlignment="1">
      <alignment horizontal="center" wrapText="1" readingOrder="1"/>
    </xf>
    <xf numFmtId="0" fontId="18" fillId="2" borderId="124" xfId="0" applyFont="1" applyFill="1" applyBorder="1" applyAlignment="1">
      <alignment horizontal="center" wrapText="1" readingOrder="1"/>
    </xf>
    <xf numFmtId="0" fontId="43" fillId="2" borderId="125" xfId="0" applyFont="1" applyFill="1" applyBorder="1" applyAlignment="1">
      <alignment wrapText="1" readingOrder="1"/>
    </xf>
    <xf numFmtId="0" fontId="20" fillId="2" borderId="110" xfId="0" applyFont="1" applyFill="1" applyBorder="1" applyAlignment="1">
      <alignment horizontal="center"/>
    </xf>
    <xf numFmtId="0" fontId="20" fillId="2" borderId="63" xfId="0" applyFont="1" applyFill="1" applyBorder="1" applyAlignment="1">
      <alignment horizontal="center"/>
    </xf>
    <xf numFmtId="1" fontId="20" fillId="2" borderId="63" xfId="0" applyNumberFormat="1" applyFont="1" applyFill="1" applyBorder="1" applyAlignment="1">
      <alignment horizontal="center"/>
    </xf>
    <xf numFmtId="0" fontId="20" fillId="2" borderId="123" xfId="0" applyFont="1" applyFill="1" applyBorder="1" applyAlignment="1">
      <alignment horizontal="center" wrapText="1" readingOrder="1"/>
    </xf>
    <xf numFmtId="0" fontId="20" fillId="2" borderId="125" xfId="0" applyFont="1" applyFill="1" applyBorder="1" applyAlignment="1">
      <alignment wrapText="1" readingOrder="1"/>
    </xf>
    <xf numFmtId="1" fontId="18" fillId="2" borderId="51" xfId="0" applyNumberFormat="1" applyFont="1" applyFill="1" applyBorder="1" applyAlignment="1">
      <alignment horizontal="center"/>
    </xf>
    <xf numFmtId="0" fontId="18" fillId="2" borderId="148" xfId="0" applyFont="1" applyFill="1" applyBorder="1" applyAlignment="1">
      <alignment horizontal="center"/>
    </xf>
    <xf numFmtId="0" fontId="18" fillId="2" borderId="149" xfId="0" applyFont="1" applyFill="1" applyBorder="1" applyAlignment="1">
      <alignment horizontal="center" wrapText="1" readingOrder="1"/>
    </xf>
    <xf numFmtId="0" fontId="111" fillId="0" borderId="81" xfId="0" applyFont="1" applyBorder="1" applyAlignment="1">
      <alignment wrapText="1"/>
    </xf>
    <xf numFmtId="0" fontId="21" fillId="0" borderId="150" xfId="0" applyFont="1" applyBorder="1" applyAlignment="1">
      <alignment wrapText="1" readingOrder="1"/>
    </xf>
    <xf numFmtId="0" fontId="111" fillId="2" borderId="81" xfId="0" applyFont="1" applyFill="1" applyBorder="1" applyAlignment="1">
      <alignment wrapText="1"/>
    </xf>
    <xf numFmtId="0" fontId="17" fillId="0" borderId="51" xfId="0" applyFont="1" applyBorder="1"/>
    <xf numFmtId="0" fontId="16" fillId="0" borderId="104" xfId="0" applyFont="1" applyBorder="1" applyAlignment="1">
      <alignment horizontal="center" vertical="top" wrapText="1"/>
    </xf>
    <xf numFmtId="4" fontId="80" fillId="0" borderId="80" xfId="0" applyNumberFormat="1" applyFont="1" applyBorder="1" applyAlignment="1">
      <alignment horizontal="center"/>
    </xf>
    <xf numFmtId="4" fontId="80" fillId="0" borderId="10" xfId="0" applyNumberFormat="1" applyFont="1" applyBorder="1" applyAlignment="1">
      <alignment horizontal="center"/>
    </xf>
    <xf numFmtId="4" fontId="80" fillId="0" borderId="2" xfId="0" applyNumberFormat="1" applyFont="1" applyBorder="1" applyAlignment="1">
      <alignment horizontal="center"/>
    </xf>
    <xf numFmtId="174" fontId="112" fillId="0" borderId="2" xfId="0" applyNumberFormat="1" applyFont="1" applyBorder="1" applyAlignment="1">
      <alignment horizontal="center"/>
    </xf>
    <xf numFmtId="4" fontId="114" fillId="0" borderId="80" xfId="0" applyNumberFormat="1" applyFont="1" applyBorder="1" applyAlignment="1">
      <alignment horizontal="center"/>
    </xf>
    <xf numFmtId="4" fontId="114" fillId="0" borderId="2" xfId="0" applyNumberFormat="1" applyFont="1" applyBorder="1" applyAlignment="1">
      <alignment horizontal="center"/>
    </xf>
    <xf numFmtId="4" fontId="114" fillId="0" borderId="4" xfId="0" applyNumberFormat="1" applyFont="1" applyBorder="1" applyAlignment="1">
      <alignment horizontal="center"/>
    </xf>
    <xf numFmtId="4" fontId="114" fillId="0" borderId="3" xfId="0" applyNumberFormat="1" applyFont="1" applyBorder="1" applyAlignment="1">
      <alignment horizontal="center"/>
    </xf>
    <xf numFmtId="4" fontId="91" fillId="0" borderId="151" xfId="0" applyNumberFormat="1" applyFont="1" applyBorder="1" applyAlignment="1">
      <alignment horizontal="center"/>
    </xf>
    <xf numFmtId="4" fontId="90" fillId="0" borderId="152" xfId="0" applyNumberFormat="1" applyFont="1" applyBorder="1" applyAlignment="1">
      <alignment horizontal="center"/>
    </xf>
    <xf numFmtId="4" fontId="90" fillId="0" borderId="153" xfId="0" applyNumberFormat="1" applyFont="1" applyBorder="1" applyAlignment="1">
      <alignment horizontal="center"/>
    </xf>
    <xf numFmtId="4" fontId="90" fillId="0" borderId="154" xfId="0" applyNumberFormat="1" applyFont="1" applyBorder="1" applyAlignment="1">
      <alignment horizontal="center"/>
    </xf>
    <xf numFmtId="4" fontId="91" fillId="0" borderId="155" xfId="0" applyNumberFormat="1" applyFont="1" applyBorder="1" applyAlignment="1">
      <alignment horizontal="center"/>
    </xf>
    <xf numFmtId="4" fontId="90" fillId="0" borderId="156" xfId="0" applyNumberFormat="1" applyFont="1" applyBorder="1" applyAlignment="1">
      <alignment horizontal="center"/>
    </xf>
    <xf numFmtId="4" fontId="91" fillId="0" borderId="157" xfId="0" applyNumberFormat="1" applyFont="1" applyBorder="1" applyAlignment="1">
      <alignment horizontal="center"/>
    </xf>
    <xf numFmtId="4" fontId="90" fillId="0" borderId="158" xfId="0" applyNumberFormat="1" applyFont="1" applyBorder="1" applyAlignment="1">
      <alignment horizontal="center"/>
    </xf>
    <xf numFmtId="4" fontId="90" fillId="0" borderId="159" xfId="0" applyNumberFormat="1" applyFont="1" applyBorder="1" applyAlignment="1">
      <alignment horizontal="center"/>
    </xf>
    <xf numFmtId="4" fontId="90" fillId="0" borderId="160" xfId="0" applyNumberFormat="1" applyFont="1" applyBorder="1" applyAlignment="1">
      <alignment horizontal="center"/>
    </xf>
    <xf numFmtId="0" fontId="73" fillId="0" borderId="161" xfId="0" applyFont="1" applyBorder="1" applyAlignment="1">
      <alignment vertical="center" wrapText="1"/>
    </xf>
    <xf numFmtId="0" fontId="73" fillId="0" borderId="162" xfId="0" applyFont="1" applyBorder="1" applyAlignment="1">
      <alignment vertical="center" wrapText="1"/>
    </xf>
    <xf numFmtId="0" fontId="73" fillId="0" borderId="1" xfId="0" applyFont="1" applyBorder="1" applyAlignment="1">
      <alignment vertical="center" wrapText="1"/>
    </xf>
    <xf numFmtId="0" fontId="73" fillId="0" borderId="163" xfId="0" applyFont="1" applyBorder="1" applyAlignment="1">
      <alignment vertical="center" wrapText="1"/>
    </xf>
    <xf numFmtId="174" fontId="90" fillId="0" borderId="51" xfId="0" applyNumberFormat="1" applyFont="1" applyBorder="1" applyAlignment="1">
      <alignment horizontal="center"/>
    </xf>
    <xf numFmtId="174" fontId="91" fillId="0" borderId="10" xfId="0" applyNumberFormat="1" applyFont="1" applyBorder="1" applyAlignment="1">
      <alignment horizontal="center"/>
    </xf>
    <xf numFmtId="174" fontId="90" fillId="0" borderId="104" xfId="0" applyNumberFormat="1" applyFont="1" applyBorder="1" applyAlignment="1">
      <alignment horizontal="center"/>
    </xf>
    <xf numFmtId="174" fontId="90" fillId="0" borderId="164" xfId="0" applyNumberFormat="1" applyFont="1" applyBorder="1" applyAlignment="1">
      <alignment horizontal="center"/>
    </xf>
    <xf numFmtId="4" fontId="113" fillId="0" borderId="155" xfId="0" applyNumberFormat="1" applyFont="1" applyBorder="1" applyAlignment="1">
      <alignment horizontal="center"/>
    </xf>
    <xf numFmtId="4" fontId="114" fillId="0" borderId="156" xfId="0" applyNumberFormat="1" applyFont="1" applyBorder="1" applyAlignment="1">
      <alignment horizontal="center"/>
    </xf>
    <xf numFmtId="174" fontId="113" fillId="0" borderId="2" xfId="0" applyNumberFormat="1" applyFont="1" applyBorder="1" applyAlignment="1">
      <alignment horizontal="center"/>
    </xf>
    <xf numFmtId="174" fontId="114" fillId="0" borderId="2" xfId="0" applyNumberFormat="1" applyFont="1" applyBorder="1" applyAlignment="1">
      <alignment horizontal="center"/>
    </xf>
    <xf numFmtId="174" fontId="114" fillId="0" borderId="10" xfId="0" applyNumberFormat="1" applyFont="1" applyBorder="1" applyAlignment="1">
      <alignment horizontal="center"/>
    </xf>
    <xf numFmtId="174" fontId="114" fillId="0" borderId="51" xfId="0" applyNumberFormat="1" applyFont="1" applyBorder="1" applyAlignment="1">
      <alignment horizontal="center"/>
    </xf>
    <xf numFmtId="0" fontId="115" fillId="0" borderId="0" xfId="0" applyFont="1"/>
    <xf numFmtId="15" fontId="112" fillId="0" borderId="12" xfId="0" applyNumberFormat="1" applyFont="1" applyBorder="1" applyAlignment="1">
      <alignment horizontal="right" wrapText="1"/>
    </xf>
    <xf numFmtId="174" fontId="112" fillId="0" borderId="4" xfId="0" applyNumberFormat="1" applyFont="1" applyBorder="1" applyAlignment="1">
      <alignment horizontal="center"/>
    </xf>
    <xf numFmtId="174" fontId="114" fillId="0" borderId="3" xfId="0" applyNumberFormat="1" applyFont="1" applyBorder="1" applyAlignment="1">
      <alignment horizontal="center"/>
    </xf>
    <xf numFmtId="4" fontId="114" fillId="0" borderId="10" xfId="0" applyNumberFormat="1" applyFont="1" applyBorder="1" applyAlignment="1">
      <alignment horizontal="center"/>
    </xf>
    <xf numFmtId="0" fontId="116" fillId="0" borderId="0" xfId="0" applyFont="1"/>
    <xf numFmtId="173" fontId="114" fillId="0" borderId="24" xfId="0" applyNumberFormat="1" applyFont="1" applyBorder="1" applyAlignment="1">
      <alignment horizontal="center"/>
    </xf>
    <xf numFmtId="0" fontId="106" fillId="0" borderId="0" xfId="0" applyFont="1"/>
    <xf numFmtId="3" fontId="106" fillId="0" borderId="0" xfId="0" applyNumberFormat="1" applyFont="1"/>
    <xf numFmtId="0" fontId="16" fillId="0" borderId="133" xfId="0" applyFont="1" applyBorder="1"/>
    <xf numFmtId="165" fontId="40" fillId="0" borderId="64" xfId="0" applyNumberFormat="1" applyFont="1" applyBorder="1" applyAlignment="1">
      <alignment horizontal="center" wrapText="1"/>
    </xf>
    <xf numFmtId="165" fontId="40" fillId="0" borderId="64" xfId="0" applyNumberFormat="1" applyFont="1" applyBorder="1" applyAlignment="1">
      <alignment horizontal="center" vertical="center"/>
    </xf>
    <xf numFmtId="174" fontId="112" fillId="0" borderId="10" xfId="0" applyNumberFormat="1" applyFont="1" applyBorder="1" applyAlignment="1">
      <alignment horizontal="center"/>
    </xf>
    <xf numFmtId="4" fontId="112" fillId="13" borderId="169" xfId="0" applyNumberFormat="1" applyFont="1" applyFill="1" applyBorder="1" applyAlignment="1">
      <alignment horizontal="center"/>
    </xf>
    <xf numFmtId="4" fontId="112" fillId="13" borderId="170" xfId="0" applyNumberFormat="1" applyFont="1" applyFill="1" applyBorder="1" applyAlignment="1">
      <alignment horizontal="center"/>
    </xf>
    <xf numFmtId="4" fontId="114" fillId="13" borderId="170" xfId="0" applyNumberFormat="1" applyFont="1" applyFill="1" applyBorder="1" applyAlignment="1">
      <alignment horizontal="center"/>
    </xf>
    <xf numFmtId="4" fontId="114" fillId="13" borderId="133" xfId="0" applyNumberFormat="1" applyFont="1" applyFill="1" applyBorder="1" applyAlignment="1">
      <alignment horizontal="center"/>
    </xf>
    <xf numFmtId="4" fontId="114" fillId="0" borderId="24" xfId="0" applyNumberFormat="1" applyFont="1" applyBorder="1" applyAlignment="1">
      <alignment horizontal="center"/>
    </xf>
    <xf numFmtId="4" fontId="112" fillId="0" borderId="80" xfId="0" applyNumberFormat="1" applyFont="1" applyBorder="1" applyAlignment="1">
      <alignment horizontal="center"/>
    </xf>
    <xf numFmtId="174" fontId="113" fillId="13" borderId="2" xfId="0" applyNumberFormat="1" applyFont="1" applyFill="1" applyBorder="1" applyAlignment="1">
      <alignment horizontal="center"/>
    </xf>
    <xf numFmtId="174" fontId="114" fillId="13" borderId="2" xfId="0" applyNumberFormat="1" applyFont="1" applyFill="1" applyBorder="1" applyAlignment="1">
      <alignment horizontal="center"/>
    </xf>
    <xf numFmtId="174" fontId="114" fillId="13" borderId="10" xfId="0" applyNumberFormat="1" applyFont="1" applyFill="1" applyBorder="1" applyAlignment="1">
      <alignment horizontal="center"/>
    </xf>
    <xf numFmtId="174" fontId="114" fillId="13" borderId="51" xfId="0" applyNumberFormat="1" applyFont="1" applyFill="1" applyBorder="1" applyAlignment="1">
      <alignment horizontal="center"/>
    </xf>
    <xf numFmtId="173" fontId="114" fillId="13" borderId="24" xfId="0" applyNumberFormat="1" applyFont="1" applyFill="1" applyBorder="1" applyAlignment="1">
      <alignment horizontal="center"/>
    </xf>
    <xf numFmtId="0" fontId="106" fillId="0" borderId="81" xfId="0" applyFont="1" applyBorder="1" applyAlignment="1">
      <alignment wrapText="1"/>
    </xf>
    <xf numFmtId="0" fontId="18" fillId="0" borderId="125" xfId="0" applyFont="1" applyBorder="1" applyAlignment="1">
      <alignment wrapText="1" readingOrder="1"/>
    </xf>
    <xf numFmtId="0" fontId="44" fillId="0" borderId="125" xfId="0" applyFont="1" applyBorder="1" applyAlignment="1">
      <alignment wrapText="1" readingOrder="1"/>
    </xf>
    <xf numFmtId="1" fontId="18" fillId="7" borderId="0" xfId="0" applyNumberFormat="1" applyFont="1" applyFill="1" applyAlignment="1">
      <alignment horizontal="center" vertical="center" wrapText="1"/>
    </xf>
    <xf numFmtId="1" fontId="18" fillId="7" borderId="133" xfId="0" applyNumberFormat="1" applyFont="1" applyFill="1" applyBorder="1" applyAlignment="1">
      <alignment horizontal="center" vertical="center" wrapText="1"/>
    </xf>
    <xf numFmtId="0" fontId="111" fillId="0" borderId="84" xfId="0" applyFont="1" applyBorder="1" applyAlignment="1">
      <alignment wrapText="1"/>
    </xf>
    <xf numFmtId="0" fontId="25" fillId="8" borderId="171" xfId="0" applyFont="1" applyFill="1" applyBorder="1" applyAlignment="1">
      <alignment horizontal="center" vertical="center" wrapText="1"/>
    </xf>
    <xf numFmtId="0" fontId="20" fillId="8" borderId="171" xfId="0" applyFont="1" applyFill="1" applyBorder="1" applyAlignment="1">
      <alignment horizontal="center" vertical="center" wrapText="1"/>
    </xf>
    <xf numFmtId="0" fontId="21" fillId="0" borderId="52" xfId="0" applyFont="1" applyBorder="1" applyAlignment="1">
      <alignment horizontal="left" wrapText="1"/>
    </xf>
    <xf numFmtId="0" fontId="20" fillId="8" borderId="172" xfId="0" applyFont="1" applyFill="1" applyBorder="1" applyAlignment="1">
      <alignment horizontal="center" vertical="center" wrapText="1"/>
    </xf>
    <xf numFmtId="0" fontId="21" fillId="8" borderId="173" xfId="0" applyFont="1" applyFill="1" applyBorder="1" applyAlignment="1">
      <alignment horizontal="center" vertical="center" wrapText="1"/>
    </xf>
    <xf numFmtId="1" fontId="21" fillId="7" borderId="71" xfId="0" applyNumberFormat="1" applyFont="1" applyFill="1" applyBorder="1" applyAlignment="1">
      <alignment horizontal="center" vertical="center" wrapText="1"/>
    </xf>
    <xf numFmtId="0" fontId="21" fillId="0" borderId="55" xfId="0" applyFont="1" applyBorder="1" applyAlignment="1">
      <alignment horizontal="left" wrapText="1"/>
    </xf>
    <xf numFmtId="0" fontId="119" fillId="0" borderId="84" xfId="0" applyFont="1" applyBorder="1" applyAlignment="1">
      <alignment wrapText="1"/>
    </xf>
    <xf numFmtId="0" fontId="20" fillId="0" borderId="52" xfId="0" applyFont="1" applyBorder="1" applyAlignment="1">
      <alignment wrapText="1" readingOrder="1"/>
    </xf>
    <xf numFmtId="0" fontId="18" fillId="0" borderId="49" xfId="0" applyFont="1" applyBorder="1" applyAlignment="1">
      <alignment horizontal="left" wrapText="1"/>
    </xf>
    <xf numFmtId="0" fontId="20" fillId="0" borderId="49" xfId="0" applyFont="1" applyBorder="1" applyAlignment="1">
      <alignment horizontal="left" wrapText="1"/>
    </xf>
    <xf numFmtId="0" fontId="25" fillId="8" borderId="172" xfId="0" applyFont="1" applyFill="1" applyBorder="1" applyAlignment="1">
      <alignment horizontal="center" vertical="center" wrapText="1"/>
    </xf>
    <xf numFmtId="0" fontId="18" fillId="8" borderId="173" xfId="0" applyFont="1" applyFill="1" applyBorder="1" applyAlignment="1">
      <alignment horizontal="center" vertical="center" wrapText="1"/>
    </xf>
    <xf numFmtId="1" fontId="18" fillId="7" borderId="71" xfId="0" applyNumberFormat="1" applyFont="1" applyFill="1" applyBorder="1" applyAlignment="1">
      <alignment horizontal="center" vertical="center" wrapText="1"/>
    </xf>
    <xf numFmtId="0" fontId="18" fillId="0" borderId="55" xfId="0" applyFont="1" applyBorder="1" applyAlignment="1">
      <alignment horizontal="left" wrapText="1"/>
    </xf>
    <xf numFmtId="0" fontId="20" fillId="8" borderId="176" xfId="0" applyFont="1" applyFill="1" applyBorder="1" applyAlignment="1">
      <alignment horizontal="center" vertical="center" wrapText="1"/>
    </xf>
    <xf numFmtId="0" fontId="21" fillId="8" borderId="177" xfId="0" applyFont="1" applyFill="1" applyBorder="1" applyAlignment="1">
      <alignment horizontal="center" vertical="center" wrapText="1"/>
    </xf>
    <xf numFmtId="0" fontId="120" fillId="0" borderId="84" xfId="0" applyFont="1" applyBorder="1" applyAlignment="1">
      <alignment wrapText="1"/>
    </xf>
    <xf numFmtId="3" fontId="73" fillId="0" borderId="81" xfId="0" applyNumberFormat="1" applyFont="1" applyBorder="1" applyAlignment="1">
      <alignment wrapText="1"/>
    </xf>
    <xf numFmtId="174" fontId="112" fillId="0" borderId="2" xfId="1" applyNumberFormat="1" applyFont="1" applyBorder="1" applyAlignment="1">
      <alignment horizontal="center"/>
    </xf>
    <xf numFmtId="0" fontId="73" fillId="0" borderId="132" xfId="0" applyFont="1" applyBorder="1" applyAlignment="1">
      <alignment horizontal="center" vertical="center" wrapText="1"/>
    </xf>
    <xf numFmtId="174" fontId="114" fillId="0" borderId="178" xfId="0" applyNumberFormat="1" applyFont="1" applyBorder="1" applyAlignment="1">
      <alignment horizontal="center"/>
    </xf>
    <xf numFmtId="174" fontId="114" fillId="0" borderId="24" xfId="0" applyNumberFormat="1" applyFont="1" applyBorder="1" applyAlignment="1">
      <alignment horizontal="center"/>
    </xf>
    <xf numFmtId="4" fontId="114" fillId="0" borderId="155" xfId="0" applyNumberFormat="1" applyFont="1" applyBorder="1" applyAlignment="1">
      <alignment horizontal="center"/>
    </xf>
    <xf numFmtId="4" fontId="80" fillId="13" borderId="2" xfId="0" applyNumberFormat="1" applyFont="1" applyFill="1" applyBorder="1" applyAlignment="1">
      <alignment horizontal="center"/>
    </xf>
    <xf numFmtId="174" fontId="112" fillId="0" borderId="24" xfId="0" applyNumberFormat="1" applyFont="1" applyBorder="1" applyAlignment="1">
      <alignment horizontal="center"/>
    </xf>
    <xf numFmtId="4" fontId="112" fillId="0" borderId="2" xfId="0" applyNumberFormat="1" applyFont="1" applyBorder="1" applyAlignment="1">
      <alignment horizontal="center"/>
    </xf>
    <xf numFmtId="4" fontId="112" fillId="0" borderId="4" xfId="0" applyNumberFormat="1" applyFont="1" applyBorder="1" applyAlignment="1">
      <alignment horizontal="center"/>
    </xf>
    <xf numFmtId="4" fontId="112" fillId="13" borderId="2" xfId="0" applyNumberFormat="1" applyFont="1" applyFill="1" applyBorder="1" applyAlignment="1">
      <alignment horizontal="center"/>
    </xf>
    <xf numFmtId="0" fontId="20" fillId="0" borderId="113" xfId="0" applyFont="1" applyBorder="1" applyAlignment="1">
      <alignment horizontal="left" wrapText="1"/>
    </xf>
    <xf numFmtId="174" fontId="90" fillId="0" borderId="178" xfId="0" applyNumberFormat="1" applyFont="1" applyBorder="1" applyAlignment="1">
      <alignment horizontal="center"/>
    </xf>
    <xf numFmtId="174" fontId="80" fillId="0" borderId="10" xfId="0" applyNumberFormat="1" applyFont="1" applyBorder="1" applyAlignment="1">
      <alignment horizontal="center"/>
    </xf>
    <xf numFmtId="1" fontId="73" fillId="0" borderId="81" xfId="0" applyNumberFormat="1" applyFont="1" applyBorder="1" applyAlignment="1">
      <alignment wrapText="1"/>
    </xf>
    <xf numFmtId="0" fontId="111" fillId="0" borderId="81" xfId="0" applyFont="1" applyBorder="1" applyAlignment="1">
      <alignment horizontal="left" wrapText="1"/>
    </xf>
    <xf numFmtId="0" fontId="119" fillId="0" borderId="81" xfId="0" applyFont="1" applyBorder="1" applyAlignment="1">
      <alignment horizontal="left" wrapText="1"/>
    </xf>
    <xf numFmtId="0" fontId="115" fillId="0" borderId="81" xfId="0" applyFont="1" applyBorder="1" applyAlignment="1">
      <alignment vertical="center" wrapText="1"/>
    </xf>
    <xf numFmtId="174" fontId="73" fillId="0" borderId="0" xfId="0" applyNumberFormat="1" applyFont="1"/>
    <xf numFmtId="1" fontId="73" fillId="0" borderId="81" xfId="0" applyNumberFormat="1" applyFont="1" applyBorder="1" applyAlignment="1">
      <alignment vertical="center" wrapText="1"/>
    </xf>
    <xf numFmtId="1" fontId="73" fillId="3" borderId="81" xfId="0" applyNumberFormat="1" applyFont="1" applyFill="1" applyBorder="1" applyAlignment="1">
      <alignment vertical="center" wrapText="1"/>
    </xf>
    <xf numFmtId="0" fontId="121" fillId="0" borderId="52" xfId="0" applyFont="1" applyBorder="1" applyAlignment="1">
      <alignment vertical="center"/>
    </xf>
    <xf numFmtId="0" fontId="21" fillId="8" borderId="69" xfId="0" applyFont="1" applyFill="1" applyBorder="1" applyAlignment="1">
      <alignment horizontal="center" vertical="center" wrapText="1"/>
    </xf>
    <xf numFmtId="4" fontId="114" fillId="0" borderId="178" xfId="0" applyNumberFormat="1" applyFont="1" applyBorder="1" applyAlignment="1">
      <alignment horizontal="center"/>
    </xf>
    <xf numFmtId="4" fontId="114" fillId="13" borderId="2" xfId="0" applyNumberFormat="1" applyFont="1" applyFill="1" applyBorder="1" applyAlignment="1">
      <alignment horizontal="center"/>
    </xf>
    <xf numFmtId="4" fontId="114" fillId="13" borderId="10" xfId="0" applyNumberFormat="1" applyFont="1" applyFill="1" applyBorder="1" applyAlignment="1">
      <alignment horizontal="center"/>
    </xf>
    <xf numFmtId="4" fontId="114" fillId="13" borderId="178" xfId="0" applyNumberFormat="1" applyFont="1" applyFill="1" applyBorder="1" applyAlignment="1">
      <alignment horizontal="center"/>
    </xf>
    <xf numFmtId="4" fontId="112" fillId="0" borderId="24" xfId="0" applyNumberFormat="1" applyFont="1" applyBorder="1" applyAlignment="1">
      <alignment horizontal="center"/>
    </xf>
    <xf numFmtId="4" fontId="112" fillId="13" borderId="24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4" fontId="114" fillId="2" borderId="80" xfId="0" applyNumberFormat="1" applyFont="1" applyFill="1" applyBorder="1" applyAlignment="1">
      <alignment horizontal="center"/>
    </xf>
    <xf numFmtId="1" fontId="115" fillId="0" borderId="81" xfId="0" applyNumberFormat="1" applyFont="1" applyBorder="1" applyAlignment="1">
      <alignment vertical="center" wrapText="1"/>
    </xf>
    <xf numFmtId="174" fontId="114" fillId="3" borderId="2" xfId="0" applyNumberFormat="1" applyFont="1" applyFill="1" applyBorder="1" applyAlignment="1">
      <alignment horizontal="center"/>
    </xf>
    <xf numFmtId="3" fontId="122" fillId="0" borderId="0" xfId="0" applyNumberFormat="1" applyFont="1"/>
    <xf numFmtId="3" fontId="73" fillId="0" borderId="81" xfId="0" applyNumberFormat="1" applyFont="1" applyBorder="1" applyAlignment="1">
      <alignment vertical="center" wrapText="1"/>
    </xf>
    <xf numFmtId="0" fontId="19" fillId="7" borderId="180" xfId="0" applyFont="1" applyFill="1" applyBorder="1" applyAlignment="1">
      <alignment horizontal="center" vertical="center" wrapText="1"/>
    </xf>
    <xf numFmtId="0" fontId="19" fillId="7" borderId="71" xfId="0" applyFont="1" applyFill="1" applyBorder="1" applyAlignment="1">
      <alignment horizontal="center" vertical="center" wrapText="1"/>
    </xf>
    <xf numFmtId="0" fontId="19" fillId="7" borderId="181" xfId="0" applyFont="1" applyFill="1" applyBorder="1" applyAlignment="1">
      <alignment horizontal="center" vertical="center" wrapText="1"/>
    </xf>
    <xf numFmtId="0" fontId="19" fillId="7" borderId="182" xfId="0" applyFont="1" applyFill="1" applyBorder="1" applyAlignment="1">
      <alignment horizontal="left" vertical="center" wrapText="1"/>
    </xf>
    <xf numFmtId="0" fontId="19" fillId="0" borderId="67" xfId="0" applyFont="1" applyBorder="1" applyAlignment="1">
      <alignment vertical="center" wrapText="1"/>
    </xf>
    <xf numFmtId="0" fontId="19" fillId="0" borderId="0" xfId="0" applyFont="1" applyAlignment="1">
      <alignment horizontal="left" vertical="center" wrapText="1"/>
    </xf>
    <xf numFmtId="0" fontId="87" fillId="0" borderId="0" xfId="0" applyFont="1"/>
    <xf numFmtId="0" fontId="87" fillId="0" borderId="0" xfId="0" applyFont="1" applyAlignment="1">
      <alignment horizontal="center"/>
    </xf>
    <xf numFmtId="0" fontId="18" fillId="0" borderId="0" xfId="0" applyFont="1" applyAlignment="1">
      <alignment horizontal="center" wrapText="1" readingOrder="1"/>
    </xf>
    <xf numFmtId="0" fontId="21" fillId="8" borderId="171" xfId="0" applyFont="1" applyFill="1" applyBorder="1" applyAlignment="1">
      <alignment horizontal="center" vertical="center" wrapText="1"/>
    </xf>
    <xf numFmtId="174" fontId="114" fillId="0" borderId="80" xfId="0" applyNumberFormat="1" applyFont="1" applyBorder="1" applyAlignment="1">
      <alignment horizontal="center"/>
    </xf>
    <xf numFmtId="4" fontId="123" fillId="0" borderId="3" xfId="0" applyNumberFormat="1" applyFont="1" applyBorder="1" applyAlignment="1">
      <alignment horizontal="center"/>
    </xf>
    <xf numFmtId="0" fontId="124" fillId="0" borderId="0" xfId="0" applyFont="1"/>
    <xf numFmtId="0" fontId="21" fillId="8" borderId="172" xfId="0" applyFont="1" applyFill="1" applyBorder="1" applyAlignment="1">
      <alignment horizontal="center" vertical="center" wrapText="1"/>
    </xf>
    <xf numFmtId="15" fontId="80" fillId="0" borderId="0" xfId="0" applyNumberFormat="1" applyFont="1" applyAlignment="1">
      <alignment horizontal="right" wrapText="1"/>
    </xf>
    <xf numFmtId="174" fontId="80" fillId="0" borderId="0" xfId="0" applyNumberFormat="1" applyFont="1" applyAlignment="1">
      <alignment horizontal="center"/>
    </xf>
    <xf numFmtId="174" fontId="112" fillId="0" borderId="0" xfId="0" applyNumberFormat="1" applyFont="1" applyAlignment="1">
      <alignment horizontal="center"/>
    </xf>
    <xf numFmtId="174" fontId="114" fillId="0" borderId="0" xfId="0" applyNumberFormat="1" applyFont="1" applyAlignment="1">
      <alignment horizontal="center"/>
    </xf>
    <xf numFmtId="4" fontId="114" fillId="0" borderId="0" xfId="0" applyNumberFormat="1" applyFont="1" applyAlignment="1">
      <alignment horizontal="center"/>
    </xf>
    <xf numFmtId="4" fontId="114" fillId="2" borderId="2" xfId="0" applyNumberFormat="1" applyFont="1" applyFill="1" applyBorder="1" applyAlignment="1">
      <alignment horizontal="center"/>
    </xf>
    <xf numFmtId="174" fontId="114" fillId="2" borderId="2" xfId="0" applyNumberFormat="1" applyFont="1" applyFill="1" applyBorder="1" applyAlignment="1">
      <alignment horizontal="center"/>
    </xf>
    <xf numFmtId="4" fontId="114" fillId="13" borderId="24" xfId="0" applyNumberFormat="1" applyFont="1" applyFill="1" applyBorder="1" applyAlignment="1">
      <alignment horizontal="center"/>
    </xf>
    <xf numFmtId="0" fontId="125" fillId="0" borderId="81" xfId="0" applyFont="1" applyBorder="1" applyAlignment="1">
      <alignment wrapText="1"/>
    </xf>
    <xf numFmtId="0" fontId="115" fillId="0" borderId="81" xfId="0" applyFont="1" applyBorder="1" applyAlignment="1">
      <alignment wrapText="1"/>
    </xf>
    <xf numFmtId="0" fontId="21" fillId="0" borderId="183" xfId="0" applyFont="1" applyBorder="1" applyAlignment="1">
      <alignment horizontal="left" wrapText="1"/>
    </xf>
    <xf numFmtId="0" fontId="115" fillId="0" borderId="81" xfId="0" applyFont="1" applyBorder="1" applyAlignment="1">
      <alignment horizontal="center" wrapText="1"/>
    </xf>
    <xf numFmtId="0" fontId="18" fillId="3" borderId="124" xfId="0" applyFont="1" applyFill="1" applyBorder="1" applyAlignment="1">
      <alignment horizontal="center" vertical="center" wrapText="1" readingOrder="1"/>
    </xf>
    <xf numFmtId="0" fontId="64" fillId="7" borderId="184" xfId="0" applyFont="1" applyFill="1" applyBorder="1" applyAlignment="1">
      <alignment horizontal="center"/>
    </xf>
    <xf numFmtId="0" fontId="19" fillId="7" borderId="185" xfId="0" applyFont="1" applyFill="1" applyBorder="1" applyAlignment="1">
      <alignment horizontal="center" vertical="center" wrapText="1"/>
    </xf>
    <xf numFmtId="0" fontId="19" fillId="7" borderId="56" xfId="0" applyFont="1" applyFill="1" applyBorder="1" applyAlignment="1">
      <alignment horizontal="center" vertical="center" wrapText="1"/>
    </xf>
    <xf numFmtId="0" fontId="20" fillId="3" borderId="48" xfId="0" applyFont="1" applyFill="1" applyBorder="1" applyAlignment="1">
      <alignment horizontal="center" wrapText="1" readingOrder="1"/>
    </xf>
    <xf numFmtId="0" fontId="20" fillId="3" borderId="186" xfId="0" applyFont="1" applyFill="1" applyBorder="1" applyAlignment="1">
      <alignment horizontal="center" wrapText="1" readingOrder="1"/>
    </xf>
    <xf numFmtId="0" fontId="20" fillId="8" borderId="176" xfId="0" applyFont="1" applyFill="1" applyBorder="1" applyAlignment="1">
      <alignment horizontal="center"/>
    </xf>
    <xf numFmtId="0" fontId="56" fillId="0" borderId="49" xfId="0" applyFont="1" applyBorder="1" applyAlignment="1">
      <alignment wrapText="1" readingOrder="1"/>
    </xf>
    <xf numFmtId="0" fontId="20" fillId="8" borderId="171" xfId="0" applyFont="1" applyFill="1" applyBorder="1" applyAlignment="1">
      <alignment horizontal="center"/>
    </xf>
    <xf numFmtId="0" fontId="20" fillId="0" borderId="187" xfId="0" applyFont="1" applyBorder="1" applyAlignment="1">
      <alignment wrapText="1" readingOrder="1"/>
    </xf>
    <xf numFmtId="0" fontId="21" fillId="8" borderId="171" xfId="0" applyFont="1" applyFill="1" applyBorder="1" applyAlignment="1">
      <alignment horizontal="center"/>
    </xf>
    <xf numFmtId="0" fontId="20" fillId="8" borderId="188" xfId="0" applyFont="1" applyFill="1" applyBorder="1" applyAlignment="1">
      <alignment horizontal="center"/>
    </xf>
    <xf numFmtId="0" fontId="56" fillId="0" borderId="187" xfId="0" applyFont="1" applyBorder="1" applyAlignment="1">
      <alignment wrapText="1" readingOrder="1"/>
    </xf>
    <xf numFmtId="0" fontId="44" fillId="0" borderId="187" xfId="0" applyFont="1" applyBorder="1" applyAlignment="1">
      <alignment wrapText="1" readingOrder="1"/>
    </xf>
    <xf numFmtId="0" fontId="18" fillId="0" borderId="52" xfId="0" applyFont="1" applyBorder="1" applyAlignment="1">
      <alignment horizontal="left" wrapText="1"/>
    </xf>
    <xf numFmtId="0" fontId="18" fillId="0" borderId="187" xfId="0" applyFont="1" applyBorder="1" applyAlignment="1">
      <alignment wrapText="1" readingOrder="1"/>
    </xf>
    <xf numFmtId="0" fontId="20" fillId="8" borderId="189" xfId="0" applyFont="1" applyFill="1" applyBorder="1" applyAlignment="1">
      <alignment horizontal="center"/>
    </xf>
    <xf numFmtId="0" fontId="21" fillId="0" borderId="187" xfId="0" applyFont="1" applyBorder="1" applyAlignment="1">
      <alignment wrapText="1" readingOrder="1"/>
    </xf>
    <xf numFmtId="0" fontId="20" fillId="8" borderId="172" xfId="0" applyFont="1" applyFill="1" applyBorder="1" applyAlignment="1">
      <alignment horizontal="center"/>
    </xf>
    <xf numFmtId="0" fontId="21" fillId="8" borderId="190" xfId="0" applyFont="1" applyFill="1" applyBorder="1" applyAlignment="1">
      <alignment horizontal="center"/>
    </xf>
    <xf numFmtId="1" fontId="21" fillId="7" borderId="190" xfId="0" applyNumberFormat="1" applyFont="1" applyFill="1" applyBorder="1" applyAlignment="1">
      <alignment horizontal="center"/>
    </xf>
    <xf numFmtId="0" fontId="21" fillId="3" borderId="191" xfId="0" applyFont="1" applyFill="1" applyBorder="1" applyAlignment="1">
      <alignment horizontal="center" wrapText="1" readingOrder="1"/>
    </xf>
    <xf numFmtId="0" fontId="21" fillId="3" borderId="192" xfId="0" applyFont="1" applyFill="1" applyBorder="1" applyAlignment="1">
      <alignment horizontal="center" wrapText="1" readingOrder="1"/>
    </xf>
    <xf numFmtId="169" fontId="18" fillId="7" borderId="48" xfId="0" applyNumberFormat="1" applyFont="1" applyFill="1" applyBorder="1" applyAlignment="1">
      <alignment horizontal="center"/>
    </xf>
    <xf numFmtId="0" fontId="21" fillId="8" borderId="188" xfId="0" applyFont="1" applyFill="1" applyBorder="1" applyAlignment="1">
      <alignment horizontal="center"/>
    </xf>
    <xf numFmtId="0" fontId="57" fillId="0" borderId="187" xfId="0" applyFont="1" applyBorder="1" applyAlignment="1">
      <alignment wrapText="1" readingOrder="1"/>
    </xf>
    <xf numFmtId="0" fontId="18" fillId="8" borderId="171" xfId="0" applyFont="1" applyFill="1" applyBorder="1" applyAlignment="1">
      <alignment horizontal="center"/>
    </xf>
    <xf numFmtId="0" fontId="7" fillId="0" borderId="10" xfId="0" applyFont="1" applyBorder="1" applyAlignment="1">
      <alignment horizontal="left" vertical="center" wrapText="1"/>
    </xf>
    <xf numFmtId="0" fontId="7" fillId="0" borderId="24" xfId="0" applyFont="1" applyBorder="1" applyAlignment="1">
      <alignment horizontal="left" vertical="center" wrapText="1"/>
    </xf>
    <xf numFmtId="0" fontId="7" fillId="0" borderId="25" xfId="0" applyFont="1" applyBorder="1" applyAlignment="1">
      <alignment horizontal="left" vertical="center" wrapText="1"/>
    </xf>
    <xf numFmtId="0" fontId="7" fillId="0" borderId="26" xfId="0" applyFont="1" applyBorder="1" applyAlignment="1">
      <alignment horizontal="left" vertical="center" wrapText="1"/>
    </xf>
    <xf numFmtId="0" fontId="7" fillId="0" borderId="27" xfId="0" applyFont="1" applyBorder="1" applyAlignment="1">
      <alignment horizontal="left" vertical="center" wrapText="1"/>
    </xf>
    <xf numFmtId="0" fontId="7" fillId="0" borderId="28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left" vertical="center" wrapText="1"/>
    </xf>
    <xf numFmtId="0" fontId="6" fillId="0" borderId="23" xfId="0" applyFont="1" applyBorder="1" applyAlignment="1">
      <alignment horizontal="left" vertical="center" wrapText="1"/>
    </xf>
    <xf numFmtId="0" fontId="46" fillId="0" borderId="59" xfId="0" applyFont="1" applyBorder="1" applyAlignment="1" applyProtection="1">
      <alignment horizontal="left" vertical="top" wrapText="1"/>
      <protection locked="0"/>
    </xf>
    <xf numFmtId="0" fontId="46" fillId="0" borderId="19" xfId="0" applyFont="1" applyBorder="1" applyAlignment="1" applyProtection="1">
      <alignment horizontal="left" vertical="top" wrapText="1"/>
      <protection locked="0"/>
    </xf>
    <xf numFmtId="0" fontId="46" fillId="0" borderId="60" xfId="0" applyFont="1" applyBorder="1" applyAlignment="1" applyProtection="1">
      <alignment horizontal="left" vertical="top" wrapText="1"/>
      <protection locked="0"/>
    </xf>
    <xf numFmtId="0" fontId="27" fillId="3" borderId="8" xfId="0" applyFont="1" applyFill="1" applyBorder="1" applyAlignment="1">
      <alignment horizontal="center" vertical="center"/>
    </xf>
    <xf numFmtId="0" fontId="27" fillId="3" borderId="36" xfId="0" applyFont="1" applyFill="1" applyBorder="1" applyAlignment="1">
      <alignment horizontal="center" vertical="center"/>
    </xf>
    <xf numFmtId="0" fontId="27" fillId="3" borderId="29" xfId="0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39" fillId="0" borderId="19" xfId="0" applyFont="1" applyBorder="1" applyAlignment="1">
      <alignment horizontal="center"/>
    </xf>
    <xf numFmtId="0" fontId="33" fillId="2" borderId="1" xfId="0" applyFont="1" applyFill="1" applyBorder="1" applyAlignment="1">
      <alignment horizontal="center" vertical="center" wrapText="1"/>
    </xf>
    <xf numFmtId="0" fontId="33" fillId="2" borderId="20" xfId="0" applyFont="1" applyFill="1" applyBorder="1" applyAlignment="1">
      <alignment horizontal="center" vertical="center" wrapText="1"/>
    </xf>
    <xf numFmtId="0" fontId="33" fillId="2" borderId="21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24" xfId="0" applyFont="1" applyBorder="1" applyAlignment="1">
      <alignment horizontal="left" vertical="center" wrapText="1"/>
    </xf>
    <xf numFmtId="0" fontId="12" fillId="0" borderId="25" xfId="0" applyFont="1" applyBorder="1" applyAlignment="1">
      <alignment horizontal="left" vertical="center" wrapText="1"/>
    </xf>
    <xf numFmtId="0" fontId="19" fillId="0" borderId="0" xfId="408" applyFont="1" applyAlignment="1">
      <alignment horizontal="left" wrapText="1"/>
    </xf>
    <xf numFmtId="0" fontId="27" fillId="7" borderId="40" xfId="408" applyFont="1" applyFill="1" applyBorder="1" applyAlignment="1">
      <alignment horizontal="center" vertical="center"/>
    </xf>
    <xf numFmtId="0" fontId="28" fillId="0" borderId="0" xfId="408" applyFont="1" applyAlignment="1">
      <alignment horizontal="center"/>
    </xf>
    <xf numFmtId="0" fontId="18" fillId="0" borderId="0" xfId="408" applyFont="1" applyAlignment="1">
      <alignment horizontal="left" wrapText="1"/>
    </xf>
    <xf numFmtId="0" fontId="19" fillId="0" borderId="0" xfId="408" applyFont="1" applyAlignment="1">
      <alignment horizontal="center" wrapText="1"/>
    </xf>
    <xf numFmtId="0" fontId="52" fillId="0" borderId="26" xfId="0" applyFont="1" applyBorder="1" applyAlignment="1">
      <alignment horizontal="left" vertical="center" wrapText="1"/>
    </xf>
    <xf numFmtId="0" fontId="52" fillId="0" borderId="27" xfId="0" applyFont="1" applyBorder="1" applyAlignment="1">
      <alignment horizontal="left" vertical="center" wrapText="1"/>
    </xf>
    <xf numFmtId="0" fontId="52" fillId="0" borderId="28" xfId="0" applyFont="1" applyBorder="1" applyAlignment="1">
      <alignment horizontal="left" vertical="center" wrapText="1"/>
    </xf>
    <xf numFmtId="0" fontId="49" fillId="0" borderId="16" xfId="0" applyFont="1" applyBorder="1" applyAlignment="1">
      <alignment horizontal="left" vertical="center" wrapText="1"/>
    </xf>
    <xf numFmtId="0" fontId="49" fillId="0" borderId="22" xfId="0" applyFont="1" applyBorder="1" applyAlignment="1">
      <alignment horizontal="left" vertical="center" wrapText="1"/>
    </xf>
    <xf numFmtId="0" fontId="49" fillId="0" borderId="23" xfId="0" applyFont="1" applyBorder="1" applyAlignment="1">
      <alignment horizontal="left" vertical="center" wrapText="1"/>
    </xf>
    <xf numFmtId="0" fontId="51" fillId="0" borderId="10" xfId="0" applyFont="1" applyBorder="1" applyAlignment="1">
      <alignment horizontal="left" vertical="center" wrapText="1"/>
    </xf>
    <xf numFmtId="0" fontId="51" fillId="0" borderId="24" xfId="0" applyFont="1" applyBorder="1" applyAlignment="1">
      <alignment horizontal="left" vertical="center" wrapText="1"/>
    </xf>
    <xf numFmtId="0" fontId="51" fillId="0" borderId="25" xfId="0" applyFont="1" applyBorder="1" applyAlignment="1">
      <alignment horizontal="left" vertical="center" wrapText="1"/>
    </xf>
    <xf numFmtId="0" fontId="52" fillId="0" borderId="10" xfId="0" applyFont="1" applyBorder="1" applyAlignment="1">
      <alignment horizontal="left" vertical="center" wrapText="1"/>
    </xf>
    <xf numFmtId="0" fontId="52" fillId="0" borderId="24" xfId="0" applyFont="1" applyBorder="1" applyAlignment="1">
      <alignment horizontal="left" vertical="center" wrapText="1"/>
    </xf>
    <xf numFmtId="0" fontId="52" fillId="0" borderId="25" xfId="0" applyFont="1" applyBorder="1" applyAlignment="1">
      <alignment horizontal="left" vertical="center" wrapText="1"/>
    </xf>
    <xf numFmtId="0" fontId="19" fillId="0" borderId="0" xfId="0" applyFont="1" applyAlignment="1">
      <alignment horizontal="left" wrapText="1"/>
    </xf>
    <xf numFmtId="0" fontId="27" fillId="7" borderId="40" xfId="0" applyFont="1" applyFill="1" applyBorder="1" applyAlignment="1">
      <alignment horizontal="center" vertical="center"/>
    </xf>
    <xf numFmtId="0" fontId="18" fillId="0" borderId="0" xfId="0" applyFont="1" applyAlignment="1">
      <alignment horizontal="left" wrapText="1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50" fillId="0" borderId="26" xfId="0" applyFont="1" applyBorder="1" applyAlignment="1">
      <alignment horizontal="left" vertical="center" wrapText="1"/>
    </xf>
    <xf numFmtId="0" fontId="50" fillId="0" borderId="27" xfId="0" applyFont="1" applyBorder="1" applyAlignment="1">
      <alignment horizontal="left" vertical="center" wrapText="1"/>
    </xf>
    <xf numFmtId="0" fontId="50" fillId="0" borderId="28" xfId="0" applyFont="1" applyBorder="1" applyAlignment="1">
      <alignment horizontal="left" vertical="center" wrapText="1"/>
    </xf>
    <xf numFmtId="0" fontId="19" fillId="0" borderId="40" xfId="0" applyFont="1" applyBorder="1" applyAlignment="1">
      <alignment horizontal="center" vertical="center" wrapText="1"/>
    </xf>
    <xf numFmtId="0" fontId="19" fillId="0" borderId="41" xfId="0" applyFont="1" applyBorder="1" applyAlignment="1">
      <alignment horizontal="center" vertical="center" wrapText="1"/>
    </xf>
    <xf numFmtId="0" fontId="19" fillId="0" borderId="42" xfId="0" applyFont="1" applyBorder="1" applyAlignment="1">
      <alignment horizontal="center" vertical="center" wrapText="1"/>
    </xf>
    <xf numFmtId="0" fontId="58" fillId="0" borderId="62" xfId="0" applyFont="1" applyBorder="1" applyAlignment="1">
      <alignment horizontal="center" vertical="center"/>
    </xf>
    <xf numFmtId="0" fontId="44" fillId="0" borderId="62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 wrapText="1"/>
    </xf>
    <xf numFmtId="0" fontId="19" fillId="0" borderId="36" xfId="0" applyFont="1" applyBorder="1" applyAlignment="1">
      <alignment horizontal="center" vertical="center" wrapText="1"/>
    </xf>
    <xf numFmtId="0" fontId="19" fillId="0" borderId="29" xfId="0" applyFont="1" applyBorder="1" applyAlignment="1">
      <alignment horizontal="center" vertical="center" wrapText="1"/>
    </xf>
    <xf numFmtId="0" fontId="60" fillId="0" borderId="26" xfId="0" applyFont="1" applyBorder="1" applyAlignment="1">
      <alignment horizontal="left" vertical="center" wrapText="1"/>
    </xf>
    <xf numFmtId="0" fontId="60" fillId="0" borderId="27" xfId="0" applyFont="1" applyBorder="1" applyAlignment="1">
      <alignment horizontal="left" vertical="center" wrapText="1"/>
    </xf>
    <xf numFmtId="0" fontId="60" fillId="0" borderId="28" xfId="0" applyFont="1" applyBorder="1" applyAlignment="1">
      <alignment horizontal="left" vertical="center" wrapText="1"/>
    </xf>
    <xf numFmtId="0" fontId="63" fillId="7" borderId="40" xfId="0" applyFont="1" applyFill="1" applyBorder="1" applyAlignment="1">
      <alignment horizontal="center" vertical="center"/>
    </xf>
    <xf numFmtId="0" fontId="64" fillId="0" borderId="0" xfId="0" applyFont="1" applyAlignment="1">
      <alignment horizontal="left" wrapText="1"/>
    </xf>
    <xf numFmtId="0" fontId="63" fillId="0" borderId="0" xfId="0" applyFont="1" applyAlignment="1">
      <alignment horizontal="center"/>
    </xf>
    <xf numFmtId="0" fontId="0" fillId="0" borderId="0" xfId="0" applyAlignment="1">
      <alignment horizontal="left" wrapText="1"/>
    </xf>
    <xf numFmtId="0" fontId="67" fillId="0" borderId="10" xfId="0" applyFont="1" applyBorder="1" applyAlignment="1">
      <alignment horizontal="left" vertical="center" wrapText="1"/>
    </xf>
    <xf numFmtId="0" fontId="48" fillId="0" borderId="24" xfId="0" applyFont="1" applyBorder="1" applyAlignment="1">
      <alignment horizontal="left" vertical="center" wrapText="1"/>
    </xf>
    <xf numFmtId="0" fontId="48" fillId="0" borderId="25" xfId="0" applyFont="1" applyBorder="1" applyAlignment="1">
      <alignment horizontal="left" vertical="center" wrapText="1"/>
    </xf>
    <xf numFmtId="0" fontId="40" fillId="0" borderId="26" xfId="0" applyFont="1" applyBorder="1" applyAlignment="1">
      <alignment horizontal="left" vertical="center" wrapText="1"/>
    </xf>
    <xf numFmtId="0" fontId="40" fillId="0" borderId="27" xfId="0" applyFont="1" applyBorder="1" applyAlignment="1">
      <alignment horizontal="left" vertical="center" wrapText="1"/>
    </xf>
    <xf numFmtId="0" fontId="40" fillId="0" borderId="28" xfId="0" applyFont="1" applyBorder="1" applyAlignment="1">
      <alignment horizontal="left" vertical="center" wrapText="1"/>
    </xf>
    <xf numFmtId="0" fontId="40" fillId="0" borderId="10" xfId="0" applyFont="1" applyBorder="1" applyAlignment="1">
      <alignment horizontal="left" vertical="center" wrapText="1"/>
    </xf>
    <xf numFmtId="0" fontId="17" fillId="0" borderId="24" xfId="0" applyFont="1" applyBorder="1" applyAlignment="1">
      <alignment horizontal="left" vertical="center" wrapText="1"/>
    </xf>
    <xf numFmtId="0" fontId="17" fillId="0" borderId="25" xfId="0" applyFont="1" applyBorder="1" applyAlignment="1">
      <alignment horizontal="left" vertical="center" wrapText="1"/>
    </xf>
    <xf numFmtId="0" fontId="38" fillId="0" borderId="24" xfId="0" applyFont="1" applyBorder="1" applyAlignment="1">
      <alignment horizontal="left" vertical="center" wrapText="1"/>
    </xf>
    <xf numFmtId="0" fontId="38" fillId="0" borderId="25" xfId="0" applyFont="1" applyBorder="1" applyAlignment="1">
      <alignment horizontal="left" vertical="center" wrapText="1"/>
    </xf>
    <xf numFmtId="0" fontId="67" fillId="0" borderId="24" xfId="0" applyFont="1" applyBorder="1" applyAlignment="1">
      <alignment horizontal="left" vertical="center" wrapText="1"/>
    </xf>
    <xf numFmtId="0" fontId="67" fillId="0" borderId="25" xfId="0" applyFont="1" applyBorder="1" applyAlignment="1">
      <alignment horizontal="left" vertical="center" wrapText="1"/>
    </xf>
    <xf numFmtId="0" fontId="46" fillId="0" borderId="65" xfId="0" applyFont="1" applyBorder="1" applyAlignment="1" applyProtection="1">
      <alignment horizontal="left" vertical="top" wrapText="1"/>
      <protection locked="0"/>
    </xf>
    <xf numFmtId="0" fontId="46" fillId="0" borderId="0" xfId="0" applyFont="1" applyAlignment="1" applyProtection="1">
      <alignment horizontal="left" vertical="top" wrapText="1"/>
      <protection locked="0"/>
    </xf>
    <xf numFmtId="0" fontId="46" fillId="0" borderId="66" xfId="0" applyFont="1" applyBorder="1" applyAlignment="1" applyProtection="1">
      <alignment horizontal="left" vertical="top" wrapText="1"/>
      <protection locked="0"/>
    </xf>
    <xf numFmtId="0" fontId="46" fillId="0" borderId="2" xfId="0" applyFont="1" applyBorder="1" applyAlignment="1" applyProtection="1">
      <alignment horizontal="left" vertical="top" wrapText="1"/>
      <protection locked="0"/>
    </xf>
    <xf numFmtId="0" fontId="27" fillId="7" borderId="41" xfId="0" applyFont="1" applyFill="1" applyBorder="1" applyAlignment="1">
      <alignment horizontal="center" vertical="center"/>
    </xf>
    <xf numFmtId="0" fontId="27" fillId="7" borderId="42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wrapText="1"/>
    </xf>
    <xf numFmtId="0" fontId="19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 vertical="center" wrapText="1"/>
    </xf>
    <xf numFmtId="0" fontId="19" fillId="0" borderId="67" xfId="0" applyFont="1" applyBorder="1" applyAlignment="1">
      <alignment horizontal="center" vertical="center" wrapText="1"/>
    </xf>
    <xf numFmtId="0" fontId="19" fillId="0" borderId="68" xfId="0" applyFont="1" applyBorder="1" applyAlignment="1">
      <alignment horizontal="center" vertical="center" wrapText="1"/>
    </xf>
    <xf numFmtId="0" fontId="19" fillId="0" borderId="0" xfId="409" applyFont="1" applyAlignment="1">
      <alignment horizontal="left" vertical="center" wrapText="1"/>
    </xf>
    <xf numFmtId="0" fontId="19" fillId="0" borderId="0" xfId="409" applyFont="1" applyAlignment="1">
      <alignment horizontal="left" wrapText="1"/>
    </xf>
    <xf numFmtId="0" fontId="27" fillId="7" borderId="40" xfId="409" applyFont="1" applyFill="1" applyBorder="1" applyAlignment="1">
      <alignment horizontal="center" vertical="center"/>
    </xf>
    <xf numFmtId="0" fontId="28" fillId="0" borderId="0" xfId="409" applyFont="1" applyAlignment="1">
      <alignment horizontal="center"/>
    </xf>
    <xf numFmtId="0" fontId="71" fillId="0" borderId="0" xfId="409" applyFont="1" applyAlignment="1">
      <alignment horizontal="center" vertical="center" wrapText="1"/>
    </xf>
    <xf numFmtId="0" fontId="33" fillId="2" borderId="8" xfId="0" applyFont="1" applyFill="1" applyBorder="1" applyAlignment="1">
      <alignment horizontal="center" vertical="center" wrapText="1"/>
    </xf>
    <xf numFmtId="0" fontId="33" fillId="2" borderId="36" xfId="0" applyFont="1" applyFill="1" applyBorder="1" applyAlignment="1">
      <alignment horizontal="center" vertical="center" wrapText="1"/>
    </xf>
    <xf numFmtId="0" fontId="33" fillId="2" borderId="29" xfId="0" applyFont="1" applyFill="1" applyBorder="1" applyAlignment="1">
      <alignment horizontal="center" vertical="center" wrapText="1"/>
    </xf>
    <xf numFmtId="0" fontId="39" fillId="0" borderId="16" xfId="0" applyFont="1" applyBorder="1" applyAlignment="1">
      <alignment horizontal="left" vertical="center" wrapText="1"/>
    </xf>
    <xf numFmtId="0" fontId="39" fillId="0" borderId="22" xfId="0" applyFont="1" applyBorder="1" applyAlignment="1">
      <alignment horizontal="left" vertical="center" wrapText="1"/>
    </xf>
    <xf numFmtId="0" fontId="39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0" fontId="40" fillId="0" borderId="25" xfId="0" applyFont="1" applyBorder="1" applyAlignment="1">
      <alignment horizontal="left" vertical="center" wrapText="1"/>
    </xf>
    <xf numFmtId="0" fontId="76" fillId="0" borderId="88" xfId="0" applyFont="1" applyBorder="1" applyAlignment="1">
      <alignment vertical="center" wrapText="1"/>
    </xf>
    <xf numFmtId="0" fontId="76" fillId="0" borderId="89" xfId="0" applyFont="1" applyBorder="1" applyAlignment="1">
      <alignment vertical="center" wrapText="1"/>
    </xf>
    <xf numFmtId="0" fontId="76" fillId="0" borderId="90" xfId="0" applyFont="1" applyBorder="1" applyAlignment="1">
      <alignment vertical="center" wrapText="1"/>
    </xf>
    <xf numFmtId="0" fontId="75" fillId="3" borderId="40" xfId="0" applyFont="1" applyFill="1" applyBorder="1" applyAlignment="1">
      <alignment horizontal="center" vertical="center" wrapText="1"/>
    </xf>
    <xf numFmtId="0" fontId="75" fillId="3" borderId="41" xfId="0" applyFont="1" applyFill="1" applyBorder="1" applyAlignment="1">
      <alignment horizontal="center" vertical="center" wrapText="1"/>
    </xf>
    <xf numFmtId="0" fontId="75" fillId="3" borderId="42" xfId="0" applyFont="1" applyFill="1" applyBorder="1" applyAlignment="1">
      <alignment horizontal="center" vertical="center" wrapText="1"/>
    </xf>
    <xf numFmtId="0" fontId="76" fillId="0" borderId="82" xfId="0" applyFont="1" applyBorder="1" applyAlignment="1">
      <alignment vertical="center" wrapText="1"/>
    </xf>
    <xf numFmtId="0" fontId="76" fillId="0" borderId="83" xfId="0" applyFont="1" applyBorder="1" applyAlignment="1">
      <alignment vertical="center" wrapText="1"/>
    </xf>
    <xf numFmtId="0" fontId="76" fillId="0" borderId="84" xfId="0" applyFont="1" applyBorder="1" applyAlignment="1">
      <alignment vertical="center" wrapText="1"/>
    </xf>
    <xf numFmtId="0" fontId="74" fillId="0" borderId="82" xfId="0" applyFont="1" applyBorder="1" applyAlignment="1">
      <alignment horizontal="center" wrapText="1"/>
    </xf>
    <xf numFmtId="0" fontId="74" fillId="0" borderId="83" xfId="0" applyFont="1" applyBorder="1" applyAlignment="1">
      <alignment horizontal="center" wrapText="1"/>
    </xf>
    <xf numFmtId="0" fontId="74" fillId="0" borderId="84" xfId="0" applyFont="1" applyBorder="1" applyAlignment="1">
      <alignment horizontal="center" wrapText="1"/>
    </xf>
    <xf numFmtId="0" fontId="79" fillId="0" borderId="82" xfId="0" applyFont="1" applyBorder="1" applyAlignment="1">
      <alignment wrapText="1"/>
    </xf>
    <xf numFmtId="0" fontId="79" fillId="0" borderId="84" xfId="0" applyFont="1" applyBorder="1" applyAlignment="1">
      <alignment wrapText="1"/>
    </xf>
    <xf numFmtId="0" fontId="76" fillId="0" borderId="82" xfId="0" applyFont="1" applyBorder="1" applyAlignment="1">
      <alignment wrapText="1"/>
    </xf>
    <xf numFmtId="0" fontId="76" fillId="0" borderId="83" xfId="0" applyFont="1" applyBorder="1" applyAlignment="1">
      <alignment wrapText="1"/>
    </xf>
    <xf numFmtId="0" fontId="76" fillId="0" borderId="84" xfId="0" applyFont="1" applyBorder="1" applyAlignment="1">
      <alignment wrapText="1"/>
    </xf>
    <xf numFmtId="0" fontId="67" fillId="0" borderId="97" xfId="0" applyFont="1" applyBorder="1" applyAlignment="1">
      <alignment horizontal="left" vertical="center" wrapText="1"/>
    </xf>
    <xf numFmtId="0" fontId="67" fillId="0" borderId="27" xfId="0" applyFont="1" applyBorder="1" applyAlignment="1">
      <alignment horizontal="left" vertical="center" wrapText="1"/>
    </xf>
    <xf numFmtId="0" fontId="67" fillId="0" borderId="28" xfId="0" applyFont="1" applyBorder="1" applyAlignment="1">
      <alignment horizontal="left" vertical="center" wrapText="1"/>
    </xf>
    <xf numFmtId="0" fontId="40" fillId="0" borderId="93" xfId="0" applyFont="1" applyBorder="1" applyAlignment="1">
      <alignment horizontal="left" vertical="center" wrapText="1"/>
    </xf>
    <xf numFmtId="0" fontId="40" fillId="0" borderId="94" xfId="0" applyFont="1" applyBorder="1" applyAlignment="1">
      <alignment horizontal="left" vertical="center" wrapText="1"/>
    </xf>
    <xf numFmtId="0" fontId="40" fillId="0" borderId="95" xfId="0" applyFont="1" applyBorder="1" applyAlignment="1">
      <alignment horizontal="left" vertical="center" wrapText="1"/>
    </xf>
    <xf numFmtId="0" fontId="39" fillId="0" borderId="96" xfId="0" applyFont="1" applyBorder="1" applyAlignment="1">
      <alignment horizontal="left" vertical="center" wrapText="1"/>
    </xf>
    <xf numFmtId="0" fontId="40" fillId="0" borderId="12" xfId="0" applyFont="1" applyBorder="1" applyAlignment="1">
      <alignment horizontal="left" vertical="center" wrapText="1"/>
    </xf>
    <xf numFmtId="0" fontId="67" fillId="0" borderId="12" xfId="0" applyFont="1" applyBorder="1" applyAlignment="1">
      <alignment horizontal="left" vertical="center" wrapText="1"/>
    </xf>
    <xf numFmtId="0" fontId="86" fillId="3" borderId="40" xfId="0" applyFont="1" applyFill="1" applyBorder="1" applyAlignment="1">
      <alignment horizontal="center" vertical="center" wrapText="1"/>
    </xf>
    <xf numFmtId="0" fontId="86" fillId="3" borderId="41" xfId="0" applyFont="1" applyFill="1" applyBorder="1" applyAlignment="1">
      <alignment horizontal="center" vertical="center" wrapText="1"/>
    </xf>
    <xf numFmtId="0" fontId="86" fillId="3" borderId="42" xfId="0" applyFont="1" applyFill="1" applyBorder="1" applyAlignment="1">
      <alignment horizontal="center" vertical="center" wrapText="1"/>
    </xf>
    <xf numFmtId="0" fontId="73" fillId="0" borderId="82" xfId="0" applyFont="1" applyBorder="1" applyAlignment="1">
      <alignment wrapText="1"/>
    </xf>
    <xf numFmtId="0" fontId="73" fillId="0" borderId="84" xfId="0" applyFont="1" applyBorder="1" applyAlignment="1">
      <alignment wrapText="1"/>
    </xf>
    <xf numFmtId="0" fontId="19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/>
    </xf>
    <xf numFmtId="0" fontId="19" fillId="0" borderId="67" xfId="0" applyFont="1" applyBorder="1" applyAlignment="1">
      <alignment horizontal="left" vertical="center" wrapText="1"/>
    </xf>
    <xf numFmtId="0" fontId="92" fillId="2" borderId="8" xfId="0" applyFont="1" applyFill="1" applyBorder="1" applyAlignment="1">
      <alignment horizontal="center" vertical="center" wrapText="1"/>
    </xf>
    <xf numFmtId="0" fontId="92" fillId="2" borderId="36" xfId="0" applyFont="1" applyFill="1" applyBorder="1" applyAlignment="1">
      <alignment horizontal="center" vertical="center" wrapText="1"/>
    </xf>
    <xf numFmtId="0" fontId="92" fillId="2" borderId="29" xfId="0" applyFont="1" applyFill="1" applyBorder="1" applyAlignment="1">
      <alignment horizontal="center" vertical="center" wrapText="1"/>
    </xf>
    <xf numFmtId="0" fontId="16" fillId="0" borderId="96" xfId="0" applyFont="1" applyBorder="1" applyAlignment="1">
      <alignment horizontal="left" vertical="center" wrapText="1"/>
    </xf>
    <xf numFmtId="0" fontId="16" fillId="0" borderId="22" xfId="0" applyFont="1" applyBorder="1" applyAlignment="1">
      <alignment horizontal="left" vertical="center" wrapText="1"/>
    </xf>
    <xf numFmtId="0" fontId="16" fillId="0" borderId="23" xfId="0" applyFont="1" applyBorder="1" applyAlignment="1">
      <alignment horizontal="left" vertical="center" wrapText="1"/>
    </xf>
    <xf numFmtId="0" fontId="39" fillId="0" borderId="19" xfId="0" applyFont="1" applyBorder="1" applyAlignment="1">
      <alignment horizontal="center" vertical="center"/>
    </xf>
    <xf numFmtId="0" fontId="117" fillId="0" borderId="166" xfId="0" applyFont="1" applyBorder="1" applyAlignment="1">
      <alignment horizontal="left" vertical="center" wrapText="1"/>
    </xf>
    <xf numFmtId="0" fontId="117" fillId="0" borderId="164" xfId="0" applyFont="1" applyBorder="1" applyAlignment="1">
      <alignment horizontal="left" vertical="center" wrapText="1"/>
    </xf>
    <xf numFmtId="0" fontId="117" fillId="0" borderId="167" xfId="0" applyFont="1" applyBorder="1" applyAlignment="1">
      <alignment horizontal="left" vertical="center" wrapText="1"/>
    </xf>
    <xf numFmtId="0" fontId="40" fillId="0" borderId="8" xfId="0" applyFont="1" applyBorder="1" applyAlignment="1">
      <alignment wrapText="1"/>
    </xf>
    <xf numFmtId="0" fontId="40" fillId="0" borderId="36" xfId="0" applyFont="1" applyBorder="1" applyAlignment="1">
      <alignment wrapText="1"/>
    </xf>
    <xf numFmtId="0" fontId="40" fillId="0" borderId="168" xfId="0" applyFont="1" applyBorder="1" applyAlignment="1">
      <alignment wrapText="1"/>
    </xf>
    <xf numFmtId="0" fontId="117" fillId="0" borderId="12" xfId="0" applyFont="1" applyBorder="1" applyAlignment="1">
      <alignment vertical="center" wrapText="1"/>
    </xf>
    <xf numFmtId="0" fontId="117" fillId="0" borderId="24" xfId="0" applyFont="1" applyBorder="1" applyAlignment="1">
      <alignment vertical="center" wrapText="1"/>
    </xf>
    <xf numFmtId="0" fontId="117" fillId="0" borderId="165" xfId="0" applyFont="1" applyBorder="1" applyAlignment="1">
      <alignment vertical="center" wrapText="1"/>
    </xf>
    <xf numFmtId="0" fontId="118" fillId="0" borderId="12" xfId="0" applyFont="1" applyBorder="1" applyAlignment="1">
      <alignment wrapText="1"/>
    </xf>
    <xf numFmtId="0" fontId="118" fillId="0" borderId="24" xfId="0" applyFont="1" applyBorder="1" applyAlignment="1">
      <alignment wrapText="1"/>
    </xf>
    <xf numFmtId="0" fontId="118" fillId="0" borderId="165" xfId="0" applyFont="1" applyBorder="1" applyAlignment="1">
      <alignment wrapText="1"/>
    </xf>
    <xf numFmtId="0" fontId="118" fillId="0" borderId="12" xfId="0" applyFont="1" applyBorder="1" applyAlignment="1">
      <alignment vertical="center" wrapText="1"/>
    </xf>
    <xf numFmtId="0" fontId="118" fillId="0" borderId="24" xfId="0" applyFont="1" applyBorder="1" applyAlignment="1">
      <alignment vertical="center" wrapText="1"/>
    </xf>
    <xf numFmtId="0" fontId="118" fillId="0" borderId="165" xfId="0" applyFont="1" applyBorder="1" applyAlignment="1">
      <alignment vertical="center" wrapText="1"/>
    </xf>
    <xf numFmtId="0" fontId="27" fillId="7" borderId="174" xfId="0" applyFont="1" applyFill="1" applyBorder="1" applyAlignment="1">
      <alignment horizontal="center" vertical="center"/>
    </xf>
    <xf numFmtId="0" fontId="27" fillId="7" borderId="102" xfId="0" applyFont="1" applyFill="1" applyBorder="1" applyAlignment="1">
      <alignment horizontal="center" vertical="center"/>
    </xf>
    <xf numFmtId="0" fontId="27" fillId="7" borderId="175" xfId="0" applyFont="1" applyFill="1" applyBorder="1" applyAlignment="1">
      <alignment horizontal="center" vertical="center"/>
    </xf>
    <xf numFmtId="0" fontId="40" fillId="0" borderId="166" xfId="0" applyFont="1" applyBorder="1" applyAlignment="1">
      <alignment horizontal="left" vertical="center" wrapText="1"/>
    </xf>
    <xf numFmtId="0" fontId="40" fillId="0" borderId="164" xfId="0" applyFont="1" applyBorder="1" applyAlignment="1">
      <alignment horizontal="left" vertical="center" wrapText="1"/>
    </xf>
    <xf numFmtId="0" fontId="40" fillId="0" borderId="179" xfId="0" applyFont="1" applyBorder="1" applyAlignment="1">
      <alignment horizontal="left" vertical="center" wrapText="1"/>
    </xf>
    <xf numFmtId="0" fontId="40" fillId="0" borderId="29" xfId="0" applyFont="1" applyBorder="1" applyAlignment="1">
      <alignment wrapText="1"/>
    </xf>
    <xf numFmtId="0" fontId="117" fillId="0" borderId="25" xfId="0" applyFont="1" applyBorder="1" applyAlignment="1">
      <alignment vertical="center" wrapText="1"/>
    </xf>
    <xf numFmtId="0" fontId="27" fillId="7" borderId="2" xfId="0" applyFont="1" applyFill="1" applyBorder="1" applyAlignment="1">
      <alignment horizontal="center" vertical="center"/>
    </xf>
    <xf numFmtId="0" fontId="117" fillId="0" borderId="179" xfId="0" applyFont="1" applyBorder="1" applyAlignment="1">
      <alignment horizontal="left" vertical="center" wrapText="1"/>
    </xf>
    <xf numFmtId="0" fontId="40" fillId="0" borderId="12" xfId="0" applyFont="1" applyBorder="1" applyAlignment="1">
      <alignment vertical="center" wrapText="1"/>
    </xf>
    <xf numFmtId="0" fontId="60" fillId="0" borderId="134" xfId="411" applyFont="1" applyBorder="1" applyAlignment="1">
      <alignment horizontal="center" vertical="center"/>
    </xf>
    <xf numFmtId="0" fontId="41" fillId="0" borderId="0" xfId="408" applyAlignment="1"/>
    <xf numFmtId="0" fontId="42" fillId="0" borderId="41" xfId="408" applyFont="1" applyBorder="1" applyAlignment="1"/>
    <xf numFmtId="0" fontId="42" fillId="0" borderId="42" xfId="408" applyFont="1" applyBorder="1" applyAlignment="1"/>
    <xf numFmtId="0" fontId="0" fillId="0" borderId="0" xfId="0" applyAlignment="1"/>
    <xf numFmtId="0" fontId="42" fillId="0" borderId="41" xfId="0" applyFont="1" applyBorder="1" applyAlignment="1"/>
    <xf numFmtId="0" fontId="42" fillId="0" borderId="42" xfId="0" applyFont="1" applyBorder="1" applyAlignment="1"/>
    <xf numFmtId="0" fontId="58" fillId="0" borderId="0" xfId="0" applyFont="1" applyAlignment="1"/>
    <xf numFmtId="0" fontId="42" fillId="0" borderId="62" xfId="0" applyFont="1" applyBorder="1" applyAlignment="1"/>
    <xf numFmtId="0" fontId="42" fillId="0" borderId="48" xfId="0" applyFont="1" applyBorder="1" applyAlignment="1"/>
    <xf numFmtId="0" fontId="18" fillId="0" borderId="0" xfId="409" applyAlignment="1"/>
    <xf numFmtId="0" fontId="20" fillId="0" borderId="41" xfId="409" applyFont="1" applyBorder="1" applyAlignment="1"/>
    <xf numFmtId="0" fontId="20" fillId="0" borderId="42" xfId="409" applyFont="1" applyBorder="1" applyAlignment="1"/>
  </cellXfs>
  <cellStyles count="412">
    <cellStyle name="Comma" xfId="1" builtinId="3"/>
    <cellStyle name="Comma 2" xfId="18" xr:uid="{00000000-0005-0000-0000-000001000000}"/>
    <cellStyle name="Comma 2 10" xfId="19" xr:uid="{00000000-0005-0000-0000-000002000000}"/>
    <cellStyle name="Comma 2 11" xfId="20" xr:uid="{00000000-0005-0000-0000-000003000000}"/>
    <cellStyle name="Comma 2 12" xfId="21" xr:uid="{00000000-0005-0000-0000-000004000000}"/>
    <cellStyle name="Comma 2 13" xfId="22" xr:uid="{00000000-0005-0000-0000-000005000000}"/>
    <cellStyle name="Comma 2 14" xfId="23" xr:uid="{00000000-0005-0000-0000-000006000000}"/>
    <cellStyle name="Comma 2 15" xfId="24" xr:uid="{00000000-0005-0000-0000-000007000000}"/>
    <cellStyle name="Comma 2 16" xfId="25" xr:uid="{00000000-0005-0000-0000-000008000000}"/>
    <cellStyle name="Comma 2 17" xfId="26" xr:uid="{00000000-0005-0000-0000-000009000000}"/>
    <cellStyle name="Comma 2 18" xfId="27" xr:uid="{00000000-0005-0000-0000-00000A000000}"/>
    <cellStyle name="Comma 2 19" xfId="28" xr:uid="{00000000-0005-0000-0000-00000B000000}"/>
    <cellStyle name="Comma 2 2" xfId="29" xr:uid="{00000000-0005-0000-0000-00000C000000}"/>
    <cellStyle name="Comma 2 2 2" xfId="30" xr:uid="{00000000-0005-0000-0000-00000D000000}"/>
    <cellStyle name="Comma 2 20" xfId="31" xr:uid="{00000000-0005-0000-0000-00000E000000}"/>
    <cellStyle name="Comma 2 21" xfId="32" xr:uid="{00000000-0005-0000-0000-00000F000000}"/>
    <cellStyle name="Comma 2 22" xfId="33" xr:uid="{00000000-0005-0000-0000-000010000000}"/>
    <cellStyle name="Comma 2 23" xfId="34" xr:uid="{00000000-0005-0000-0000-000011000000}"/>
    <cellStyle name="Comma 2 3" xfId="35" xr:uid="{00000000-0005-0000-0000-000012000000}"/>
    <cellStyle name="Comma 2 3 2" xfId="36" xr:uid="{00000000-0005-0000-0000-000013000000}"/>
    <cellStyle name="Comma 2 4" xfId="37" xr:uid="{00000000-0005-0000-0000-000014000000}"/>
    <cellStyle name="Comma 2 5" xfId="38" xr:uid="{00000000-0005-0000-0000-000015000000}"/>
    <cellStyle name="Comma 2 6" xfId="39" xr:uid="{00000000-0005-0000-0000-000016000000}"/>
    <cellStyle name="Comma 2 7" xfId="40" xr:uid="{00000000-0005-0000-0000-000017000000}"/>
    <cellStyle name="Comma 2 8" xfId="41" xr:uid="{00000000-0005-0000-0000-000018000000}"/>
    <cellStyle name="Comma 2 9" xfId="42" xr:uid="{00000000-0005-0000-0000-000019000000}"/>
    <cellStyle name="Comma 3" xfId="10" xr:uid="{00000000-0005-0000-0000-00001A000000}"/>
    <cellStyle name="Comma 4" xfId="16" xr:uid="{00000000-0005-0000-0000-00001B000000}"/>
    <cellStyle name="Normal" xfId="0" builtinId="0"/>
    <cellStyle name="Normal 10" xfId="43" xr:uid="{00000000-0005-0000-0000-00001D000000}"/>
    <cellStyle name="Normal 10 10" xfId="44" xr:uid="{00000000-0005-0000-0000-00001E000000}"/>
    <cellStyle name="Normal 10 11" xfId="45" xr:uid="{00000000-0005-0000-0000-00001F000000}"/>
    <cellStyle name="Normal 10 12" xfId="46" xr:uid="{00000000-0005-0000-0000-000020000000}"/>
    <cellStyle name="Normal 10 13" xfId="47" xr:uid="{00000000-0005-0000-0000-000021000000}"/>
    <cellStyle name="Normal 10 14" xfId="48" xr:uid="{00000000-0005-0000-0000-000022000000}"/>
    <cellStyle name="Normal 10 15" xfId="49" xr:uid="{00000000-0005-0000-0000-000023000000}"/>
    <cellStyle name="Normal 10 16" xfId="50" xr:uid="{00000000-0005-0000-0000-000024000000}"/>
    <cellStyle name="Normal 10 17" xfId="51" xr:uid="{00000000-0005-0000-0000-000025000000}"/>
    <cellStyle name="Normal 10 18" xfId="52" xr:uid="{00000000-0005-0000-0000-000026000000}"/>
    <cellStyle name="Normal 10 19" xfId="53" xr:uid="{00000000-0005-0000-0000-000027000000}"/>
    <cellStyle name="Normal 10 2" xfId="54" xr:uid="{00000000-0005-0000-0000-000028000000}"/>
    <cellStyle name="Normal 10 20" xfId="55" xr:uid="{00000000-0005-0000-0000-000029000000}"/>
    <cellStyle name="Normal 10 21" xfId="56" xr:uid="{00000000-0005-0000-0000-00002A000000}"/>
    <cellStyle name="Normal 10 22" xfId="57" xr:uid="{00000000-0005-0000-0000-00002B000000}"/>
    <cellStyle name="Normal 10 23" xfId="58" xr:uid="{00000000-0005-0000-0000-00002C000000}"/>
    <cellStyle name="Normal 10 24" xfId="59" xr:uid="{00000000-0005-0000-0000-00002D000000}"/>
    <cellStyle name="Normal 10 25" xfId="60" xr:uid="{00000000-0005-0000-0000-00002E000000}"/>
    <cellStyle name="Normal 10 3" xfId="61" xr:uid="{00000000-0005-0000-0000-00002F000000}"/>
    <cellStyle name="Normal 10 4" xfId="62" xr:uid="{00000000-0005-0000-0000-000030000000}"/>
    <cellStyle name="Normal 10 5" xfId="63" xr:uid="{00000000-0005-0000-0000-000031000000}"/>
    <cellStyle name="Normal 10 6" xfId="64" xr:uid="{00000000-0005-0000-0000-000032000000}"/>
    <cellStyle name="Normal 10 7" xfId="65" xr:uid="{00000000-0005-0000-0000-000033000000}"/>
    <cellStyle name="Normal 10 8" xfId="66" xr:uid="{00000000-0005-0000-0000-000034000000}"/>
    <cellStyle name="Normal 10 9" xfId="67" xr:uid="{00000000-0005-0000-0000-000035000000}"/>
    <cellStyle name="Normal 11" xfId="68" xr:uid="{00000000-0005-0000-0000-000036000000}"/>
    <cellStyle name="Normal 11 2" xfId="69" xr:uid="{00000000-0005-0000-0000-000037000000}"/>
    <cellStyle name="Normal 11 2 2" xfId="70" xr:uid="{00000000-0005-0000-0000-000038000000}"/>
    <cellStyle name="Normal 11 2 2 2" xfId="71" xr:uid="{00000000-0005-0000-0000-000039000000}"/>
    <cellStyle name="Normal 11 2 2 2 2" xfId="72" xr:uid="{00000000-0005-0000-0000-00003A000000}"/>
    <cellStyle name="Normal 11 2 2 2 2 2" xfId="73" xr:uid="{00000000-0005-0000-0000-00003B000000}"/>
    <cellStyle name="Normal 11 2 2 2 2 2 2" xfId="74" xr:uid="{00000000-0005-0000-0000-00003C000000}"/>
    <cellStyle name="Normal 11 2 2 2 2 3" xfId="75" xr:uid="{00000000-0005-0000-0000-00003D000000}"/>
    <cellStyle name="Normal 11 2 2 2 3" xfId="76" xr:uid="{00000000-0005-0000-0000-00003E000000}"/>
    <cellStyle name="Normal 11 2 2 2 3 2" xfId="77" xr:uid="{00000000-0005-0000-0000-00003F000000}"/>
    <cellStyle name="Normal 11 2 2 2 4" xfId="78" xr:uid="{00000000-0005-0000-0000-000040000000}"/>
    <cellStyle name="Normal 11 2 2 3" xfId="79" xr:uid="{00000000-0005-0000-0000-000041000000}"/>
    <cellStyle name="Normal 11 2 2 3 2" xfId="80" xr:uid="{00000000-0005-0000-0000-000042000000}"/>
    <cellStyle name="Normal 11 2 2 3 2 2" xfId="81" xr:uid="{00000000-0005-0000-0000-000043000000}"/>
    <cellStyle name="Normal 11 2 2 3 3" xfId="82" xr:uid="{00000000-0005-0000-0000-000044000000}"/>
    <cellStyle name="Normal 11 2 2 4" xfId="83" xr:uid="{00000000-0005-0000-0000-000045000000}"/>
    <cellStyle name="Normal 11 2 2 4 2" xfId="84" xr:uid="{00000000-0005-0000-0000-000046000000}"/>
    <cellStyle name="Normal 11 2 2 5" xfId="85" xr:uid="{00000000-0005-0000-0000-000047000000}"/>
    <cellStyle name="Normal 11 2 3" xfId="86" xr:uid="{00000000-0005-0000-0000-000048000000}"/>
    <cellStyle name="Normal 11 2 3 2" xfId="87" xr:uid="{00000000-0005-0000-0000-000049000000}"/>
    <cellStyle name="Normal 11 2 3 2 2" xfId="88" xr:uid="{00000000-0005-0000-0000-00004A000000}"/>
    <cellStyle name="Normal 11 2 3 2 2 2" xfId="89" xr:uid="{00000000-0005-0000-0000-00004B000000}"/>
    <cellStyle name="Normal 11 2 3 2 3" xfId="90" xr:uid="{00000000-0005-0000-0000-00004C000000}"/>
    <cellStyle name="Normal 11 2 3 3" xfId="91" xr:uid="{00000000-0005-0000-0000-00004D000000}"/>
    <cellStyle name="Normal 11 2 3 3 2" xfId="92" xr:uid="{00000000-0005-0000-0000-00004E000000}"/>
    <cellStyle name="Normal 11 2 3 4" xfId="93" xr:uid="{00000000-0005-0000-0000-00004F000000}"/>
    <cellStyle name="Normal 11 2 4" xfId="94" xr:uid="{00000000-0005-0000-0000-000050000000}"/>
    <cellStyle name="Normal 11 2 4 2" xfId="95" xr:uid="{00000000-0005-0000-0000-000051000000}"/>
    <cellStyle name="Normal 11 2 4 2 2" xfId="96" xr:uid="{00000000-0005-0000-0000-000052000000}"/>
    <cellStyle name="Normal 11 2 4 3" xfId="97" xr:uid="{00000000-0005-0000-0000-000053000000}"/>
    <cellStyle name="Normal 11 2 5" xfId="98" xr:uid="{00000000-0005-0000-0000-000054000000}"/>
    <cellStyle name="Normal 11 2 5 2" xfId="99" xr:uid="{00000000-0005-0000-0000-000055000000}"/>
    <cellStyle name="Normal 11 2 6" xfId="100" xr:uid="{00000000-0005-0000-0000-000056000000}"/>
    <cellStyle name="Normal 11 3" xfId="101" xr:uid="{00000000-0005-0000-0000-000057000000}"/>
    <cellStyle name="Normal 11 3 2" xfId="102" xr:uid="{00000000-0005-0000-0000-000058000000}"/>
    <cellStyle name="Normal 11 3 2 2" xfId="103" xr:uid="{00000000-0005-0000-0000-000059000000}"/>
    <cellStyle name="Normal 11 3 2 2 2" xfId="104" xr:uid="{00000000-0005-0000-0000-00005A000000}"/>
    <cellStyle name="Normal 11 3 2 2 2 2" xfId="105" xr:uid="{00000000-0005-0000-0000-00005B000000}"/>
    <cellStyle name="Normal 11 3 2 2 3" xfId="106" xr:uid="{00000000-0005-0000-0000-00005C000000}"/>
    <cellStyle name="Normal 11 3 2 3" xfId="107" xr:uid="{00000000-0005-0000-0000-00005D000000}"/>
    <cellStyle name="Normal 11 3 2 3 2" xfId="108" xr:uid="{00000000-0005-0000-0000-00005E000000}"/>
    <cellStyle name="Normal 11 3 2 4" xfId="109" xr:uid="{00000000-0005-0000-0000-00005F000000}"/>
    <cellStyle name="Normal 11 3 3" xfId="110" xr:uid="{00000000-0005-0000-0000-000060000000}"/>
    <cellStyle name="Normal 11 3 3 2" xfId="111" xr:uid="{00000000-0005-0000-0000-000061000000}"/>
    <cellStyle name="Normal 11 3 3 2 2" xfId="112" xr:uid="{00000000-0005-0000-0000-000062000000}"/>
    <cellStyle name="Normal 11 3 3 3" xfId="113" xr:uid="{00000000-0005-0000-0000-000063000000}"/>
    <cellStyle name="Normal 11 3 4" xfId="114" xr:uid="{00000000-0005-0000-0000-000064000000}"/>
    <cellStyle name="Normal 11 3 4 2" xfId="115" xr:uid="{00000000-0005-0000-0000-000065000000}"/>
    <cellStyle name="Normal 11 3 5" xfId="116" xr:uid="{00000000-0005-0000-0000-000066000000}"/>
    <cellStyle name="Normal 11 4" xfId="117" xr:uid="{00000000-0005-0000-0000-000067000000}"/>
    <cellStyle name="Normal 11 4 2" xfId="118" xr:uid="{00000000-0005-0000-0000-000068000000}"/>
    <cellStyle name="Normal 11 4 2 2" xfId="119" xr:uid="{00000000-0005-0000-0000-000069000000}"/>
    <cellStyle name="Normal 11 4 2 2 2" xfId="120" xr:uid="{00000000-0005-0000-0000-00006A000000}"/>
    <cellStyle name="Normal 11 4 2 3" xfId="121" xr:uid="{00000000-0005-0000-0000-00006B000000}"/>
    <cellStyle name="Normal 11 4 3" xfId="122" xr:uid="{00000000-0005-0000-0000-00006C000000}"/>
    <cellStyle name="Normal 11 4 3 2" xfId="123" xr:uid="{00000000-0005-0000-0000-00006D000000}"/>
    <cellStyle name="Normal 11 4 4" xfId="124" xr:uid="{00000000-0005-0000-0000-00006E000000}"/>
    <cellStyle name="Normal 11 5" xfId="125" xr:uid="{00000000-0005-0000-0000-00006F000000}"/>
    <cellStyle name="Normal 11 5 2" xfId="126" xr:uid="{00000000-0005-0000-0000-000070000000}"/>
    <cellStyle name="Normal 11 5 2 2" xfId="127" xr:uid="{00000000-0005-0000-0000-000071000000}"/>
    <cellStyle name="Normal 11 5 3" xfId="128" xr:uid="{00000000-0005-0000-0000-000072000000}"/>
    <cellStyle name="Normal 11 6" xfId="129" xr:uid="{00000000-0005-0000-0000-000073000000}"/>
    <cellStyle name="Normal 11 6 2" xfId="130" xr:uid="{00000000-0005-0000-0000-000074000000}"/>
    <cellStyle name="Normal 11 7" xfId="131" xr:uid="{00000000-0005-0000-0000-000075000000}"/>
    <cellStyle name="Normal 12" xfId="132" xr:uid="{00000000-0005-0000-0000-000076000000}"/>
    <cellStyle name="Normal 12 10" xfId="133" xr:uid="{00000000-0005-0000-0000-000077000000}"/>
    <cellStyle name="Normal 12 11" xfId="134" xr:uid="{00000000-0005-0000-0000-000078000000}"/>
    <cellStyle name="Normal 12 12" xfId="135" xr:uid="{00000000-0005-0000-0000-000079000000}"/>
    <cellStyle name="Normal 12 13" xfId="136" xr:uid="{00000000-0005-0000-0000-00007A000000}"/>
    <cellStyle name="Normal 12 14" xfId="137" xr:uid="{00000000-0005-0000-0000-00007B000000}"/>
    <cellStyle name="Normal 12 15" xfId="138" xr:uid="{00000000-0005-0000-0000-00007C000000}"/>
    <cellStyle name="Normal 12 16" xfId="139" xr:uid="{00000000-0005-0000-0000-00007D000000}"/>
    <cellStyle name="Normal 12 17" xfId="140" xr:uid="{00000000-0005-0000-0000-00007E000000}"/>
    <cellStyle name="Normal 12 18" xfId="141" xr:uid="{00000000-0005-0000-0000-00007F000000}"/>
    <cellStyle name="Normal 12 19" xfId="142" xr:uid="{00000000-0005-0000-0000-000080000000}"/>
    <cellStyle name="Normal 12 2" xfId="143" xr:uid="{00000000-0005-0000-0000-000081000000}"/>
    <cellStyle name="Normal 12 20" xfId="144" xr:uid="{00000000-0005-0000-0000-000082000000}"/>
    <cellStyle name="Normal 12 21" xfId="145" xr:uid="{00000000-0005-0000-0000-000083000000}"/>
    <cellStyle name="Normal 12 22" xfId="146" xr:uid="{00000000-0005-0000-0000-000084000000}"/>
    <cellStyle name="Normal 12 23" xfId="147" xr:uid="{00000000-0005-0000-0000-000085000000}"/>
    <cellStyle name="Normal 12 3" xfId="148" xr:uid="{00000000-0005-0000-0000-000086000000}"/>
    <cellStyle name="Normal 12 4" xfId="149" xr:uid="{00000000-0005-0000-0000-000087000000}"/>
    <cellStyle name="Normal 12 5" xfId="150" xr:uid="{00000000-0005-0000-0000-000088000000}"/>
    <cellStyle name="Normal 12 6" xfId="151" xr:uid="{00000000-0005-0000-0000-000089000000}"/>
    <cellStyle name="Normal 12 7" xfId="152" xr:uid="{00000000-0005-0000-0000-00008A000000}"/>
    <cellStyle name="Normal 12 8" xfId="153" xr:uid="{00000000-0005-0000-0000-00008B000000}"/>
    <cellStyle name="Normal 12 9" xfId="154" xr:uid="{00000000-0005-0000-0000-00008C000000}"/>
    <cellStyle name="Normal 13" xfId="155" xr:uid="{00000000-0005-0000-0000-00008D000000}"/>
    <cellStyle name="Normal 13 10" xfId="156" xr:uid="{00000000-0005-0000-0000-00008E000000}"/>
    <cellStyle name="Normal 13 11" xfId="157" xr:uid="{00000000-0005-0000-0000-00008F000000}"/>
    <cellStyle name="Normal 13 12" xfId="158" xr:uid="{00000000-0005-0000-0000-000090000000}"/>
    <cellStyle name="Normal 13 13" xfId="159" xr:uid="{00000000-0005-0000-0000-000091000000}"/>
    <cellStyle name="Normal 13 14" xfId="160" xr:uid="{00000000-0005-0000-0000-000092000000}"/>
    <cellStyle name="Normal 13 15" xfId="161" xr:uid="{00000000-0005-0000-0000-000093000000}"/>
    <cellStyle name="Normal 13 16" xfId="162" xr:uid="{00000000-0005-0000-0000-000094000000}"/>
    <cellStyle name="Normal 13 17" xfId="163" xr:uid="{00000000-0005-0000-0000-000095000000}"/>
    <cellStyle name="Normal 13 18" xfId="164" xr:uid="{00000000-0005-0000-0000-000096000000}"/>
    <cellStyle name="Normal 13 19" xfId="165" xr:uid="{00000000-0005-0000-0000-000097000000}"/>
    <cellStyle name="Normal 13 2" xfId="166" xr:uid="{00000000-0005-0000-0000-000098000000}"/>
    <cellStyle name="Normal 13 20" xfId="167" xr:uid="{00000000-0005-0000-0000-000099000000}"/>
    <cellStyle name="Normal 13 21" xfId="168" xr:uid="{00000000-0005-0000-0000-00009A000000}"/>
    <cellStyle name="Normal 13 22" xfId="169" xr:uid="{00000000-0005-0000-0000-00009B000000}"/>
    <cellStyle name="Normal 13 23" xfId="170" xr:uid="{00000000-0005-0000-0000-00009C000000}"/>
    <cellStyle name="Normal 13 3" xfId="171" xr:uid="{00000000-0005-0000-0000-00009D000000}"/>
    <cellStyle name="Normal 13 4" xfId="172" xr:uid="{00000000-0005-0000-0000-00009E000000}"/>
    <cellStyle name="Normal 13 5" xfId="173" xr:uid="{00000000-0005-0000-0000-00009F000000}"/>
    <cellStyle name="Normal 13 6" xfId="174" xr:uid="{00000000-0005-0000-0000-0000A0000000}"/>
    <cellStyle name="Normal 13 7" xfId="175" xr:uid="{00000000-0005-0000-0000-0000A1000000}"/>
    <cellStyle name="Normal 13 8" xfId="176" xr:uid="{00000000-0005-0000-0000-0000A2000000}"/>
    <cellStyle name="Normal 13 9" xfId="177" xr:uid="{00000000-0005-0000-0000-0000A3000000}"/>
    <cellStyle name="Normal 14" xfId="2" xr:uid="{00000000-0005-0000-0000-0000A4000000}"/>
    <cellStyle name="Normal 15" xfId="178" xr:uid="{00000000-0005-0000-0000-0000A5000000}"/>
    <cellStyle name="Normal 15 10" xfId="179" xr:uid="{00000000-0005-0000-0000-0000A6000000}"/>
    <cellStyle name="Normal 15 11" xfId="180" xr:uid="{00000000-0005-0000-0000-0000A7000000}"/>
    <cellStyle name="Normal 15 12" xfId="181" xr:uid="{00000000-0005-0000-0000-0000A8000000}"/>
    <cellStyle name="Normal 15 13" xfId="182" xr:uid="{00000000-0005-0000-0000-0000A9000000}"/>
    <cellStyle name="Normal 15 14" xfId="183" xr:uid="{00000000-0005-0000-0000-0000AA000000}"/>
    <cellStyle name="Normal 15 15" xfId="184" xr:uid="{00000000-0005-0000-0000-0000AB000000}"/>
    <cellStyle name="Normal 15 16" xfId="185" xr:uid="{00000000-0005-0000-0000-0000AC000000}"/>
    <cellStyle name="Normal 15 17" xfId="186" xr:uid="{00000000-0005-0000-0000-0000AD000000}"/>
    <cellStyle name="Normal 15 18" xfId="187" xr:uid="{00000000-0005-0000-0000-0000AE000000}"/>
    <cellStyle name="Normal 15 19" xfId="188" xr:uid="{00000000-0005-0000-0000-0000AF000000}"/>
    <cellStyle name="Normal 15 2" xfId="189" xr:uid="{00000000-0005-0000-0000-0000B0000000}"/>
    <cellStyle name="Normal 15 20" xfId="190" xr:uid="{00000000-0005-0000-0000-0000B1000000}"/>
    <cellStyle name="Normal 15 21" xfId="191" xr:uid="{00000000-0005-0000-0000-0000B2000000}"/>
    <cellStyle name="Normal 15 22" xfId="192" xr:uid="{00000000-0005-0000-0000-0000B3000000}"/>
    <cellStyle name="Normal 15 23" xfId="193" xr:uid="{00000000-0005-0000-0000-0000B4000000}"/>
    <cellStyle name="Normal 15 3" xfId="194" xr:uid="{00000000-0005-0000-0000-0000B5000000}"/>
    <cellStyle name="Normal 15 4" xfId="195" xr:uid="{00000000-0005-0000-0000-0000B6000000}"/>
    <cellStyle name="Normal 15 5" xfId="196" xr:uid="{00000000-0005-0000-0000-0000B7000000}"/>
    <cellStyle name="Normal 15 6" xfId="197" xr:uid="{00000000-0005-0000-0000-0000B8000000}"/>
    <cellStyle name="Normal 15 7" xfId="198" xr:uid="{00000000-0005-0000-0000-0000B9000000}"/>
    <cellStyle name="Normal 15 8" xfId="199" xr:uid="{00000000-0005-0000-0000-0000BA000000}"/>
    <cellStyle name="Normal 15 9" xfId="200" xr:uid="{00000000-0005-0000-0000-0000BB000000}"/>
    <cellStyle name="Normal 16" xfId="201" xr:uid="{00000000-0005-0000-0000-0000BC000000}"/>
    <cellStyle name="Normal 17" xfId="408" xr:uid="{00000000-0005-0000-0000-0000BD000000}"/>
    <cellStyle name="Normal 18" xfId="409" xr:uid="{00000000-0005-0000-0000-0000BE000000}"/>
    <cellStyle name="Normal 19" xfId="411" xr:uid="{00000000-0005-0000-0000-0000BF000000}"/>
    <cellStyle name="Normal 2" xfId="5" xr:uid="{00000000-0005-0000-0000-0000C0000000}"/>
    <cellStyle name="Normal 2 2" xfId="6" xr:uid="{00000000-0005-0000-0000-0000C1000000}"/>
    <cellStyle name="Normal 2 2 10" xfId="202" xr:uid="{00000000-0005-0000-0000-0000C2000000}"/>
    <cellStyle name="Normal 2 2 11" xfId="203" xr:uid="{00000000-0005-0000-0000-0000C3000000}"/>
    <cellStyle name="Normal 2 2 12" xfId="204" xr:uid="{00000000-0005-0000-0000-0000C4000000}"/>
    <cellStyle name="Normal 2 2 13" xfId="205" xr:uid="{00000000-0005-0000-0000-0000C5000000}"/>
    <cellStyle name="Normal 2 2 14" xfId="206" xr:uid="{00000000-0005-0000-0000-0000C6000000}"/>
    <cellStyle name="Normal 2 2 15" xfId="207" xr:uid="{00000000-0005-0000-0000-0000C7000000}"/>
    <cellStyle name="Normal 2 2 16" xfId="208" xr:uid="{00000000-0005-0000-0000-0000C8000000}"/>
    <cellStyle name="Normal 2 2 17" xfId="209" xr:uid="{00000000-0005-0000-0000-0000C9000000}"/>
    <cellStyle name="Normal 2 2 18" xfId="210" xr:uid="{00000000-0005-0000-0000-0000CA000000}"/>
    <cellStyle name="Normal 2 2 19" xfId="211" xr:uid="{00000000-0005-0000-0000-0000CB000000}"/>
    <cellStyle name="Normal 2 2 2" xfId="212" xr:uid="{00000000-0005-0000-0000-0000CC000000}"/>
    <cellStyle name="Normal 2 2 20" xfId="213" xr:uid="{00000000-0005-0000-0000-0000CD000000}"/>
    <cellStyle name="Normal 2 2 21" xfId="214" xr:uid="{00000000-0005-0000-0000-0000CE000000}"/>
    <cellStyle name="Normal 2 2 22" xfId="215" xr:uid="{00000000-0005-0000-0000-0000CF000000}"/>
    <cellStyle name="Normal 2 2 23" xfId="216" xr:uid="{00000000-0005-0000-0000-0000D0000000}"/>
    <cellStyle name="Normal 2 2 3" xfId="217" xr:uid="{00000000-0005-0000-0000-0000D1000000}"/>
    <cellStyle name="Normal 2 2 4" xfId="218" xr:uid="{00000000-0005-0000-0000-0000D2000000}"/>
    <cellStyle name="Normal 2 2 5" xfId="219" xr:uid="{00000000-0005-0000-0000-0000D3000000}"/>
    <cellStyle name="Normal 2 2 6" xfId="220" xr:uid="{00000000-0005-0000-0000-0000D4000000}"/>
    <cellStyle name="Normal 2 2 7" xfId="221" xr:uid="{00000000-0005-0000-0000-0000D5000000}"/>
    <cellStyle name="Normal 2 2 8" xfId="222" xr:uid="{00000000-0005-0000-0000-0000D6000000}"/>
    <cellStyle name="Normal 2 2 9" xfId="223" xr:uid="{00000000-0005-0000-0000-0000D7000000}"/>
    <cellStyle name="Normal 2 3" xfId="224" xr:uid="{00000000-0005-0000-0000-0000D8000000}"/>
    <cellStyle name="Normal 2 3 10" xfId="225" xr:uid="{00000000-0005-0000-0000-0000D9000000}"/>
    <cellStyle name="Normal 2 3 11" xfId="226" xr:uid="{00000000-0005-0000-0000-0000DA000000}"/>
    <cellStyle name="Normal 2 3 12" xfId="227" xr:uid="{00000000-0005-0000-0000-0000DB000000}"/>
    <cellStyle name="Normal 2 3 13" xfId="228" xr:uid="{00000000-0005-0000-0000-0000DC000000}"/>
    <cellStyle name="Normal 2 3 14" xfId="229" xr:uid="{00000000-0005-0000-0000-0000DD000000}"/>
    <cellStyle name="Normal 2 3 15" xfId="230" xr:uid="{00000000-0005-0000-0000-0000DE000000}"/>
    <cellStyle name="Normal 2 3 16" xfId="231" xr:uid="{00000000-0005-0000-0000-0000DF000000}"/>
    <cellStyle name="Normal 2 3 17" xfId="232" xr:uid="{00000000-0005-0000-0000-0000E0000000}"/>
    <cellStyle name="Normal 2 3 18" xfId="233" xr:uid="{00000000-0005-0000-0000-0000E1000000}"/>
    <cellStyle name="Normal 2 3 19" xfId="234" xr:uid="{00000000-0005-0000-0000-0000E2000000}"/>
    <cellStyle name="Normal 2 3 2" xfId="235" xr:uid="{00000000-0005-0000-0000-0000E3000000}"/>
    <cellStyle name="Normal 2 3 20" xfId="236" xr:uid="{00000000-0005-0000-0000-0000E4000000}"/>
    <cellStyle name="Normal 2 3 21" xfId="237" xr:uid="{00000000-0005-0000-0000-0000E5000000}"/>
    <cellStyle name="Normal 2 3 22" xfId="238" xr:uid="{00000000-0005-0000-0000-0000E6000000}"/>
    <cellStyle name="Normal 2 3 23" xfId="239" xr:uid="{00000000-0005-0000-0000-0000E7000000}"/>
    <cellStyle name="Normal 2 3 3" xfId="240" xr:uid="{00000000-0005-0000-0000-0000E8000000}"/>
    <cellStyle name="Normal 2 3 4" xfId="241" xr:uid="{00000000-0005-0000-0000-0000E9000000}"/>
    <cellStyle name="Normal 2 3 5" xfId="242" xr:uid="{00000000-0005-0000-0000-0000EA000000}"/>
    <cellStyle name="Normal 2 3 6" xfId="243" xr:uid="{00000000-0005-0000-0000-0000EB000000}"/>
    <cellStyle name="Normal 2 3 7" xfId="244" xr:uid="{00000000-0005-0000-0000-0000EC000000}"/>
    <cellStyle name="Normal 2 3 8" xfId="245" xr:uid="{00000000-0005-0000-0000-0000ED000000}"/>
    <cellStyle name="Normal 2 3 9" xfId="246" xr:uid="{00000000-0005-0000-0000-0000EE000000}"/>
    <cellStyle name="Normal 23" xfId="9" xr:uid="{00000000-0005-0000-0000-0000EF000000}"/>
    <cellStyle name="Normal 3" xfId="15" xr:uid="{00000000-0005-0000-0000-0000F0000000}"/>
    <cellStyle name="Normal 3 10" xfId="248" xr:uid="{00000000-0005-0000-0000-0000F1000000}"/>
    <cellStyle name="Normal 3 11" xfId="249" xr:uid="{00000000-0005-0000-0000-0000F2000000}"/>
    <cellStyle name="Normal 3 12" xfId="250" xr:uid="{00000000-0005-0000-0000-0000F3000000}"/>
    <cellStyle name="Normal 3 13" xfId="251" xr:uid="{00000000-0005-0000-0000-0000F4000000}"/>
    <cellStyle name="Normal 3 14" xfId="252" xr:uid="{00000000-0005-0000-0000-0000F5000000}"/>
    <cellStyle name="Normal 3 15" xfId="253" xr:uid="{00000000-0005-0000-0000-0000F6000000}"/>
    <cellStyle name="Normal 3 16" xfId="254" xr:uid="{00000000-0005-0000-0000-0000F7000000}"/>
    <cellStyle name="Normal 3 17" xfId="255" xr:uid="{00000000-0005-0000-0000-0000F8000000}"/>
    <cellStyle name="Normal 3 18" xfId="256" xr:uid="{00000000-0005-0000-0000-0000F9000000}"/>
    <cellStyle name="Normal 3 19" xfId="257" xr:uid="{00000000-0005-0000-0000-0000FA000000}"/>
    <cellStyle name="Normal 3 2" xfId="17" xr:uid="{00000000-0005-0000-0000-0000FB000000}"/>
    <cellStyle name="Normal 3 2 2" xfId="258" xr:uid="{00000000-0005-0000-0000-0000FC000000}"/>
    <cellStyle name="Normal 3 20" xfId="259" xr:uid="{00000000-0005-0000-0000-0000FD000000}"/>
    <cellStyle name="Normal 3 21" xfId="260" xr:uid="{00000000-0005-0000-0000-0000FE000000}"/>
    <cellStyle name="Normal 3 22" xfId="261" xr:uid="{00000000-0005-0000-0000-0000FF000000}"/>
    <cellStyle name="Normal 3 23" xfId="262" xr:uid="{00000000-0005-0000-0000-000000010000}"/>
    <cellStyle name="Normal 3 24" xfId="247" xr:uid="{00000000-0005-0000-0000-000001010000}"/>
    <cellStyle name="Normal 3 3" xfId="263" xr:uid="{00000000-0005-0000-0000-000002010000}"/>
    <cellStyle name="Normal 3 4" xfId="264" xr:uid="{00000000-0005-0000-0000-000003010000}"/>
    <cellStyle name="Normal 3 5" xfId="265" xr:uid="{00000000-0005-0000-0000-000004010000}"/>
    <cellStyle name="Normal 3 6" xfId="266" xr:uid="{00000000-0005-0000-0000-000005010000}"/>
    <cellStyle name="Normal 3 7" xfId="267" xr:uid="{00000000-0005-0000-0000-000006010000}"/>
    <cellStyle name="Normal 3 8" xfId="268" xr:uid="{00000000-0005-0000-0000-000007010000}"/>
    <cellStyle name="Normal 3 9" xfId="269" xr:uid="{00000000-0005-0000-0000-000008010000}"/>
    <cellStyle name="Normal 4" xfId="270" xr:uid="{00000000-0005-0000-0000-000009010000}"/>
    <cellStyle name="Normal 4 10" xfId="271" xr:uid="{00000000-0005-0000-0000-00000A010000}"/>
    <cellStyle name="Normal 4 11" xfId="272" xr:uid="{00000000-0005-0000-0000-00000B010000}"/>
    <cellStyle name="Normal 4 12" xfId="273" xr:uid="{00000000-0005-0000-0000-00000C010000}"/>
    <cellStyle name="Normal 4 13" xfId="274" xr:uid="{00000000-0005-0000-0000-00000D010000}"/>
    <cellStyle name="Normal 4 14" xfId="275" xr:uid="{00000000-0005-0000-0000-00000E010000}"/>
    <cellStyle name="Normal 4 15" xfId="276" xr:uid="{00000000-0005-0000-0000-00000F010000}"/>
    <cellStyle name="Normal 4 16" xfId="277" xr:uid="{00000000-0005-0000-0000-000010010000}"/>
    <cellStyle name="Normal 4 17" xfId="278" xr:uid="{00000000-0005-0000-0000-000011010000}"/>
    <cellStyle name="Normal 4 18" xfId="279" xr:uid="{00000000-0005-0000-0000-000012010000}"/>
    <cellStyle name="Normal 4 19" xfId="280" xr:uid="{00000000-0005-0000-0000-000013010000}"/>
    <cellStyle name="Normal 4 2" xfId="281" xr:uid="{00000000-0005-0000-0000-000014010000}"/>
    <cellStyle name="Normal 4 20" xfId="282" xr:uid="{00000000-0005-0000-0000-000015010000}"/>
    <cellStyle name="Normal 4 21" xfId="283" xr:uid="{00000000-0005-0000-0000-000016010000}"/>
    <cellStyle name="Normal 4 22" xfId="284" xr:uid="{00000000-0005-0000-0000-000017010000}"/>
    <cellStyle name="Normal 4 23" xfId="285" xr:uid="{00000000-0005-0000-0000-000018010000}"/>
    <cellStyle name="Normal 4 27 3 2 3 2 5" xfId="8" xr:uid="{00000000-0005-0000-0000-000019010000}"/>
    <cellStyle name="Normal 4 27 3 2 3 2 5 3" xfId="13" xr:uid="{00000000-0005-0000-0000-00001A010000}"/>
    <cellStyle name="Normal 4 29 5 5" xfId="7" xr:uid="{00000000-0005-0000-0000-00001B010000}"/>
    <cellStyle name="Normal 4 29 5 5 3" xfId="12" xr:uid="{00000000-0005-0000-0000-00001C010000}"/>
    <cellStyle name="Normal 4 3" xfId="286" xr:uid="{00000000-0005-0000-0000-00001D010000}"/>
    <cellStyle name="Normal 4 4" xfId="287" xr:uid="{00000000-0005-0000-0000-00001E010000}"/>
    <cellStyle name="Normal 4 5" xfId="288" xr:uid="{00000000-0005-0000-0000-00001F010000}"/>
    <cellStyle name="Normal 4 6" xfId="289" xr:uid="{00000000-0005-0000-0000-000020010000}"/>
    <cellStyle name="Normal 4 7" xfId="290" xr:uid="{00000000-0005-0000-0000-000021010000}"/>
    <cellStyle name="Normal 4 8" xfId="291" xr:uid="{00000000-0005-0000-0000-000022010000}"/>
    <cellStyle name="Normal 4 9" xfId="292" xr:uid="{00000000-0005-0000-0000-000023010000}"/>
    <cellStyle name="Normal 5" xfId="4" xr:uid="{00000000-0005-0000-0000-000024010000}"/>
    <cellStyle name="Normal 5 10" xfId="294" xr:uid="{00000000-0005-0000-0000-000025010000}"/>
    <cellStyle name="Normal 5 11" xfId="295" xr:uid="{00000000-0005-0000-0000-000026010000}"/>
    <cellStyle name="Normal 5 12" xfId="296" xr:uid="{00000000-0005-0000-0000-000027010000}"/>
    <cellStyle name="Normal 5 13" xfId="297" xr:uid="{00000000-0005-0000-0000-000028010000}"/>
    <cellStyle name="Normal 5 14" xfId="298" xr:uid="{00000000-0005-0000-0000-000029010000}"/>
    <cellStyle name="Normal 5 15" xfId="299" xr:uid="{00000000-0005-0000-0000-00002A010000}"/>
    <cellStyle name="Normal 5 16" xfId="300" xr:uid="{00000000-0005-0000-0000-00002B010000}"/>
    <cellStyle name="Normal 5 17" xfId="301" xr:uid="{00000000-0005-0000-0000-00002C010000}"/>
    <cellStyle name="Normal 5 18" xfId="302" xr:uid="{00000000-0005-0000-0000-00002D010000}"/>
    <cellStyle name="Normal 5 19" xfId="303" xr:uid="{00000000-0005-0000-0000-00002E010000}"/>
    <cellStyle name="Normal 5 2" xfId="304" xr:uid="{00000000-0005-0000-0000-00002F010000}"/>
    <cellStyle name="Normal 5 20" xfId="305" xr:uid="{00000000-0005-0000-0000-000030010000}"/>
    <cellStyle name="Normal 5 21" xfId="306" xr:uid="{00000000-0005-0000-0000-000031010000}"/>
    <cellStyle name="Normal 5 22" xfId="307" xr:uid="{00000000-0005-0000-0000-000032010000}"/>
    <cellStyle name="Normal 5 23" xfId="308" xr:uid="{00000000-0005-0000-0000-000033010000}"/>
    <cellStyle name="Normal 5 24" xfId="293" xr:uid="{00000000-0005-0000-0000-000034010000}"/>
    <cellStyle name="Normal 5 3" xfId="309" xr:uid="{00000000-0005-0000-0000-000035010000}"/>
    <cellStyle name="Normal 5 4" xfId="310" xr:uid="{00000000-0005-0000-0000-000036010000}"/>
    <cellStyle name="Normal 5 5" xfId="311" xr:uid="{00000000-0005-0000-0000-000037010000}"/>
    <cellStyle name="Normal 5 6" xfId="312" xr:uid="{00000000-0005-0000-0000-000038010000}"/>
    <cellStyle name="Normal 5 7" xfId="313" xr:uid="{00000000-0005-0000-0000-000039010000}"/>
    <cellStyle name="Normal 5 8" xfId="314" xr:uid="{00000000-0005-0000-0000-00003A010000}"/>
    <cellStyle name="Normal 5 9" xfId="315" xr:uid="{00000000-0005-0000-0000-00003B010000}"/>
    <cellStyle name="Normal 6" xfId="14" xr:uid="{00000000-0005-0000-0000-00003C010000}"/>
    <cellStyle name="Normal 6 10" xfId="317" xr:uid="{00000000-0005-0000-0000-00003D010000}"/>
    <cellStyle name="Normal 6 11" xfId="318" xr:uid="{00000000-0005-0000-0000-00003E010000}"/>
    <cellStyle name="Normal 6 12" xfId="319" xr:uid="{00000000-0005-0000-0000-00003F010000}"/>
    <cellStyle name="Normal 6 13" xfId="320" xr:uid="{00000000-0005-0000-0000-000040010000}"/>
    <cellStyle name="Normal 6 14" xfId="321" xr:uid="{00000000-0005-0000-0000-000041010000}"/>
    <cellStyle name="Normal 6 15" xfId="322" xr:uid="{00000000-0005-0000-0000-000042010000}"/>
    <cellStyle name="Normal 6 16" xfId="323" xr:uid="{00000000-0005-0000-0000-000043010000}"/>
    <cellStyle name="Normal 6 17" xfId="324" xr:uid="{00000000-0005-0000-0000-000044010000}"/>
    <cellStyle name="Normal 6 18" xfId="325" xr:uid="{00000000-0005-0000-0000-000045010000}"/>
    <cellStyle name="Normal 6 19" xfId="326" xr:uid="{00000000-0005-0000-0000-000046010000}"/>
    <cellStyle name="Normal 6 2" xfId="327" xr:uid="{00000000-0005-0000-0000-000047010000}"/>
    <cellStyle name="Normal 6 20" xfId="328" xr:uid="{00000000-0005-0000-0000-000048010000}"/>
    <cellStyle name="Normal 6 21" xfId="329" xr:uid="{00000000-0005-0000-0000-000049010000}"/>
    <cellStyle name="Normal 6 22" xfId="330" xr:uid="{00000000-0005-0000-0000-00004A010000}"/>
    <cellStyle name="Normal 6 23" xfId="331" xr:uid="{00000000-0005-0000-0000-00004B010000}"/>
    <cellStyle name="Normal 6 24" xfId="316" xr:uid="{00000000-0005-0000-0000-00004C010000}"/>
    <cellStyle name="Normal 6 3" xfId="332" xr:uid="{00000000-0005-0000-0000-00004D010000}"/>
    <cellStyle name="Normal 6 4" xfId="333" xr:uid="{00000000-0005-0000-0000-00004E010000}"/>
    <cellStyle name="Normal 6 5" xfId="334" xr:uid="{00000000-0005-0000-0000-00004F010000}"/>
    <cellStyle name="Normal 6 6" xfId="335" xr:uid="{00000000-0005-0000-0000-000050010000}"/>
    <cellStyle name="Normal 6 7" xfId="336" xr:uid="{00000000-0005-0000-0000-000051010000}"/>
    <cellStyle name="Normal 6 8" xfId="337" xr:uid="{00000000-0005-0000-0000-000052010000}"/>
    <cellStyle name="Normal 6 9" xfId="338" xr:uid="{00000000-0005-0000-0000-000053010000}"/>
    <cellStyle name="Normal 7" xfId="339" xr:uid="{00000000-0005-0000-0000-000054010000}"/>
    <cellStyle name="Normal 7 10" xfId="340" xr:uid="{00000000-0005-0000-0000-000055010000}"/>
    <cellStyle name="Normal 7 11" xfId="341" xr:uid="{00000000-0005-0000-0000-000056010000}"/>
    <cellStyle name="Normal 7 12" xfId="342" xr:uid="{00000000-0005-0000-0000-000057010000}"/>
    <cellStyle name="Normal 7 13" xfId="343" xr:uid="{00000000-0005-0000-0000-000058010000}"/>
    <cellStyle name="Normal 7 14" xfId="344" xr:uid="{00000000-0005-0000-0000-000059010000}"/>
    <cellStyle name="Normal 7 15" xfId="345" xr:uid="{00000000-0005-0000-0000-00005A010000}"/>
    <cellStyle name="Normal 7 16" xfId="346" xr:uid="{00000000-0005-0000-0000-00005B010000}"/>
    <cellStyle name="Normal 7 17" xfId="347" xr:uid="{00000000-0005-0000-0000-00005C010000}"/>
    <cellStyle name="Normal 7 18" xfId="348" xr:uid="{00000000-0005-0000-0000-00005D010000}"/>
    <cellStyle name="Normal 7 19" xfId="349" xr:uid="{00000000-0005-0000-0000-00005E010000}"/>
    <cellStyle name="Normal 7 2" xfId="350" xr:uid="{00000000-0005-0000-0000-00005F010000}"/>
    <cellStyle name="Normal 7 20" xfId="351" xr:uid="{00000000-0005-0000-0000-000060010000}"/>
    <cellStyle name="Normal 7 21" xfId="352" xr:uid="{00000000-0005-0000-0000-000061010000}"/>
    <cellStyle name="Normal 7 22" xfId="353" xr:uid="{00000000-0005-0000-0000-000062010000}"/>
    <cellStyle name="Normal 7 23" xfId="354" xr:uid="{00000000-0005-0000-0000-000063010000}"/>
    <cellStyle name="Normal 7 3" xfId="355" xr:uid="{00000000-0005-0000-0000-000064010000}"/>
    <cellStyle name="Normal 7 4" xfId="356" xr:uid="{00000000-0005-0000-0000-000065010000}"/>
    <cellStyle name="Normal 7 5" xfId="357" xr:uid="{00000000-0005-0000-0000-000066010000}"/>
    <cellStyle name="Normal 7 6" xfId="358" xr:uid="{00000000-0005-0000-0000-000067010000}"/>
    <cellStyle name="Normal 7 7" xfId="359" xr:uid="{00000000-0005-0000-0000-000068010000}"/>
    <cellStyle name="Normal 7 8" xfId="360" xr:uid="{00000000-0005-0000-0000-000069010000}"/>
    <cellStyle name="Normal 7 9" xfId="361" xr:uid="{00000000-0005-0000-0000-00006A010000}"/>
    <cellStyle name="Normal 8" xfId="362" xr:uid="{00000000-0005-0000-0000-00006B010000}"/>
    <cellStyle name="Normal 8 10" xfId="363" xr:uid="{00000000-0005-0000-0000-00006C010000}"/>
    <cellStyle name="Normal 8 11" xfId="364" xr:uid="{00000000-0005-0000-0000-00006D010000}"/>
    <cellStyle name="Normal 8 12" xfId="365" xr:uid="{00000000-0005-0000-0000-00006E010000}"/>
    <cellStyle name="Normal 8 13" xfId="366" xr:uid="{00000000-0005-0000-0000-00006F010000}"/>
    <cellStyle name="Normal 8 14" xfId="367" xr:uid="{00000000-0005-0000-0000-000070010000}"/>
    <cellStyle name="Normal 8 15" xfId="368" xr:uid="{00000000-0005-0000-0000-000071010000}"/>
    <cellStyle name="Normal 8 16" xfId="369" xr:uid="{00000000-0005-0000-0000-000072010000}"/>
    <cellStyle name="Normal 8 17" xfId="370" xr:uid="{00000000-0005-0000-0000-000073010000}"/>
    <cellStyle name="Normal 8 18" xfId="371" xr:uid="{00000000-0005-0000-0000-000074010000}"/>
    <cellStyle name="Normal 8 19" xfId="372" xr:uid="{00000000-0005-0000-0000-000075010000}"/>
    <cellStyle name="Normal 8 2" xfId="373" xr:uid="{00000000-0005-0000-0000-000076010000}"/>
    <cellStyle name="Normal 8 20" xfId="374" xr:uid="{00000000-0005-0000-0000-000077010000}"/>
    <cellStyle name="Normal 8 21" xfId="375" xr:uid="{00000000-0005-0000-0000-000078010000}"/>
    <cellStyle name="Normal 8 22" xfId="376" xr:uid="{00000000-0005-0000-0000-000079010000}"/>
    <cellStyle name="Normal 8 23" xfId="377" xr:uid="{00000000-0005-0000-0000-00007A010000}"/>
    <cellStyle name="Normal 8 3" xfId="378" xr:uid="{00000000-0005-0000-0000-00007B010000}"/>
    <cellStyle name="Normal 8 4" xfId="379" xr:uid="{00000000-0005-0000-0000-00007C010000}"/>
    <cellStyle name="Normal 8 5" xfId="380" xr:uid="{00000000-0005-0000-0000-00007D010000}"/>
    <cellStyle name="Normal 8 6" xfId="381" xr:uid="{00000000-0005-0000-0000-00007E010000}"/>
    <cellStyle name="Normal 8 7" xfId="382" xr:uid="{00000000-0005-0000-0000-00007F010000}"/>
    <cellStyle name="Normal 8 8" xfId="383" xr:uid="{00000000-0005-0000-0000-000080010000}"/>
    <cellStyle name="Normal 8 9" xfId="384" xr:uid="{00000000-0005-0000-0000-000081010000}"/>
    <cellStyle name="Normal 9" xfId="385" xr:uid="{00000000-0005-0000-0000-000082010000}"/>
    <cellStyle name="Normal 9 10" xfId="386" xr:uid="{00000000-0005-0000-0000-000083010000}"/>
    <cellStyle name="Normal 9 11" xfId="387" xr:uid="{00000000-0005-0000-0000-000084010000}"/>
    <cellStyle name="Normal 9 12" xfId="388" xr:uid="{00000000-0005-0000-0000-000085010000}"/>
    <cellStyle name="Normal 9 13" xfId="389" xr:uid="{00000000-0005-0000-0000-000086010000}"/>
    <cellStyle name="Normal 9 14" xfId="390" xr:uid="{00000000-0005-0000-0000-000087010000}"/>
    <cellStyle name="Normal 9 15" xfId="391" xr:uid="{00000000-0005-0000-0000-000088010000}"/>
    <cellStyle name="Normal 9 16" xfId="392" xr:uid="{00000000-0005-0000-0000-000089010000}"/>
    <cellStyle name="Normal 9 17" xfId="393" xr:uid="{00000000-0005-0000-0000-00008A010000}"/>
    <cellStyle name="Normal 9 18" xfId="394" xr:uid="{00000000-0005-0000-0000-00008B010000}"/>
    <cellStyle name="Normal 9 19" xfId="395" xr:uid="{00000000-0005-0000-0000-00008C010000}"/>
    <cellStyle name="Normal 9 2" xfId="396" xr:uid="{00000000-0005-0000-0000-00008D010000}"/>
    <cellStyle name="Normal 9 20" xfId="397" xr:uid="{00000000-0005-0000-0000-00008E010000}"/>
    <cellStyle name="Normal 9 21" xfId="398" xr:uid="{00000000-0005-0000-0000-00008F010000}"/>
    <cellStyle name="Normal 9 22" xfId="399" xr:uid="{00000000-0005-0000-0000-000090010000}"/>
    <cellStyle name="Normal 9 23" xfId="400" xr:uid="{00000000-0005-0000-0000-000091010000}"/>
    <cellStyle name="Normal 9 3" xfId="401" xr:uid="{00000000-0005-0000-0000-000092010000}"/>
    <cellStyle name="Normal 9 4" xfId="402" xr:uid="{00000000-0005-0000-0000-000093010000}"/>
    <cellStyle name="Normal 9 5" xfId="403" xr:uid="{00000000-0005-0000-0000-000094010000}"/>
    <cellStyle name="Normal 9 6" xfId="404" xr:uid="{00000000-0005-0000-0000-000095010000}"/>
    <cellStyle name="Normal 9 7" xfId="405" xr:uid="{00000000-0005-0000-0000-000096010000}"/>
    <cellStyle name="Normal 9 8" xfId="406" xr:uid="{00000000-0005-0000-0000-000097010000}"/>
    <cellStyle name="Normal 9 9" xfId="407" xr:uid="{00000000-0005-0000-0000-000098010000}"/>
    <cellStyle name="Percent" xfId="410" builtinId="5"/>
    <cellStyle name="Percent 2" xfId="11" xr:uid="{00000000-0005-0000-0000-00009A010000}"/>
    <cellStyle name="Percent 3" xfId="3" xr:uid="{00000000-0005-0000-0000-00009B010000}"/>
  </cellStyles>
  <dxfs count="578"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rgb="FF000000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rgb="FF000000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rgb="FF000000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medium">
          <color rgb="FF000000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rgb="FF000000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4" formatCode="#,##0.0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174" formatCode="#,##0.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name val="Gill Sans MT"/>
        <scheme val="none"/>
      </font>
    </dxf>
    <dxf>
      <font>
        <strike val="0"/>
        <outline val="0"/>
        <shadow val="0"/>
        <u val="none"/>
        <vertAlign val="baseline"/>
        <sz val="12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2" formatCode="0.0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0" formatCode="General"/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textRotation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Gill Sans MT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</dxf>
    <dxf>
      <font>
        <strike val="0"/>
        <outline val="0"/>
        <shadow val="0"/>
        <u val="none"/>
        <vertAlign val="baseline"/>
        <sz val="14"/>
        <name val="Gill Sans M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</font>
      <numFmt numFmtId="4" formatCode="#,##0.0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scheme val="none"/>
      </font>
      <numFmt numFmtId="20" formatCode="d\-mmm\-yy"/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scheme val="none"/>
      </font>
      <numFmt numFmtId="20" formatCode="d\-mmm\-yy"/>
      <alignment horizontal="right" vertical="bottom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55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OML-42 Daily Production</a:t>
            </a:r>
            <a:r>
              <a:rPr lang="en-US" sz="2000" b="1" baseline="0"/>
              <a:t> Chart</a:t>
            </a:r>
          </a:p>
        </c:rich>
      </c:tx>
      <c:layout>
        <c:manualLayout>
          <c:xMode val="edge"/>
          <c:yMode val="edge"/>
          <c:x val="0.3788601185955886"/>
          <c:y val="2.5677475902769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84251432045682"/>
          <c:y val="9.8901100522841304E-2"/>
          <c:w val="0.81742078318976608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'April 2020'!$R$4:$R$5</c:f>
              <c:strCache>
                <c:ptCount val="2"/>
                <c:pt idx="0">
                  <c:v>Target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'April 2020'!$R$6:$R$9</c:f>
              <c:numCache>
                <c:formatCode>0.00</c:formatCode>
                <c:ptCount val="4"/>
                <c:pt idx="0">
                  <c:v>9</c:v>
                </c:pt>
                <c:pt idx="1">
                  <c:v>24.5</c:v>
                </c:pt>
                <c:pt idx="2">
                  <c:v>4</c:v>
                </c:pt>
                <c:pt idx="3">
                  <c:v>14.6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'April 2020'!$S$4:$S$5</c:f>
              <c:strCache>
                <c:ptCount val="2"/>
                <c:pt idx="0">
                  <c:v>Daily Prod</c:v>
                </c:pt>
                <c:pt idx="1">
                  <c:v>1-May-2020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'April 2020'!$S$6:$S$9</c:f>
              <c:numCache>
                <c:formatCode>0.00</c:formatCode>
                <c:ptCount val="4"/>
                <c:pt idx="0">
                  <c:v>0.442</c:v>
                </c:pt>
                <c:pt idx="1">
                  <c:v>22.99</c:v>
                </c:pt>
                <c:pt idx="2">
                  <c:v>2.5590000000000002</c:v>
                </c:pt>
                <c:pt idx="3">
                  <c:v>12.135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'April 2020'!$T$4:$T$5</c:f>
              <c:strCache>
                <c:ptCount val="2"/>
                <c:pt idx="0">
                  <c:v>Daily Prod</c:v>
                </c:pt>
                <c:pt idx="1">
                  <c:v>2-May-2020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'April 2020'!$T$6:$T$9</c:f>
              <c:numCache>
                <c:formatCode>0.00</c:formatCode>
                <c:ptCount val="4"/>
                <c:pt idx="0">
                  <c:v>0</c:v>
                </c:pt>
                <c:pt idx="1">
                  <c:v>23.58</c:v>
                </c:pt>
                <c:pt idx="2">
                  <c:v>4.26</c:v>
                </c:pt>
                <c:pt idx="3">
                  <c:v>11.064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'April 2020'!$U$4:$U$5</c:f>
              <c:strCache>
                <c:ptCount val="2"/>
                <c:pt idx="0">
                  <c:v>Daily Prod</c:v>
                </c:pt>
                <c:pt idx="1">
                  <c:v>3-May-2020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'April 2020'!$U$6:$U$9</c:f>
              <c:numCache>
                <c:formatCode>0.00</c:formatCode>
                <c:ptCount val="4"/>
                <c:pt idx="0">
                  <c:v>0</c:v>
                </c:pt>
                <c:pt idx="1">
                  <c:v>23.5</c:v>
                </c:pt>
                <c:pt idx="2">
                  <c:v>4.2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C-4BC7-9556-D1573B90BF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9001080"/>
        <c:axId val="169035984"/>
      </c:barChart>
      <c:catAx>
        <c:axId val="16900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5984"/>
        <c:crosses val="autoZero"/>
        <c:auto val="1"/>
        <c:lblAlgn val="ctr"/>
        <c:lblOffset val="100"/>
        <c:noMultiLvlLbl val="0"/>
      </c:catAx>
      <c:valAx>
        <c:axId val="1690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Mbopd</a:t>
                </a:r>
              </a:p>
            </c:rich>
          </c:tx>
          <c:layout>
            <c:manualLayout>
              <c:xMode val="edge"/>
              <c:yMode val="edge"/>
              <c:x val="2.9697783859400941E-2"/>
              <c:y val="0.448183141395213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108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830897123206259"/>
          <c:y val="0.93363879143784612"/>
          <c:w val="0.69327446899109679"/>
          <c:h val="4.2955839181871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'May 2020'!$R$5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'May 2020'!$R$6:$R$9</c:f>
              <c:numCache>
                <c:formatCode>0.0</c:formatCode>
                <c:ptCount val="4"/>
                <c:pt idx="0">
                  <c:v>9.1300000000000008</c:v>
                </c:pt>
                <c:pt idx="1">
                  <c:v>24.11</c:v>
                </c:pt>
                <c:pt idx="2">
                  <c:v>4.05</c:v>
                </c:pt>
                <c:pt idx="3">
                  <c:v>14.59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'May 2020'!$S$5</c:f>
              <c:strCache>
                <c:ptCount val="1"/>
                <c:pt idx="0">
                  <c:v>31-May-2020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'May 2020'!$S$6:$S$9</c:f>
              <c:numCache>
                <c:formatCode>0.0</c:formatCode>
                <c:ptCount val="4"/>
                <c:pt idx="0">
                  <c:v>0</c:v>
                </c:pt>
                <c:pt idx="1">
                  <c:v>23.087</c:v>
                </c:pt>
                <c:pt idx="2">
                  <c:v>4.0359999999999996</c:v>
                </c:pt>
                <c:pt idx="3">
                  <c:v>11.93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'May 2020'!$T$5</c:f>
              <c:strCache>
                <c:ptCount val="1"/>
                <c:pt idx="0">
                  <c:v>1-Jun-2020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'May 2020'!$T$6:$T$9</c:f>
              <c:numCache>
                <c:formatCode>0.0</c:formatCode>
                <c:ptCount val="4"/>
                <c:pt idx="0">
                  <c:v>0</c:v>
                </c:pt>
                <c:pt idx="1">
                  <c:v>23.411999999999999</c:v>
                </c:pt>
                <c:pt idx="2">
                  <c:v>4.032</c:v>
                </c:pt>
                <c:pt idx="3">
                  <c:v>11.54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'May 2020'!$U$5</c:f>
              <c:strCache>
                <c:ptCount val="1"/>
                <c:pt idx="0">
                  <c:v>2-Jun-2020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'May 2020'!$U$6:$U$9</c:f>
              <c:numCache>
                <c:formatCode>0.0</c:formatCode>
                <c:ptCount val="4"/>
                <c:pt idx="0">
                  <c:v>0</c:v>
                </c:pt>
                <c:pt idx="1">
                  <c:v>22.649000000000001</c:v>
                </c:pt>
                <c:pt idx="2">
                  <c:v>3.504</c:v>
                </c:pt>
                <c:pt idx="3">
                  <c:v>12.494999999999999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F-4963-B4D7-905CA5A32438}"/>
            </c:ext>
          </c:extLst>
        </c:ser>
        <c:ser>
          <c:idx val="4"/>
          <c:order val="4"/>
          <c:tx>
            <c:strRef>
              <c:f>'May 2020'!$V$5</c:f>
              <c:strCache>
                <c:ptCount val="1"/>
                <c:pt idx="0">
                  <c:v>3-Jun-2020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'May 2020'!$V$6:$V$9</c:f>
              <c:numCache>
                <c:formatCode>0.0</c:formatCode>
                <c:ptCount val="4"/>
                <c:pt idx="0">
                  <c:v>0</c:v>
                </c:pt>
                <c:pt idx="1">
                  <c:v>22.782</c:v>
                </c:pt>
                <c:pt idx="2">
                  <c:v>4.0259999999999998</c:v>
                </c:pt>
                <c:pt idx="3">
                  <c:v>10.616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F-4963-B4D7-905CA5A32438}"/>
            </c:ext>
          </c:extLst>
        </c:ser>
        <c:ser>
          <c:idx val="5"/>
          <c:order val="5"/>
          <c:tx>
            <c:strRef>
              <c:f>'May 2020'!$W$5</c:f>
              <c:strCache>
                <c:ptCount val="1"/>
                <c:pt idx="0">
                  <c:v>4-Jun-2020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2020'!$Q$6:$Q$9</c:f>
              <c:strCache>
                <c:ptCount val="4"/>
                <c:pt idx="0">
                  <c:v>Batan</c:v>
                </c:pt>
                <c:pt idx="1">
                  <c:v>Jones Creek</c:v>
                </c:pt>
                <c:pt idx="2">
                  <c:v>Egwa</c:v>
                </c:pt>
                <c:pt idx="3">
                  <c:v>Odidi</c:v>
                </c:pt>
              </c:strCache>
            </c:strRef>
          </c:cat>
          <c:val>
            <c:numRef>
              <c:f>'May 2020'!$W$6:$W$9</c:f>
              <c:numCache>
                <c:formatCode>0.0</c:formatCode>
                <c:ptCount val="4"/>
                <c:pt idx="0">
                  <c:v>0</c:v>
                </c:pt>
                <c:pt idx="1">
                  <c:v>22.702000000000002</c:v>
                </c:pt>
                <c:pt idx="2">
                  <c:v>4.0330000000000004</c:v>
                </c:pt>
                <c:pt idx="3">
                  <c:v>9.9139999999999997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F-4963-B4D7-905CA5A324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8516160"/>
        <c:axId val="170059344"/>
      </c:barChart>
      <c:catAx>
        <c:axId val="16851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0059344"/>
        <c:crosses val="autoZero"/>
        <c:auto val="1"/>
        <c:lblAlgn val="ctr"/>
        <c:lblOffset val="100"/>
        <c:noMultiLvlLbl val="0"/>
      </c:catAx>
      <c:valAx>
        <c:axId val="1700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616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'June 2020'!$R$5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2020'!$Q$6:$Q$9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2020'!$R$6:$R$9</c:f>
              <c:numCache>
                <c:formatCode>0.0</c:formatCode>
                <c:ptCount val="4"/>
                <c:pt idx="0">
                  <c:v>23.5</c:v>
                </c:pt>
                <c:pt idx="1">
                  <c:v>14.2</c:v>
                </c:pt>
                <c:pt idx="2">
                  <c:v>9.4</c:v>
                </c:pt>
                <c:pt idx="3">
                  <c:v>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'June 2020'!$S$5</c:f>
              <c:strCache>
                <c:ptCount val="1"/>
                <c:pt idx="0">
                  <c:v>29-Jun-2020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2020'!$Q$6:$Q$9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2020'!$S$6:$S$9</c:f>
              <c:numCache>
                <c:formatCode>#,##0.0</c:formatCode>
                <c:ptCount val="4"/>
                <c:pt idx="0">
                  <c:v>19.579000000000001</c:v>
                </c:pt>
                <c:pt idx="1">
                  <c:v>12.656000000000001</c:v>
                </c:pt>
                <c:pt idx="2">
                  <c:v>9.3740000000000006</c:v>
                </c:pt>
                <c:pt idx="3">
                  <c:v>3.6360000000000001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'June 2020'!$T$5</c:f>
              <c:strCache>
                <c:ptCount val="1"/>
                <c:pt idx="0">
                  <c:v>30-Jun-2020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2020'!$Q$6:$Q$9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2020'!$T$6:$T$9</c:f>
              <c:numCache>
                <c:formatCode>#,##0.0</c:formatCode>
                <c:ptCount val="4"/>
                <c:pt idx="0">
                  <c:v>3.5550000000000002</c:v>
                </c:pt>
                <c:pt idx="1">
                  <c:v>12.69</c:v>
                </c:pt>
                <c:pt idx="2">
                  <c:v>9.3800000000000008</c:v>
                </c:pt>
                <c:pt idx="3">
                  <c:v>4.109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'June 2020'!$U$5</c:f>
              <c:strCache>
                <c:ptCount val="1"/>
                <c:pt idx="0">
                  <c:v>1-Jul-2020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2020'!$Q$6:$Q$9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2020'!$U$6:$U$9</c:f>
              <c:numCache>
                <c:formatCode>#,##0.0</c:formatCode>
                <c:ptCount val="4"/>
                <c:pt idx="0">
                  <c:v>0.66100000000000003</c:v>
                </c:pt>
                <c:pt idx="1">
                  <c:v>12.69</c:v>
                </c:pt>
                <c:pt idx="2">
                  <c:v>9.3650000000000002</c:v>
                </c:pt>
                <c:pt idx="3">
                  <c:v>4.0209999999999999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D-4938-9891-951F4D5FBC37}"/>
            </c:ext>
          </c:extLst>
        </c:ser>
        <c:ser>
          <c:idx val="4"/>
          <c:order val="4"/>
          <c:tx>
            <c:strRef>
              <c:f>'June 2020'!$V$5</c:f>
              <c:strCache>
                <c:ptCount val="1"/>
                <c:pt idx="0">
                  <c:v>2-Jul-2020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2020'!$Q$6:$Q$9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2020'!$V$6:$V$9</c:f>
              <c:numCache>
                <c:formatCode>#,##0.0</c:formatCode>
                <c:ptCount val="4"/>
                <c:pt idx="0">
                  <c:v>0</c:v>
                </c:pt>
                <c:pt idx="1">
                  <c:v>12.69</c:v>
                </c:pt>
                <c:pt idx="2">
                  <c:v>9.3650000000000002</c:v>
                </c:pt>
                <c:pt idx="3">
                  <c:v>2.3730000000000002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FD-4938-9891-951F4D5FBC37}"/>
            </c:ext>
          </c:extLst>
        </c:ser>
        <c:ser>
          <c:idx val="5"/>
          <c:order val="5"/>
          <c:tx>
            <c:strRef>
              <c:f>'June 2020'!$W$5</c:f>
              <c:strCache>
                <c:ptCount val="1"/>
                <c:pt idx="0">
                  <c:v>3-Jul-2020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2020'!$Q$6:$Q$9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2020'!$W$6:$W$9</c:f>
              <c:numCache>
                <c:formatCode>#,##0.0</c:formatCode>
                <c:ptCount val="4"/>
                <c:pt idx="0">
                  <c:v>0</c:v>
                </c:pt>
                <c:pt idx="1">
                  <c:v>12.69</c:v>
                </c:pt>
                <c:pt idx="2">
                  <c:v>9.3650000000000002</c:v>
                </c:pt>
                <c:pt idx="3">
                  <c:v>3.71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FD-4938-9891-951F4D5FBC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9252528"/>
        <c:axId val="168524352"/>
      </c:barChart>
      <c:catAx>
        <c:axId val="16925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68524352"/>
        <c:crosses val="autoZero"/>
        <c:auto val="1"/>
        <c:lblAlgn val="ctr"/>
        <c:lblOffset val="100"/>
        <c:noMultiLvlLbl val="0"/>
      </c:catAx>
      <c:valAx>
        <c:axId val="1685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5252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'July 2020'!$S$5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1.93912550631025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0D0-4B2E-9AD1-89081F032D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'July 2020'!$S$6:$S$9</c:f>
              <c:numCache>
                <c:formatCode>#,##0.00</c:formatCode>
                <c:ptCount val="4"/>
                <c:pt idx="0">
                  <c:v>23.5</c:v>
                </c:pt>
                <c:pt idx="1">
                  <c:v>14.2</c:v>
                </c:pt>
                <c:pt idx="2">
                  <c:v>9.4</c:v>
                </c:pt>
                <c:pt idx="3">
                  <c:v>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'July 2020'!$T$5</c:f>
              <c:strCache>
                <c:ptCount val="1"/>
                <c:pt idx="0">
                  <c:v>30-Jul-2020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13303805694127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D0-4B2E-9AD1-89081F032D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'July 2020'!$T$6:$T$9</c:f>
              <c:numCache>
                <c:formatCode>#,##0.00</c:formatCode>
                <c:ptCount val="4"/>
                <c:pt idx="0">
                  <c:v>20.126000000000001</c:v>
                </c:pt>
                <c:pt idx="1">
                  <c:v>13.977</c:v>
                </c:pt>
                <c:pt idx="2">
                  <c:v>4.5069999999999997</c:v>
                </c:pt>
                <c:pt idx="3">
                  <c:v>3.8860000000000001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'July 2020'!$U$5</c:f>
              <c:strCache>
                <c:ptCount val="1"/>
                <c:pt idx="0">
                  <c:v>31-Jul-2020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3.9742537695413652E-17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D0-4B2E-9AD1-89081F032DDA}"/>
                </c:ext>
              </c:extLst>
            </c:dLbl>
            <c:dLbl>
              <c:idx val="1"/>
              <c:layout>
                <c:manualLayout>
                  <c:x val="0"/>
                  <c:y val="-3.102600810096400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D0-4B2E-9AD1-89081F032D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'July 2020'!$U$6:$U$9</c:f>
              <c:numCache>
                <c:formatCode>#,##0.00</c:formatCode>
                <c:ptCount val="4"/>
                <c:pt idx="0">
                  <c:v>20.285</c:v>
                </c:pt>
                <c:pt idx="1">
                  <c:v>14.461</c:v>
                </c:pt>
                <c:pt idx="2">
                  <c:v>5.0259999999999998</c:v>
                </c:pt>
                <c:pt idx="3">
                  <c:v>4.1120000000000001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'July 2020'!$V$5</c:f>
              <c:strCache>
                <c:ptCount val="1"/>
                <c:pt idx="0">
                  <c:v>1-Aug-2020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38999128527003E-3"/>
                  <c:y val="-1.745212955679225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D0-4B2E-9AD1-89081F032D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'July 2020'!$V$6:$V$9</c:f>
              <c:numCache>
                <c:formatCode>#,##0.00</c:formatCode>
                <c:ptCount val="4"/>
                <c:pt idx="0">
                  <c:v>20.422999999999998</c:v>
                </c:pt>
                <c:pt idx="1">
                  <c:v>14.494999999999999</c:v>
                </c:pt>
                <c:pt idx="2">
                  <c:v>5.0529999999999999</c:v>
                </c:pt>
                <c:pt idx="3">
                  <c:v>4.1159999999999997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D0-4B2E-9AD1-89081F032DDA}"/>
            </c:ext>
          </c:extLst>
        </c:ser>
        <c:ser>
          <c:idx val="4"/>
          <c:order val="4"/>
          <c:tx>
            <c:strRef>
              <c:f>'July 2020'!$W$5</c:f>
              <c:strCache>
                <c:ptCount val="1"/>
                <c:pt idx="0">
                  <c:v>2-Aug-2020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D0-4B2E-9AD1-89081F032DDA}"/>
                </c:ext>
              </c:extLst>
            </c:dLbl>
            <c:dLbl>
              <c:idx val="1"/>
              <c:layout>
                <c:manualLayout>
                  <c:x val="0"/>
                  <c:y val="-9.69562753155132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D0-4B2E-9AD1-89081F032D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'July 2020'!$W$6:$W$9</c:f>
              <c:numCache>
                <c:formatCode>#,##0.00</c:formatCode>
                <c:ptCount val="4"/>
                <c:pt idx="0">
                  <c:v>20.186</c:v>
                </c:pt>
                <c:pt idx="1">
                  <c:v>13.86</c:v>
                </c:pt>
                <c:pt idx="2">
                  <c:v>5.0629999999999997</c:v>
                </c:pt>
                <c:pt idx="3">
                  <c:v>4.117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D0-4B2E-9AD1-89081F032DDA}"/>
            </c:ext>
          </c:extLst>
        </c:ser>
        <c:ser>
          <c:idx val="5"/>
          <c:order val="5"/>
          <c:tx>
            <c:strRef>
              <c:f>'July 2020'!$X$5</c:f>
              <c:strCache>
                <c:ptCount val="1"/>
                <c:pt idx="0">
                  <c:v>3-Aug-2020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1428786623548502E-3"/>
                  <c:y val="-8.726064778396162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050511101482136E-2"/>
                      <c:h val="4.800312825223411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0D0-4B2E-9AD1-89081F032DDA}"/>
                </c:ext>
              </c:extLst>
            </c:dLbl>
            <c:dLbl>
              <c:idx val="1"/>
              <c:layout>
                <c:manualLayout>
                  <c:x val="2.1844154001285708E-3"/>
                  <c:y val="-1.93912550631025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D0-4B2E-9AD1-89081F032D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'July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'July 2020'!$X$6:$X$9</c:f>
              <c:numCache>
                <c:formatCode>#,##0.00</c:formatCode>
                <c:ptCount val="4"/>
                <c:pt idx="0">
                  <c:v>20.548999999999999</c:v>
                </c:pt>
                <c:pt idx="1">
                  <c:v>13.609</c:v>
                </c:pt>
                <c:pt idx="2">
                  <c:v>5.0709999999999997</c:v>
                </c:pt>
                <c:pt idx="3">
                  <c:v>4.1219999999999999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0D0-4B2E-9AD1-89081F032D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0901176"/>
        <c:axId val="170333520"/>
      </c:barChart>
      <c:catAx>
        <c:axId val="17090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0333520"/>
        <c:crosses val="autoZero"/>
        <c:auto val="1"/>
        <c:lblAlgn val="ctr"/>
        <c:lblOffset val="100"/>
        <c:noMultiLvlLbl val="0"/>
      </c:catAx>
      <c:valAx>
        <c:axId val="1703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0117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'August 2020'!$S$5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1.93912550631025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83A-4A86-A88D-0B813F61B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'August 2020'!$S$6:$S$9</c:f>
              <c:numCache>
                <c:formatCode>#,##0.00</c:formatCode>
                <c:ptCount val="4"/>
                <c:pt idx="0">
                  <c:v>23.5</c:v>
                </c:pt>
                <c:pt idx="1">
                  <c:v>14.2</c:v>
                </c:pt>
                <c:pt idx="2">
                  <c:v>9.4</c:v>
                </c:pt>
                <c:pt idx="3">
                  <c:v>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'August 2020'!$T$5</c:f>
              <c:strCache>
                <c:ptCount val="1"/>
                <c:pt idx="0">
                  <c:v>28-Aug-2020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13303805694127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3A-4A86-A88D-0B813F61B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'August 2020'!$T$6:$T$9</c:f>
              <c:numCache>
                <c:formatCode>#,##0.00</c:formatCode>
                <c:ptCount val="4"/>
                <c:pt idx="0">
                  <c:v>19.870999999999999</c:v>
                </c:pt>
                <c:pt idx="1">
                  <c:v>13.606</c:v>
                </c:pt>
                <c:pt idx="2">
                  <c:v>5.9269999999999996</c:v>
                </c:pt>
                <c:pt idx="3">
                  <c:v>4.2149999999999999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'August 2020'!$U$5</c:f>
              <c:strCache>
                <c:ptCount val="1"/>
                <c:pt idx="0">
                  <c:v>29-Aug-2020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3.9742537695413652E-17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83A-4A86-A88D-0B813F61B61D}"/>
                </c:ext>
              </c:extLst>
            </c:dLbl>
            <c:dLbl>
              <c:idx val="1"/>
              <c:layout>
                <c:manualLayout>
                  <c:x val="0"/>
                  <c:y val="-1.94111779680129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3A-4A86-A88D-0B813F61B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'August 2020'!$U$6:$U$9</c:f>
              <c:numCache>
                <c:formatCode>#,##0.00</c:formatCode>
                <c:ptCount val="4"/>
                <c:pt idx="0">
                  <c:v>19.866</c:v>
                </c:pt>
                <c:pt idx="1">
                  <c:v>13.842000000000001</c:v>
                </c:pt>
                <c:pt idx="2">
                  <c:v>5.2939999999999996</c:v>
                </c:pt>
                <c:pt idx="3">
                  <c:v>4.1710000000000003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'August 2020'!$V$5</c:f>
              <c:strCache>
                <c:ptCount val="1"/>
                <c:pt idx="0">
                  <c:v>30-Aug-2020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8015166222470644E-6"/>
                  <c:y val="-1.549293775767446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83A-4A86-A88D-0B813F61B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'August 2020'!$V$6:$V$9</c:f>
              <c:numCache>
                <c:formatCode>#,##0.00</c:formatCode>
                <c:ptCount val="4"/>
                <c:pt idx="0">
                  <c:v>19.829999999999998</c:v>
                </c:pt>
                <c:pt idx="1">
                  <c:v>13.872</c:v>
                </c:pt>
                <c:pt idx="2">
                  <c:v>5.49</c:v>
                </c:pt>
                <c:pt idx="3">
                  <c:v>4.1950000000000003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3A-4A86-A88D-0B813F61B61D}"/>
            </c:ext>
          </c:extLst>
        </c:ser>
        <c:ser>
          <c:idx val="4"/>
          <c:order val="4"/>
          <c:tx>
            <c:strRef>
              <c:f>'August 2020'!$W$5</c:f>
              <c:strCache>
                <c:ptCount val="1"/>
                <c:pt idx="0">
                  <c:v>31-Aug-2020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83A-4A86-A88D-0B813F61B61D}"/>
                </c:ext>
              </c:extLst>
            </c:dLbl>
            <c:dLbl>
              <c:idx val="1"/>
              <c:layout>
                <c:manualLayout>
                  <c:x val="1.0752730162842032E-3"/>
                  <c:y val="-2.526863855961794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83A-4A86-A88D-0B813F61B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'August 2020'!$W$6:$W$9</c:f>
              <c:numCache>
                <c:formatCode>#,##0.00</c:formatCode>
                <c:ptCount val="4"/>
                <c:pt idx="0">
                  <c:v>20</c:v>
                </c:pt>
                <c:pt idx="1">
                  <c:v>13.775</c:v>
                </c:pt>
                <c:pt idx="2">
                  <c:v>5.8390000000000004</c:v>
                </c:pt>
                <c:pt idx="3">
                  <c:v>4.1710000000000003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3A-4A86-A88D-0B813F61B61D}"/>
            </c:ext>
          </c:extLst>
        </c:ser>
        <c:ser>
          <c:idx val="5"/>
          <c:order val="5"/>
          <c:tx>
            <c:strRef>
              <c:f>'August 2020'!$X$5</c:f>
              <c:strCache>
                <c:ptCount val="1"/>
                <c:pt idx="0">
                  <c:v>1-Sep-2020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4.3605208147615504E-3"/>
                  <c:y val="9.6956275315512516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050511101482136E-2"/>
                      <c:h val="4.800312825223411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C83A-4A86-A88D-0B813F61B61D}"/>
                </c:ext>
              </c:extLst>
            </c:dLbl>
            <c:dLbl>
              <c:idx val="1"/>
              <c:layout>
                <c:manualLayout>
                  <c:x val="2.184449159929395E-3"/>
                  <c:y val="-7.816426435348574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83A-4A86-A88D-0B813F61B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'August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'August 2020'!$X$6:$X$9</c:f>
              <c:numCache>
                <c:formatCode>#,##0.00</c:formatCode>
                <c:ptCount val="4"/>
                <c:pt idx="0">
                  <c:v>20</c:v>
                </c:pt>
                <c:pt idx="1">
                  <c:v>13.789</c:v>
                </c:pt>
                <c:pt idx="2">
                  <c:v>5.649</c:v>
                </c:pt>
                <c:pt idx="3">
                  <c:v>4.1029999999999998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3A-4A86-A88D-0B813F61B6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9094184"/>
        <c:axId val="169092224"/>
      </c:barChart>
      <c:catAx>
        <c:axId val="16909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69092224"/>
        <c:crosses val="autoZero"/>
        <c:auto val="1"/>
        <c:lblAlgn val="ctr"/>
        <c:lblOffset val="100"/>
        <c:noMultiLvlLbl val="0"/>
      </c:catAx>
      <c:valAx>
        <c:axId val="16909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418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'Sept 2020'!$S$5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-3.9532055658472648E-17"/>
                  <c:y val="-7.856534406005581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25-4661-8456-274D95ADE0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'Sept 2020'!$S$6:$S$9</c:f>
              <c:numCache>
                <c:formatCode>#,##0.00</c:formatCode>
                <c:ptCount val="4"/>
                <c:pt idx="0">
                  <c:v>22.46</c:v>
                </c:pt>
                <c:pt idx="1">
                  <c:v>15</c:v>
                </c:pt>
                <c:pt idx="2">
                  <c:v>9.3000000000000007</c:v>
                </c:pt>
                <c:pt idx="3">
                  <c:v>4.1900000000000004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'Sept 2020'!$T$5</c:f>
              <c:strCache>
                <c:ptCount val="1"/>
                <c:pt idx="0">
                  <c:v>1-Oct-2020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766027829236324E-17"/>
                  <c:y val="4.1382170032496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25-4661-8456-274D95ADE0A1}"/>
                </c:ext>
              </c:extLst>
            </c:dLbl>
            <c:dLbl>
              <c:idx val="1"/>
              <c:layout>
                <c:manualLayout>
                  <c:x val="0"/>
                  <c:y val="-9.795600525846347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25-4661-8456-274D95ADE0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'Sept 2020'!$T$6:$T$9</c:f>
              <c:numCache>
                <c:formatCode>#,##0.00</c:formatCode>
                <c:ptCount val="4"/>
                <c:pt idx="0">
                  <c:v>16.686</c:v>
                </c:pt>
                <c:pt idx="1">
                  <c:v>13.798</c:v>
                </c:pt>
                <c:pt idx="2">
                  <c:v>1.5660000000000001</c:v>
                </c:pt>
                <c:pt idx="3">
                  <c:v>4.0659999999999998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'Sept 2020'!$U$5</c:f>
              <c:strCache>
                <c:ptCount val="1"/>
                <c:pt idx="0">
                  <c:v>2-Oct-2020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25-4661-8456-274D95ADE0A1}"/>
                </c:ext>
              </c:extLst>
            </c:dLbl>
            <c:dLbl>
              <c:idx val="1"/>
              <c:layout>
                <c:manualLayout>
                  <c:x val="0"/>
                  <c:y val="4.098263294018266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25-4661-8456-274D95ADE0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'Sept 2020'!$U$6:$U$9</c:f>
              <c:numCache>
                <c:formatCode>#,##0.00</c:formatCode>
                <c:ptCount val="4"/>
                <c:pt idx="0">
                  <c:v>20.766999999999999</c:v>
                </c:pt>
                <c:pt idx="1">
                  <c:v>13.766</c:v>
                </c:pt>
                <c:pt idx="2">
                  <c:v>0</c:v>
                </c:pt>
                <c:pt idx="3">
                  <c:v>4.0590000000000002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'Sept 2020'!$V$5</c:f>
              <c:strCache>
                <c:ptCount val="1"/>
                <c:pt idx="0">
                  <c:v>3-Oct-2020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8015163844138911E-6"/>
                  <c:y val="1.800230836796914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25-4661-8456-274D95ADE0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'Sept 2020'!$V$6:$V$9</c:f>
              <c:numCache>
                <c:formatCode>#,##0.00</c:formatCode>
                <c:ptCount val="4"/>
                <c:pt idx="0">
                  <c:v>16.832000000000001</c:v>
                </c:pt>
                <c:pt idx="1">
                  <c:v>14.372999999999999</c:v>
                </c:pt>
                <c:pt idx="2">
                  <c:v>1.53</c:v>
                </c:pt>
                <c:pt idx="3">
                  <c:v>4.0599999999999996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25-4661-8456-274D95ADE0A1}"/>
            </c:ext>
          </c:extLst>
        </c:ser>
        <c:ser>
          <c:idx val="4"/>
          <c:order val="4"/>
          <c:tx>
            <c:strRef>
              <c:f>'Sept 2020'!$W$5</c:f>
              <c:strCache>
                <c:ptCount val="1"/>
                <c:pt idx="0">
                  <c:v>4-Oct-2020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525-4661-8456-274D95ADE0A1}"/>
                </c:ext>
              </c:extLst>
            </c:dLbl>
            <c:dLbl>
              <c:idx val="1"/>
              <c:layout>
                <c:manualLayout>
                  <c:x val="1.0752730162842032E-3"/>
                  <c:y val="4.118163017921166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25-4661-8456-274D95ADE0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'Sept 2020'!$W$6:$W$9</c:f>
              <c:numCache>
                <c:formatCode>#,##0.00</c:formatCode>
                <c:ptCount val="4"/>
                <c:pt idx="0">
                  <c:v>8.4600000000000009</c:v>
                </c:pt>
                <c:pt idx="1">
                  <c:v>13.234</c:v>
                </c:pt>
                <c:pt idx="2">
                  <c:v>4.8090000000000002</c:v>
                </c:pt>
                <c:pt idx="3">
                  <c:v>4.0540000000000003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25-4661-8456-274D95ADE0A1}"/>
            </c:ext>
          </c:extLst>
        </c:ser>
        <c:ser>
          <c:idx val="5"/>
          <c:order val="5"/>
          <c:tx>
            <c:strRef>
              <c:f>'Sept 2020'!$X$5</c:f>
              <c:strCache>
                <c:ptCount val="1"/>
                <c:pt idx="0">
                  <c:v>5-Oct-2020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4.3605208147615504E-3"/>
                  <c:y val="9.6956275315512516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050511101482136E-2"/>
                      <c:h val="4.800312825223411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1525-4661-8456-274D95ADE0A1}"/>
                </c:ext>
              </c:extLst>
            </c:dLbl>
            <c:dLbl>
              <c:idx val="1"/>
              <c:layout>
                <c:manualLayout>
                  <c:x val="2.184449159929395E-3"/>
                  <c:y val="-7.816426435348574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25-4661-8456-274D95ADE0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'Sept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'Sept 2020'!$X$6:$X$9</c:f>
              <c:numCache>
                <c:formatCode>#,##0.00</c:formatCode>
                <c:ptCount val="4"/>
                <c:pt idx="0">
                  <c:v>4.2569999999999997</c:v>
                </c:pt>
                <c:pt idx="1">
                  <c:v>12.986000000000001</c:v>
                </c:pt>
                <c:pt idx="2">
                  <c:v>0.82899999999999996</c:v>
                </c:pt>
                <c:pt idx="3">
                  <c:v>3.9279999999999999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25-4661-8456-274D95ADE0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9092616"/>
        <c:axId val="169091048"/>
      </c:barChart>
      <c:catAx>
        <c:axId val="16909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69091048"/>
        <c:crosses val="autoZero"/>
        <c:auto val="1"/>
        <c:lblAlgn val="ctr"/>
        <c:lblOffset val="100"/>
        <c:noMultiLvlLbl val="0"/>
      </c:catAx>
      <c:valAx>
        <c:axId val="16909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261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'Oct 2020'!$S$5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-3.9532055658472648E-17"/>
                  <c:y val="-7.856534406005581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6C4-4933-AFF5-E10B03DE0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'Oct 2020'!$S$6:$S$9</c:f>
              <c:numCache>
                <c:formatCode>#,##0.00</c:formatCode>
                <c:ptCount val="4"/>
                <c:pt idx="0">
                  <c:v>22.14</c:v>
                </c:pt>
                <c:pt idx="1">
                  <c:v>15.17</c:v>
                </c:pt>
                <c:pt idx="2">
                  <c:v>8.81</c:v>
                </c:pt>
                <c:pt idx="3">
                  <c:v>4.1900000000000004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'Oct 2020'!$T$5</c:f>
              <c:strCache>
                <c:ptCount val="1"/>
                <c:pt idx="0">
                  <c:v>2-Nov-2020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766027829236324E-17"/>
                  <c:y val="4.1382170032496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6C4-4933-AFF5-E10B03DE0E83}"/>
                </c:ext>
              </c:extLst>
            </c:dLbl>
            <c:dLbl>
              <c:idx val="1"/>
              <c:layout>
                <c:manualLayout>
                  <c:x val="0"/>
                  <c:y val="-7.1833574028629577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C4-4933-AFF5-E10B03DE0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'Oct 2020'!$T$6:$T$9</c:f>
              <c:numCache>
                <c:formatCode>#,##0.00</c:formatCode>
                <c:ptCount val="4"/>
                <c:pt idx="0">
                  <c:v>18.977</c:v>
                </c:pt>
                <c:pt idx="1">
                  <c:v>13.429</c:v>
                </c:pt>
                <c:pt idx="2">
                  <c:v>3.8359999999999999</c:v>
                </c:pt>
                <c:pt idx="3">
                  <c:v>2.8820000000000001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'Oct 2020'!$U$5</c:f>
              <c:strCache>
                <c:ptCount val="1"/>
                <c:pt idx="0">
                  <c:v>3-Nov-2020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C4-4933-AFF5-E10B03DE0E83}"/>
                </c:ext>
              </c:extLst>
            </c:dLbl>
            <c:dLbl>
              <c:idx val="1"/>
              <c:layout>
                <c:manualLayout>
                  <c:x val="0"/>
                  <c:y val="4.098263294018266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C4-4933-AFF5-E10B03DE0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'Oct 2020'!$U$6:$U$9</c:f>
              <c:numCache>
                <c:formatCode>#,##0.00</c:formatCode>
                <c:ptCount val="4"/>
                <c:pt idx="0">
                  <c:v>18.556000000000001</c:v>
                </c:pt>
                <c:pt idx="1">
                  <c:v>12.214</c:v>
                </c:pt>
                <c:pt idx="2">
                  <c:v>3.802</c:v>
                </c:pt>
                <c:pt idx="3">
                  <c:v>2.3889999999999998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'Oct 2020'!$V$5</c:f>
              <c:strCache>
                <c:ptCount val="1"/>
                <c:pt idx="0">
                  <c:v>4-Nov-2020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8015163844138911E-6"/>
                  <c:y val="1.800230836796914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C4-4933-AFF5-E10B03DE0E83}"/>
                </c:ext>
              </c:extLst>
            </c:dLbl>
            <c:dLbl>
              <c:idx val="1"/>
              <c:layout>
                <c:manualLayout>
                  <c:x val="0"/>
                  <c:y val="5.87736031550780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6C4-4933-AFF5-E10B03DE0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'Oct 2020'!$V$6:$V$9</c:f>
              <c:numCache>
                <c:formatCode>#,##0.00</c:formatCode>
                <c:ptCount val="4"/>
                <c:pt idx="0">
                  <c:v>19.940000000000001</c:v>
                </c:pt>
                <c:pt idx="1">
                  <c:v>12.768000000000001</c:v>
                </c:pt>
                <c:pt idx="2">
                  <c:v>3.9279999999999999</c:v>
                </c:pt>
                <c:pt idx="3">
                  <c:v>3.2679999999999998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C4-4933-AFF5-E10B03DE0E83}"/>
            </c:ext>
          </c:extLst>
        </c:ser>
        <c:ser>
          <c:idx val="4"/>
          <c:order val="4"/>
          <c:tx>
            <c:strRef>
              <c:f>'Oct 2020'!$W$5</c:f>
              <c:strCache>
                <c:ptCount val="1"/>
                <c:pt idx="0">
                  <c:v>5-Nov-2020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6C4-4933-AFF5-E10B03DE0E83}"/>
                </c:ext>
              </c:extLst>
            </c:dLbl>
            <c:dLbl>
              <c:idx val="1"/>
              <c:layout>
                <c:manualLayout>
                  <c:x val="1.0752729249995071E-3"/>
                  <c:y val="2.159042912751897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C4-4933-AFF5-E10B03DE0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'Oct 2020'!$W$6:$W$9</c:f>
              <c:numCache>
                <c:formatCode>#,##0.00</c:formatCode>
                <c:ptCount val="4"/>
                <c:pt idx="0">
                  <c:v>18.579000000000001</c:v>
                </c:pt>
                <c:pt idx="1">
                  <c:v>13.381</c:v>
                </c:pt>
                <c:pt idx="2">
                  <c:v>3.89</c:v>
                </c:pt>
                <c:pt idx="3">
                  <c:v>1.6839999999999999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C4-4933-AFF5-E10B03DE0E83}"/>
            </c:ext>
          </c:extLst>
        </c:ser>
        <c:ser>
          <c:idx val="5"/>
          <c:order val="5"/>
          <c:tx>
            <c:strRef>
              <c:f>'Oct 2020'!$X$5</c:f>
              <c:strCache>
                <c:ptCount val="1"/>
                <c:pt idx="0">
                  <c:v>6-Nov-2020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302788739771811E-3"/>
                  <c:y val="6.846893375428190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050511101482136E-2"/>
                      <c:h val="4.800312825223411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06C4-4933-AFF5-E10B03DE0E83}"/>
                </c:ext>
              </c:extLst>
            </c:dLbl>
            <c:dLbl>
              <c:idx val="1"/>
              <c:layout>
                <c:manualLayout>
                  <c:x val="-1.0500592775399401E-3"/>
                  <c:y val="-5.857306330179304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6C4-4933-AFF5-E10B03DE0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'Oct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'Oct 2020'!$X$6:$X$9</c:f>
              <c:numCache>
                <c:formatCode>#,##0.00</c:formatCode>
                <c:ptCount val="4"/>
                <c:pt idx="0">
                  <c:v>19.997</c:v>
                </c:pt>
                <c:pt idx="1">
                  <c:v>13.381</c:v>
                </c:pt>
                <c:pt idx="2">
                  <c:v>3.9129999999999998</c:v>
                </c:pt>
                <c:pt idx="3">
                  <c:v>1.6080000000000001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6C4-4933-AFF5-E10B03DE0E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9093400"/>
        <c:axId val="169093792"/>
      </c:barChart>
      <c:catAx>
        <c:axId val="16909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69093792"/>
        <c:crosses val="autoZero"/>
        <c:auto val="1"/>
        <c:lblAlgn val="ctr"/>
        <c:lblOffset val="100"/>
        <c:noMultiLvlLbl val="0"/>
      </c:catAx>
      <c:valAx>
        <c:axId val="1690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340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'Nov 2020'!$S$5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-3.9532052302421083E-17"/>
                  <c:y val="1.939066119840765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D8-45ED-8DE5-06DA9A58B9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'Nov 2020'!$S$6:$S$9</c:f>
              <c:numCache>
                <c:formatCode>#,##0.00</c:formatCode>
                <c:ptCount val="4"/>
                <c:pt idx="0">
                  <c:v>22.14</c:v>
                </c:pt>
                <c:pt idx="1">
                  <c:v>15.17</c:v>
                </c:pt>
                <c:pt idx="2">
                  <c:v>8.81</c:v>
                </c:pt>
                <c:pt idx="3">
                  <c:v>4.1900000000000004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'Nov 2020'!$T$5</c:f>
              <c:strCache>
                <c:ptCount val="1"/>
                <c:pt idx="0">
                  <c:v>13-Nov-2020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766027829236324E-17"/>
                  <c:y val="4.1382170032496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D8-45ED-8DE5-06DA9A58B9FC}"/>
                </c:ext>
              </c:extLst>
            </c:dLbl>
            <c:dLbl>
              <c:idx val="1"/>
              <c:layout>
                <c:manualLayout>
                  <c:x val="0"/>
                  <c:y val="-7.1833574028629577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D8-45ED-8DE5-06DA9A58B9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'Nov 2020'!$T$6:$T$9</c:f>
              <c:numCache>
                <c:formatCode>#,##0.00</c:formatCode>
                <c:ptCount val="4"/>
                <c:pt idx="0">
                  <c:v>12.79</c:v>
                </c:pt>
                <c:pt idx="1">
                  <c:v>4.5990000000000002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'Nov 2020'!$U$5</c:f>
              <c:strCache>
                <c:ptCount val="1"/>
                <c:pt idx="0">
                  <c:v>14-Nov-2020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D8-45ED-8DE5-06DA9A58B9FC}"/>
                </c:ext>
              </c:extLst>
            </c:dLbl>
            <c:dLbl>
              <c:idx val="1"/>
              <c:layout>
                <c:manualLayout>
                  <c:x val="0"/>
                  <c:y val="4.098263294018266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D8-45ED-8DE5-06DA9A58B9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'Nov 2020'!$U$6:$U$9</c:f>
              <c:numCache>
                <c:formatCode>#,##0.00</c:formatCode>
                <c:ptCount val="4"/>
                <c:pt idx="0">
                  <c:v>17.72</c:v>
                </c:pt>
                <c:pt idx="1">
                  <c:v>10.029</c:v>
                </c:pt>
                <c:pt idx="2">
                  <c:v>2.15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'Nov 2020'!$V$5</c:f>
              <c:strCache>
                <c:ptCount val="1"/>
                <c:pt idx="0">
                  <c:v>15-Nov-2020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753578194354775E-3"/>
                  <c:y val="6.05738339918750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D8-45ED-8DE5-06DA9A58B9FC}"/>
                </c:ext>
              </c:extLst>
            </c:dLbl>
            <c:dLbl>
              <c:idx val="1"/>
              <c:layout>
                <c:manualLayout>
                  <c:x val="0"/>
                  <c:y val="5.87736031550780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D8-45ED-8DE5-06DA9A58B9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'Nov 2020'!$V$6:$V$9</c:f>
              <c:numCache>
                <c:formatCode>#,##0.00</c:formatCode>
                <c:ptCount val="4"/>
                <c:pt idx="0">
                  <c:v>21.46</c:v>
                </c:pt>
                <c:pt idx="1">
                  <c:v>11.273999999999999</c:v>
                </c:pt>
                <c:pt idx="2">
                  <c:v>3.0310000000000001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D8-45ED-8DE5-06DA9A58B9FC}"/>
            </c:ext>
          </c:extLst>
        </c:ser>
        <c:ser>
          <c:idx val="4"/>
          <c:order val="4"/>
          <c:tx>
            <c:strRef>
              <c:f>'Nov 2020'!$W$5</c:f>
              <c:strCache>
                <c:ptCount val="1"/>
                <c:pt idx="0">
                  <c:v>16-Nov-2020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D8-45ED-8DE5-06DA9A58B9FC}"/>
                </c:ext>
              </c:extLst>
            </c:dLbl>
            <c:dLbl>
              <c:idx val="1"/>
              <c:layout>
                <c:manualLayout>
                  <c:x val="1.0752729249995071E-3"/>
                  <c:y val="-1.547303803377152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D8-45ED-8DE5-06DA9A58B9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'Nov 2020'!$W$6:$W$9</c:f>
              <c:numCache>
                <c:formatCode>#,##0.00</c:formatCode>
                <c:ptCount val="4"/>
                <c:pt idx="0">
                  <c:v>15.38</c:v>
                </c:pt>
                <c:pt idx="1">
                  <c:v>11.223000000000001</c:v>
                </c:pt>
                <c:pt idx="2">
                  <c:v>3.0680000000000001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BD8-45ED-8DE5-06DA9A58B9FC}"/>
            </c:ext>
          </c:extLst>
        </c:ser>
        <c:ser>
          <c:idx val="5"/>
          <c:order val="5"/>
          <c:tx>
            <c:strRef>
              <c:f>'Nov 2020'!$X$5</c:f>
              <c:strCache>
                <c:ptCount val="1"/>
                <c:pt idx="0">
                  <c:v>17-Nov-2020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302788739771811E-3"/>
                  <c:y val="1.46833737961052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050511101482136E-2"/>
                      <c:h val="4.800312825223411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7BD8-45ED-8DE5-06DA9A58B9FC}"/>
                </c:ext>
              </c:extLst>
            </c:dLbl>
            <c:dLbl>
              <c:idx val="1"/>
              <c:layout>
                <c:manualLayout>
                  <c:x val="2.8100058280030238E-5"/>
                  <c:y val="1.97917409049770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D8-45ED-8DE5-06DA9A58B9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'Nov 2020'!$R$6:$R$9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'Nov 2020'!$X$6:$X$9</c:f>
              <c:numCache>
                <c:formatCode>#,##0.00</c:formatCode>
                <c:ptCount val="4"/>
                <c:pt idx="0">
                  <c:v>15.38</c:v>
                </c:pt>
                <c:pt idx="1">
                  <c:v>11.223000000000001</c:v>
                </c:pt>
                <c:pt idx="2">
                  <c:v>3.0680000000000001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BD8-45ED-8DE5-06DA9A58B9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631936"/>
        <c:axId val="172633112"/>
      </c:barChart>
      <c:catAx>
        <c:axId val="1726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2633112"/>
        <c:crosses val="autoZero"/>
        <c:auto val="1"/>
        <c:lblAlgn val="ctr"/>
        <c:lblOffset val="100"/>
        <c:noMultiLvlLbl val="0"/>
      </c:catAx>
      <c:valAx>
        <c:axId val="17263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193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5504168913673"/>
          <c:y val="9.890107855018977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'Feb 21'!$S$5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-3.9532052302421083E-17"/>
                  <c:y val="1.939066119840765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CC-48C0-87DB-0AFCDE566B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'Feb 21'!$S$6:$S$9</c:f>
              <c:numCache>
                <c:formatCode>#,##0.00</c:formatCode>
                <c:ptCount val="4"/>
                <c:pt idx="0">
                  <c:v>22</c:v>
                </c:pt>
                <c:pt idx="1">
                  <c:v>15.5</c:v>
                </c:pt>
                <c:pt idx="2">
                  <c:v>8.8000000000000007</c:v>
                </c:pt>
                <c:pt idx="3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'Feb 21'!$T$5</c:f>
              <c:strCache>
                <c:ptCount val="1"/>
                <c:pt idx="0">
                  <c:v>4-Mar-2021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973819866365419E-17"/>
                  <c:y val="2.1997679291111419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CC-48C0-87DB-0AFCDE566BF5}"/>
                </c:ext>
              </c:extLst>
            </c:dLbl>
            <c:dLbl>
              <c:idx val="1"/>
              <c:layout>
                <c:manualLayout>
                  <c:x val="0"/>
                  <c:y val="-7.1833574028629577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CC-48C0-87DB-0AFCDE566B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'Feb 21'!$T$6:$T$9</c:f>
              <c:numCache>
                <c:formatCode>#,##0.00</c:formatCode>
                <c:ptCount val="4"/>
                <c:pt idx="0">
                  <c:v>20.75</c:v>
                </c:pt>
                <c:pt idx="1">
                  <c:v>8.7330000000000005</c:v>
                </c:pt>
                <c:pt idx="2">
                  <c:v>3.9470000000000001</c:v>
                </c:pt>
                <c:pt idx="3">
                  <c:v>3.8919999999999999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'Feb 21'!$U$5</c:f>
              <c:strCache>
                <c:ptCount val="1"/>
                <c:pt idx="0">
                  <c:v>5-Mar-2021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17547206310156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CC-48C0-87DB-0AFCDE566BF5}"/>
                </c:ext>
              </c:extLst>
            </c:dLbl>
            <c:dLbl>
              <c:idx val="1"/>
              <c:layout>
                <c:manualLayout>
                  <c:x val="0"/>
                  <c:y val="-9.61557744216661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CCC-48C0-87DB-0AFCDE566B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'Feb 21'!$U$6:$U$9</c:f>
              <c:numCache>
                <c:formatCode>#,##0.00</c:formatCode>
                <c:ptCount val="4"/>
                <c:pt idx="0">
                  <c:v>21.966000000000001</c:v>
                </c:pt>
                <c:pt idx="1">
                  <c:v>9.5090000000000003</c:v>
                </c:pt>
                <c:pt idx="2">
                  <c:v>3.9529999999999998</c:v>
                </c:pt>
                <c:pt idx="3">
                  <c:v>3.915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'Feb 21'!$V$5</c:f>
              <c:strCache>
                <c:ptCount val="1"/>
                <c:pt idx="0">
                  <c:v>6-Mar-2021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4154839011868704E-5"/>
                  <c:y val="-1.941117796801298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CC-48C0-87DB-0AFCDE566BF5}"/>
                </c:ext>
              </c:extLst>
            </c:dLbl>
            <c:dLbl>
              <c:idx val="1"/>
              <c:layout>
                <c:manualLayout>
                  <c:x val="-7.9895279465461676E-17"/>
                  <c:y val="-7.836480420677149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CC-48C0-87DB-0AFCDE566B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'Feb 21'!$V$6:$V$9</c:f>
              <c:numCache>
                <c:formatCode>#,##0.00</c:formatCode>
                <c:ptCount val="4"/>
                <c:pt idx="0">
                  <c:v>21.85</c:v>
                </c:pt>
                <c:pt idx="1">
                  <c:v>8.4640000000000004</c:v>
                </c:pt>
                <c:pt idx="2">
                  <c:v>3.9550000000000001</c:v>
                </c:pt>
                <c:pt idx="3">
                  <c:v>3.9140000000000001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CC-48C0-87DB-0AFCDE566BF5}"/>
            </c:ext>
          </c:extLst>
        </c:ser>
        <c:ser>
          <c:idx val="4"/>
          <c:order val="4"/>
          <c:tx>
            <c:strRef>
              <c:f>'Feb 21'!$W$5</c:f>
              <c:strCache>
                <c:ptCount val="1"/>
                <c:pt idx="0">
                  <c:v>7-Mar-2021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9.795600525846347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CC-48C0-87DB-0AFCDE566BF5}"/>
                </c:ext>
              </c:extLst>
            </c:dLbl>
            <c:dLbl>
              <c:idx val="1"/>
              <c:layout>
                <c:manualLayout>
                  <c:x val="-1.4240625914970938E-5"/>
                  <c:y val="8.03640322825970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CCC-48C0-87DB-0AFCDE566B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'Feb 21'!$W$6:$W$9</c:f>
              <c:numCache>
                <c:formatCode>#,##0.00</c:formatCode>
                <c:ptCount val="4"/>
                <c:pt idx="0">
                  <c:v>21.751000000000001</c:v>
                </c:pt>
                <c:pt idx="1">
                  <c:v>10.066000000000001</c:v>
                </c:pt>
                <c:pt idx="2">
                  <c:v>3.95</c:v>
                </c:pt>
                <c:pt idx="3">
                  <c:v>3.8980000000000001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CC-48C0-87DB-0AFCDE566BF5}"/>
            </c:ext>
          </c:extLst>
        </c:ser>
        <c:ser>
          <c:idx val="5"/>
          <c:order val="5"/>
          <c:tx>
            <c:strRef>
              <c:f>'Feb 21'!$X$5</c:f>
              <c:strCache>
                <c:ptCount val="1"/>
                <c:pt idx="0">
                  <c:v>8-Mar-2021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6934763606896216E-3"/>
                  <c:y val="1.46833737961052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571880031133772E-2"/>
                      <c:h val="4.8003070419415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CCC-48C0-87DB-0AFCDE566BF5}"/>
                </c:ext>
              </c:extLst>
            </c:dLbl>
            <c:dLbl>
              <c:idx val="1"/>
              <c:layout>
                <c:manualLayout>
                  <c:x val="2.8138104217453044E-5"/>
                  <c:y val="-9.775546540517843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rgbClr val="FF0000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CCC-48C0-87DB-0AFCDE566BF5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698E-46E7-A34D-C8D25B53FB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'Feb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'Feb 21'!$X$6:$X$9</c:f>
              <c:numCache>
                <c:formatCode>#,##0.00</c:formatCode>
                <c:ptCount val="4"/>
                <c:pt idx="0">
                  <c:v>21.63</c:v>
                </c:pt>
                <c:pt idx="1">
                  <c:v>10.066000000000001</c:v>
                </c:pt>
                <c:pt idx="2">
                  <c:v>0.85299999999999998</c:v>
                </c:pt>
                <c:pt idx="3">
                  <c:v>3.98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CC-48C0-87DB-0AFCDE566B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637032"/>
        <c:axId val="172632720"/>
      </c:barChart>
      <c:catAx>
        <c:axId val="17263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2632720"/>
        <c:crosses val="autoZero"/>
        <c:auto val="1"/>
        <c:lblAlgn val="ctr"/>
        <c:lblOffset val="100"/>
        <c:noMultiLvlLbl val="0"/>
      </c:catAx>
      <c:valAx>
        <c:axId val="1726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703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23400781861902"/>
          <c:y val="9.890101075171284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'Mar 21'!$S$5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7.83648042067709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A5-430B-9F43-19AE916ECFB8}"/>
                </c:ext>
              </c:extLst>
            </c:dLbl>
            <c:dLbl>
              <c:idx val="1"/>
              <c:layout>
                <c:manualLayout>
                  <c:x val="-3.9532052302421083E-17"/>
                  <c:y val="1.939066119840765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A5-430B-9F43-19AE916ECF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'Mar 21'!$S$6:$S$9</c:f>
              <c:numCache>
                <c:formatCode>#,##0.00</c:formatCode>
                <c:ptCount val="4"/>
                <c:pt idx="0">
                  <c:v>22</c:v>
                </c:pt>
                <c:pt idx="1">
                  <c:v>15.5</c:v>
                </c:pt>
                <c:pt idx="2">
                  <c:v>8.8000000000000007</c:v>
                </c:pt>
                <c:pt idx="3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'Mar 21'!$T$5</c:f>
              <c:strCache>
                <c:ptCount val="1"/>
                <c:pt idx="0">
                  <c:v>28-Mar-2021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973821579857716E-17"/>
                  <c:y val="4.13821700324963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A5-430B-9F43-19AE916ECFB8}"/>
                </c:ext>
              </c:extLst>
            </c:dLbl>
            <c:dLbl>
              <c:idx val="1"/>
              <c:layout>
                <c:manualLayout>
                  <c:x val="0"/>
                  <c:y val="-7.1833574028629577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A5-430B-9F43-19AE916ECF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'Mar 21'!$T$6:$T$9</c:f>
              <c:numCache>
                <c:formatCode>#,##0.00</c:formatCode>
                <c:ptCount val="4"/>
                <c:pt idx="0">
                  <c:v>21.663</c:v>
                </c:pt>
                <c:pt idx="1">
                  <c:v>12.888</c:v>
                </c:pt>
                <c:pt idx="2">
                  <c:v>4.9240000000000004</c:v>
                </c:pt>
                <c:pt idx="3">
                  <c:v>4.3019999999999996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'Mar 21'!$U$5</c:f>
              <c:strCache>
                <c:ptCount val="1"/>
                <c:pt idx="0">
                  <c:v>29-Mar-2021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91824021033853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A5-430B-9F43-19AE916ECFB8}"/>
                </c:ext>
              </c:extLst>
            </c:dLbl>
            <c:dLbl>
              <c:idx val="1"/>
              <c:layout>
                <c:manualLayout>
                  <c:x val="0"/>
                  <c:y val="-1.549293775767450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A5-430B-9F43-19AE916ECF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'Mar 21'!$U$6:$U$9</c:f>
              <c:numCache>
                <c:formatCode>#,##0.00</c:formatCode>
                <c:ptCount val="4"/>
                <c:pt idx="0">
                  <c:v>21.600999999999999</c:v>
                </c:pt>
                <c:pt idx="1">
                  <c:v>13.172000000000001</c:v>
                </c:pt>
                <c:pt idx="2">
                  <c:v>4.4080000000000004</c:v>
                </c:pt>
                <c:pt idx="3">
                  <c:v>4.3099999999999996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'Mar 21'!$V$5</c:f>
              <c:strCache>
                <c:ptCount val="1"/>
                <c:pt idx="0">
                  <c:v>30-Mar-2021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415484022616861E-5"/>
                  <c:y val="-1.1574697547335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A5-430B-9F43-19AE916ECFB8}"/>
                </c:ext>
              </c:extLst>
            </c:dLbl>
            <c:dLbl>
              <c:idx val="1"/>
              <c:layout>
                <c:manualLayout>
                  <c:x val="0"/>
                  <c:y val="3.91824021033846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A5-430B-9F43-19AE916ECF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'Mar 21'!$V$6:$V$9</c:f>
              <c:numCache>
                <c:formatCode>#,##0.00</c:formatCode>
                <c:ptCount val="4"/>
                <c:pt idx="0">
                  <c:v>20.998000000000001</c:v>
                </c:pt>
                <c:pt idx="1">
                  <c:v>13.436</c:v>
                </c:pt>
                <c:pt idx="2">
                  <c:v>4.843</c:v>
                </c:pt>
                <c:pt idx="3">
                  <c:v>0.36899999999999999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A5-430B-9F43-19AE916ECFB8}"/>
            </c:ext>
          </c:extLst>
        </c:ser>
        <c:ser>
          <c:idx val="4"/>
          <c:order val="4"/>
          <c:tx>
            <c:strRef>
              <c:f>'Mar 21'!$W$5</c:f>
              <c:strCache>
                <c:ptCount val="1"/>
                <c:pt idx="0">
                  <c:v>31-Mar-2021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95912010516930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DA5-430B-9F43-19AE916ECFB8}"/>
                </c:ext>
              </c:extLst>
            </c:dLbl>
            <c:dLbl>
              <c:idx val="1"/>
              <c:layout>
                <c:manualLayout>
                  <c:x val="-1.4240627136630239E-5"/>
                  <c:y val="-1.15547978234329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DA5-430B-9F43-19AE916ECFB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rgbClr val="FF0000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B77A-4700-B41F-10EA05BD69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'Mar 21'!$W$6:$W$9</c:f>
              <c:numCache>
                <c:formatCode>#,##0.00</c:formatCode>
                <c:ptCount val="4"/>
                <c:pt idx="0">
                  <c:v>21.82</c:v>
                </c:pt>
                <c:pt idx="1">
                  <c:v>13.18</c:v>
                </c:pt>
                <c:pt idx="2">
                  <c:v>4.843</c:v>
                </c:pt>
                <c:pt idx="3">
                  <c:v>1.9510000000000001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A5-430B-9F43-19AE916ECFB8}"/>
            </c:ext>
          </c:extLst>
        </c:ser>
        <c:ser>
          <c:idx val="5"/>
          <c:order val="5"/>
          <c:tx>
            <c:strRef>
              <c:f>'Mar 21'!$X$5</c:f>
              <c:strCache>
                <c:ptCount val="1"/>
                <c:pt idx="0">
                  <c:v>1-Apr-2021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6934763606896216E-3"/>
                  <c:y val="1.46833737961052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571880031133772E-2"/>
                      <c:h val="4.8003070419415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3DA5-430B-9F43-19AE916ECFB8}"/>
                </c:ext>
              </c:extLst>
            </c:dLbl>
            <c:dLbl>
              <c:idx val="1"/>
              <c:layout>
                <c:manualLayout>
                  <c:x val="2.813810663133407E-5"/>
                  <c:y val="3.93829419566711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DA5-430B-9F43-19AE916ECFB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rgbClr val="FF0000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B77A-4700-B41F-10EA05BD69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'Mar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'Mar 21'!$X$6:$X$9</c:f>
              <c:numCache>
                <c:formatCode>#,##0.00</c:formatCode>
                <c:ptCount val="4"/>
                <c:pt idx="0">
                  <c:v>22.187999999999999</c:v>
                </c:pt>
                <c:pt idx="1">
                  <c:v>13.88</c:v>
                </c:pt>
                <c:pt idx="2">
                  <c:v>4.843</c:v>
                </c:pt>
                <c:pt idx="3">
                  <c:v>4.298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DA5-430B-9F43-19AE916ECF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630760"/>
        <c:axId val="172633504"/>
      </c:barChart>
      <c:catAx>
        <c:axId val="1726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2633504"/>
        <c:crosses val="autoZero"/>
        <c:auto val="1"/>
        <c:lblAlgn val="ctr"/>
        <c:lblOffset val="100"/>
        <c:noMultiLvlLbl val="0"/>
      </c:catAx>
      <c:valAx>
        <c:axId val="1726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076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23400781861902"/>
          <c:y val="9.8901010751712842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'April 21'!$S$5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8B-404A-A910-C5310862A44F}"/>
                </c:ext>
              </c:extLst>
            </c:dLbl>
            <c:dLbl>
              <c:idx val="1"/>
              <c:layout>
                <c:manualLayout>
                  <c:x val="-3.9532052302421083E-17"/>
                  <c:y val="1.939066119840765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8B-404A-A910-C5310862A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'April 21'!$S$6:$S$9</c:f>
              <c:numCache>
                <c:formatCode>#,##0.00</c:formatCode>
                <c:ptCount val="4"/>
                <c:pt idx="0">
                  <c:v>22.55</c:v>
                </c:pt>
                <c:pt idx="1">
                  <c:v>14.89</c:v>
                </c:pt>
                <c:pt idx="2">
                  <c:v>9.5</c:v>
                </c:pt>
                <c:pt idx="3">
                  <c:v>4.2699999999999996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'April 21'!$T$5</c:f>
              <c:strCache>
                <c:ptCount val="1"/>
                <c:pt idx="0">
                  <c:v>30-Apr-2021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973821579857716E-17"/>
                  <c:y val="4.13821700324963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8B-404A-A910-C5310862A44F}"/>
                </c:ext>
              </c:extLst>
            </c:dLbl>
            <c:dLbl>
              <c:idx val="1"/>
              <c:layout>
                <c:manualLayout>
                  <c:x val="0"/>
                  <c:y val="-7.1833574028629577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8B-404A-A910-C5310862A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'April 21'!$T$6:$T$9</c:f>
              <c:numCache>
                <c:formatCode>#,##0.00</c:formatCode>
                <c:ptCount val="4"/>
                <c:pt idx="0">
                  <c:v>19.657</c:v>
                </c:pt>
                <c:pt idx="1">
                  <c:v>11.192</c:v>
                </c:pt>
                <c:pt idx="2">
                  <c:v>2.536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'April 21'!$U$5</c:f>
              <c:strCache>
                <c:ptCount val="1"/>
                <c:pt idx="0">
                  <c:v>1-May-2021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5.87736031550780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8B-404A-A910-C5310862A44F}"/>
                </c:ext>
              </c:extLst>
            </c:dLbl>
            <c:dLbl>
              <c:idx val="1"/>
              <c:layout>
                <c:manualLayout>
                  <c:x val="0"/>
                  <c:y val="-1.549293775767450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8B-404A-A910-C5310862A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'April 21'!$U$6:$U$9</c:f>
              <c:numCache>
                <c:formatCode>#,##0.00</c:formatCode>
                <c:ptCount val="4"/>
                <c:pt idx="0">
                  <c:v>20.172000000000001</c:v>
                </c:pt>
                <c:pt idx="1">
                  <c:v>11.342000000000001</c:v>
                </c:pt>
                <c:pt idx="2">
                  <c:v>3.278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'April 21'!$V$5</c:f>
              <c:strCache>
                <c:ptCount val="1"/>
                <c:pt idx="0">
                  <c:v>2-May-2021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1036486030888035E-3"/>
                  <c:y val="1.800230836796914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58B-404A-A910-C5310862A44F}"/>
                </c:ext>
              </c:extLst>
            </c:dLbl>
            <c:dLbl>
              <c:idx val="1"/>
              <c:layout>
                <c:manualLayout>
                  <c:x val="0"/>
                  <c:y val="3.91824021033846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58B-404A-A910-C5310862A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'April 21'!$V$6:$V$9</c:f>
              <c:numCache>
                <c:formatCode>#,##0.00</c:formatCode>
                <c:ptCount val="4"/>
                <c:pt idx="0">
                  <c:v>19.724</c:v>
                </c:pt>
                <c:pt idx="1">
                  <c:v>11.807</c:v>
                </c:pt>
                <c:pt idx="2">
                  <c:v>3.2170000000000001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8B-404A-A910-C5310862A44F}"/>
            </c:ext>
          </c:extLst>
        </c:ser>
        <c:ser>
          <c:idx val="4"/>
          <c:order val="4"/>
          <c:tx>
            <c:strRef>
              <c:f>'April 21'!$W$5</c:f>
              <c:strCache>
                <c:ptCount val="1"/>
                <c:pt idx="0">
                  <c:v>3-May-2021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94937628626749E-3"/>
                  <c:y val="-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58B-404A-A910-C5310862A44F}"/>
                </c:ext>
              </c:extLst>
            </c:dLbl>
            <c:dLbl>
              <c:idx val="1"/>
              <c:layout>
                <c:manualLayout>
                  <c:x val="1.0752531357260447E-3"/>
                  <c:y val="2.159042912751897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58B-404A-A910-C5310862A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'April 21'!$W$6:$W$9</c:f>
              <c:numCache>
                <c:formatCode>#,##0.00</c:formatCode>
                <c:ptCount val="4"/>
                <c:pt idx="0">
                  <c:v>19.247</c:v>
                </c:pt>
                <c:pt idx="1">
                  <c:v>10.275</c:v>
                </c:pt>
                <c:pt idx="2">
                  <c:v>3.2010000000000001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58B-404A-A910-C5310862A44F}"/>
            </c:ext>
          </c:extLst>
        </c:ser>
        <c:ser>
          <c:idx val="5"/>
          <c:order val="5"/>
          <c:tx>
            <c:strRef>
              <c:f>'April 21'!$X$5</c:f>
              <c:strCache>
                <c:ptCount val="1"/>
                <c:pt idx="0">
                  <c:v>4-May-2021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6934763606896216E-3"/>
                  <c:y val="1.46833737961052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571880031133772E-2"/>
                      <c:h val="4.8003070419415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58B-404A-A910-C5310862A44F}"/>
                </c:ext>
              </c:extLst>
            </c:dLbl>
            <c:dLbl>
              <c:idx val="1"/>
              <c:layout>
                <c:manualLayout>
                  <c:x val="2.813810663133407E-5"/>
                  <c:y val="3.93829419566711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58B-404A-A910-C5310862A44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56ED-4E56-A4CE-76D9552469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'April 21'!$R$6:$R$9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'April 21'!$X$6:$X$9</c:f>
              <c:numCache>
                <c:formatCode>#,##0.00</c:formatCode>
                <c:ptCount val="4"/>
                <c:pt idx="0">
                  <c:v>18.504000000000001</c:v>
                </c:pt>
                <c:pt idx="1">
                  <c:v>9.6389999999999993</c:v>
                </c:pt>
                <c:pt idx="2">
                  <c:v>2.8439999999999999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58B-404A-A910-C5310862A4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634288"/>
        <c:axId val="172634680"/>
      </c:barChart>
      <c:catAx>
        <c:axId val="17263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2634680"/>
        <c:crosses val="autoZero"/>
        <c:auto val="1"/>
        <c:lblAlgn val="ctr"/>
        <c:lblOffset val="100"/>
        <c:noMultiLvlLbl val="0"/>
      </c:catAx>
      <c:valAx>
        <c:axId val="1726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8242872708118366E-2"/>
              <c:y val="0.44630885359203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428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48866120759963"/>
          <c:y val="9.890094594116168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'May 21'!$X$5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9A-4091-8B77-2C78E504CA04}"/>
                </c:ext>
              </c:extLst>
            </c:dLbl>
            <c:dLbl>
              <c:idx val="1"/>
              <c:layout>
                <c:manualLayout>
                  <c:x val="-3.9532052302421083E-17"/>
                  <c:y val="1.939066119840765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'May 21'!$X$6:$X$9</c:f>
              <c:numCache>
                <c:formatCode>#,##0.00</c:formatCode>
                <c:ptCount val="4"/>
                <c:pt idx="0">
                  <c:v>22.41</c:v>
                </c:pt>
                <c:pt idx="1">
                  <c:v>14.99</c:v>
                </c:pt>
                <c:pt idx="2">
                  <c:v>9.2200000000000006</c:v>
                </c:pt>
                <c:pt idx="3">
                  <c:v>4.1399999999999997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'May 21'!$Y$5</c:f>
              <c:strCache>
                <c:ptCount val="1"/>
                <c:pt idx="0">
                  <c:v>3-Jun-2021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973821579857716E-17"/>
                  <c:y val="4.13821700324963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9A-4091-8B77-2C78E504CA04}"/>
                </c:ext>
              </c:extLst>
            </c:dLbl>
            <c:dLbl>
              <c:idx val="1"/>
              <c:layout>
                <c:manualLayout>
                  <c:x val="0"/>
                  <c:y val="-7.1833574028629577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'May 21'!$Y$6:$Y$9</c:f>
              <c:numCache>
                <c:formatCode>#,##0.00</c:formatCode>
                <c:ptCount val="4"/>
                <c:pt idx="0">
                  <c:v>19.600000000000001</c:v>
                </c:pt>
                <c:pt idx="1">
                  <c:v>13.494999999999999</c:v>
                </c:pt>
                <c:pt idx="2">
                  <c:v>0</c:v>
                </c:pt>
                <c:pt idx="3">
                  <c:v>1.7629999999999999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'May 21'!$Z$5</c:f>
              <c:strCache>
                <c:ptCount val="1"/>
                <c:pt idx="0">
                  <c:v>4-Jun-2021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371384073618488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19A-4091-8B77-2C78E504CA04}"/>
                </c:ext>
              </c:extLst>
            </c:dLbl>
            <c:dLbl>
              <c:idx val="1"/>
              <c:layout>
                <c:manualLayout>
                  <c:x val="0"/>
                  <c:y val="-5.697337231828081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'May 21'!$Z$6:$Z$9</c:f>
              <c:numCache>
                <c:formatCode>#,##0.00</c:formatCode>
                <c:ptCount val="4"/>
                <c:pt idx="0">
                  <c:v>19.867000000000001</c:v>
                </c:pt>
                <c:pt idx="1">
                  <c:v>14.996</c:v>
                </c:pt>
                <c:pt idx="2">
                  <c:v>0</c:v>
                </c:pt>
                <c:pt idx="3">
                  <c:v>1.7390000000000001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'May 21'!$AA$5</c:f>
              <c:strCache>
                <c:ptCount val="1"/>
                <c:pt idx="0">
                  <c:v>5-Jun-2021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1036486030888035E-3"/>
                  <c:y val="6.05738339918753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9A-4091-8B77-2C78E504CA04}"/>
                </c:ext>
              </c:extLst>
            </c:dLbl>
            <c:dLbl>
              <c:idx val="1"/>
              <c:layout>
                <c:manualLayout>
                  <c:x val="0"/>
                  <c:y val="3.91824021033846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'May 21'!$AA$6:$AA$9</c:f>
              <c:numCache>
                <c:formatCode>#,##0.00</c:formatCode>
                <c:ptCount val="4"/>
                <c:pt idx="0">
                  <c:v>19.832000000000001</c:v>
                </c:pt>
                <c:pt idx="1">
                  <c:v>14.935</c:v>
                </c:pt>
                <c:pt idx="2">
                  <c:v>0</c:v>
                </c:pt>
                <c:pt idx="3">
                  <c:v>1.393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9A-4091-8B77-2C78E504CA04}"/>
            </c:ext>
          </c:extLst>
        </c:ser>
        <c:ser>
          <c:idx val="4"/>
          <c:order val="4"/>
          <c:tx>
            <c:strRef>
              <c:f>'May 21'!$AB$5</c:f>
              <c:strCache>
                <c:ptCount val="1"/>
                <c:pt idx="0">
                  <c:v>6-Jun-2021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94885124170263E-3"/>
                  <c:y val="-9.795600525846383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9A-4091-8B77-2C78E504CA04}"/>
                </c:ext>
              </c:extLst>
            </c:dLbl>
            <c:dLbl>
              <c:idx val="1"/>
              <c:layout>
                <c:manualLayout>
                  <c:x val="1.0752531357260447E-3"/>
                  <c:y val="2.159042912751897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'May 21'!$AB$6:$AB$9</c:f>
              <c:numCache>
                <c:formatCode>#,##0.00</c:formatCode>
                <c:ptCount val="4"/>
                <c:pt idx="0">
                  <c:v>19.742000000000001</c:v>
                </c:pt>
                <c:pt idx="1">
                  <c:v>14.081</c:v>
                </c:pt>
                <c:pt idx="2">
                  <c:v>0</c:v>
                </c:pt>
                <c:pt idx="3">
                  <c:v>1.633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9A-4091-8B77-2C78E504CA04}"/>
            </c:ext>
          </c:extLst>
        </c:ser>
        <c:ser>
          <c:idx val="5"/>
          <c:order val="5"/>
          <c:tx>
            <c:strRef>
              <c:f>'May 21'!$AC$5</c:f>
              <c:strCache>
                <c:ptCount val="1"/>
                <c:pt idx="0">
                  <c:v>7-Jun-2021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6934763606896216E-3"/>
                  <c:y val="1.46833737961052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571880031133772E-2"/>
                      <c:h val="4.8003070419415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6F11-41DB-8182-C89CA62541E6}"/>
                </c:ext>
              </c:extLst>
            </c:dLbl>
            <c:dLbl>
              <c:idx val="1"/>
              <c:layout>
                <c:manualLayout>
                  <c:x val="2.813810663133407E-5"/>
                  <c:y val="3.93829419566711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19A-4091-8B77-2C78E504CA0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A4D0408-D23A-4BA3-9B55-45B88F238003}" type="VALUE">
                      <a:rPr lang="en-US" b="0">
                        <a:solidFill>
                          <a:sysClr val="windowText" lastClr="000000"/>
                        </a:solidFill>
                      </a:rPr>
                      <a:pPr/>
                      <a:t>[]</a:t>
                    </a:fld>
                    <a:endParaRPr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'May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'May 21'!$AC$6:$AC$9</c:f>
              <c:numCache>
                <c:formatCode>#,##0.00</c:formatCode>
                <c:ptCount val="4"/>
                <c:pt idx="0">
                  <c:v>19.417000000000002</c:v>
                </c:pt>
                <c:pt idx="1">
                  <c:v>15.525</c:v>
                </c:pt>
                <c:pt idx="2">
                  <c:v>0</c:v>
                </c:pt>
                <c:pt idx="3">
                  <c:v>2.5510000000000002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9A-4091-8B77-2C78E504C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629976"/>
        <c:axId val="172630368"/>
      </c:barChart>
      <c:catAx>
        <c:axId val="17262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2630368"/>
        <c:crosses val="autoZero"/>
        <c:auto val="1"/>
        <c:lblAlgn val="ctr"/>
        <c:lblOffset val="100"/>
        <c:noMultiLvlLbl val="0"/>
      </c:catAx>
      <c:valAx>
        <c:axId val="1726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2956181712402919E-2"/>
              <c:y val="0.4424658620271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997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OML-42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</a:t>
            </a:r>
            <a:r>
              <a:rPr lang="en-US" sz="2000" b="1">
                <a:solidFill>
                  <a:srgbClr val="FF0000"/>
                </a:solidFill>
                <a:latin typeface="Gill Sans MT" panose="020B0502020104020203" pitchFamily="34" charset="0"/>
              </a:rPr>
              <a:t>Production</a:t>
            </a:r>
            <a:r>
              <a:rPr lang="en-US" sz="2000" b="1" baseline="0">
                <a:solidFill>
                  <a:srgbClr val="FF0000"/>
                </a:solidFill>
                <a:latin typeface="Gill Sans MT" panose="020B0502020104020203" pitchFamily="34" charset="0"/>
              </a:rPr>
              <a:t>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rgbClr val="FF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48866120759963"/>
          <c:y val="9.890094594116168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'June 21'!$X$5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9A-4091-8B77-2C78E504CA04}"/>
                </c:ext>
              </c:extLst>
            </c:dLbl>
            <c:dLbl>
              <c:idx val="1"/>
              <c:layout>
                <c:manualLayout>
                  <c:x val="0"/>
                  <c:y val="5.857306330179232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21'!$X$6:$X$9</c:f>
              <c:numCache>
                <c:formatCode>#,##0.00</c:formatCode>
                <c:ptCount val="4"/>
                <c:pt idx="0">
                  <c:v>22.41</c:v>
                </c:pt>
                <c:pt idx="1">
                  <c:v>14.99</c:v>
                </c:pt>
                <c:pt idx="2">
                  <c:v>9.2200000000000006</c:v>
                </c:pt>
                <c:pt idx="3">
                  <c:v>4.1399999999999997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'June 21'!$Y$5</c:f>
              <c:strCache>
                <c:ptCount val="1"/>
                <c:pt idx="0">
                  <c:v>1-Jul-2021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973821579857716E-17"/>
                  <c:y val="4.13821700324963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9A-4091-8B77-2C78E504CA04}"/>
                </c:ext>
              </c:extLst>
            </c:dLbl>
            <c:dLbl>
              <c:idx val="1"/>
              <c:layout>
                <c:manualLayout>
                  <c:x val="0"/>
                  <c:y val="1.95912010516926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21'!$Y$6:$Y$9</c:f>
              <c:numCache>
                <c:formatCode>#,##0.00</c:formatCode>
                <c:ptCount val="4"/>
                <c:pt idx="0">
                  <c:v>19.414999999999999</c:v>
                </c:pt>
                <c:pt idx="1">
                  <c:v>15.172000000000001</c:v>
                </c:pt>
                <c:pt idx="2">
                  <c:v>0</c:v>
                </c:pt>
                <c:pt idx="3">
                  <c:v>3.1520000000000001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'June 21'!$Z$5</c:f>
              <c:strCache>
                <c:ptCount val="1"/>
                <c:pt idx="0">
                  <c:v>2-Jul-2021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5.877360315507844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19A-4091-8B77-2C78E504CA04}"/>
                </c:ext>
              </c:extLst>
            </c:dLbl>
            <c:dLbl>
              <c:idx val="1"/>
              <c:layout>
                <c:manualLayout>
                  <c:x val="0"/>
                  <c:y val="6.05738339918753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21'!$Z$6:$Z$9</c:f>
              <c:numCache>
                <c:formatCode>#,##0.00</c:formatCode>
                <c:ptCount val="4"/>
                <c:pt idx="0">
                  <c:v>18.829999999999998</c:v>
                </c:pt>
                <c:pt idx="1">
                  <c:v>15.548</c:v>
                </c:pt>
                <c:pt idx="2">
                  <c:v>0</c:v>
                </c:pt>
                <c:pt idx="3">
                  <c:v>3.13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'June 21'!$AA$5</c:f>
              <c:strCache>
                <c:ptCount val="1"/>
                <c:pt idx="0">
                  <c:v>3-Jul-2021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6098706306248603E-5"/>
                  <c:y val="4.098263294018266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9A-4091-8B77-2C78E504CA04}"/>
                </c:ext>
              </c:extLst>
            </c:dLbl>
            <c:dLbl>
              <c:idx val="1"/>
              <c:layout>
                <c:manualLayout>
                  <c:x val="-1.0875189898370864E-3"/>
                  <c:y val="7.836480420677078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9A-4091-8B77-2C78E504CA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21'!$AA$6:$AA$9</c:f>
              <c:numCache>
                <c:formatCode>#,##0.00</c:formatCode>
                <c:ptCount val="4"/>
                <c:pt idx="0">
                  <c:v>18.43</c:v>
                </c:pt>
                <c:pt idx="1">
                  <c:v>16.366</c:v>
                </c:pt>
                <c:pt idx="2">
                  <c:v>0</c:v>
                </c:pt>
                <c:pt idx="3">
                  <c:v>3.1349999999999998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9A-4091-8B77-2C78E504CA04}"/>
            </c:ext>
          </c:extLst>
        </c:ser>
        <c:ser>
          <c:idx val="4"/>
          <c:order val="4"/>
          <c:tx>
            <c:strRef>
              <c:f>'June 21'!$AB$5</c:f>
              <c:strCache>
                <c:ptCount val="1"/>
                <c:pt idx="0">
                  <c:v>4-Jul-2021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9695225800197758E-6"/>
                  <c:y val="5.87736031550780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9A-4091-8B77-2C78E504CA04}"/>
                </c:ext>
              </c:extLst>
            </c:dLbl>
            <c:dLbl>
              <c:idx val="1"/>
              <c:layout>
                <c:manualLayout>
                  <c:x val="1.0752736972742748E-3"/>
                  <c:y val="4.118163017921166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34-48EE-973C-B17680D9F8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21'!$AB$6:$AB$9</c:f>
              <c:numCache>
                <c:formatCode>#,##0.00</c:formatCode>
                <c:ptCount val="4"/>
                <c:pt idx="0">
                  <c:v>18.134</c:v>
                </c:pt>
                <c:pt idx="1">
                  <c:v>16.87</c:v>
                </c:pt>
                <c:pt idx="2">
                  <c:v>0</c:v>
                </c:pt>
                <c:pt idx="3">
                  <c:v>3.1379999999999999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9A-4091-8B77-2C78E504CA04}"/>
            </c:ext>
          </c:extLst>
        </c:ser>
        <c:ser>
          <c:idx val="5"/>
          <c:order val="5"/>
          <c:tx>
            <c:strRef>
              <c:f>'June 21'!$AC$5</c:f>
              <c:strCache>
                <c:ptCount val="1"/>
                <c:pt idx="0">
                  <c:v>5-Jul-2021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6.0592790331391014E-4"/>
                  <c:y val="1.664249390127453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1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571880031133772E-2"/>
                      <c:h val="4.8003070419415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AA0-40A4-A357-ABC7DD1714AC}"/>
                </c:ext>
              </c:extLst>
            </c:dLbl>
            <c:dLbl>
              <c:idx val="1"/>
              <c:layout>
                <c:manualLayout>
                  <c:x val="-1.0593462538010716E-3"/>
                  <c:y val="-1.565290685602565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19A-4091-8B77-2C78E504CA0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A4D0408-D23A-4BA3-9B55-45B88F238003}" type="VALUE">
                      <a:rPr lang="en-US" b="1">
                        <a:solidFill>
                          <a:schemeClr val="tx2"/>
                        </a:solidFill>
                      </a:rPr>
                      <a:pPr/>
                      <a:t>[]</a:t>
                    </a:fld>
                    <a:endParaRPr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834-48EE-973C-B17680D9F8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'June 21'!$W$6:$W$9</c:f>
              <c:strCache>
                <c:ptCount val="4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</c:strCache>
            </c:strRef>
          </c:cat>
          <c:val>
            <c:numRef>
              <c:f>'June 21'!$AC$6:$AC$9</c:f>
              <c:numCache>
                <c:formatCode>#,##0.00</c:formatCode>
                <c:ptCount val="4"/>
                <c:pt idx="0">
                  <c:v>18.545999999999999</c:v>
                </c:pt>
                <c:pt idx="1">
                  <c:v>16.957999999999998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9A-4091-8B77-2C78E504C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635856"/>
        <c:axId val="169091440"/>
      </c:barChart>
      <c:catAx>
        <c:axId val="17263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69091440"/>
        <c:crosses val="autoZero"/>
        <c:auto val="1"/>
        <c:lblAlgn val="ctr"/>
        <c:lblOffset val="100"/>
        <c:noMultiLvlLbl val="0"/>
      </c:catAx>
      <c:valAx>
        <c:axId val="1690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2956181712402919E-2"/>
              <c:y val="0.4424658620271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585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7318670127148"/>
          <c:y val="9.8900915672025455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'July 21'!$AK$5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-1.0810811731075695E-3"/>
                  <c:y val="1.96072074241834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EB-4A32-8490-F9D6BC72F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'July 21'!$AK$6:$AK$11</c:f>
              <c:numCache>
                <c:formatCode>#,##0.00</c:formatCode>
                <c:ptCount val="6"/>
                <c:pt idx="0">
                  <c:v>21.64</c:v>
                </c:pt>
                <c:pt idx="1">
                  <c:v>15.14</c:v>
                </c:pt>
                <c:pt idx="2">
                  <c:v>8.9</c:v>
                </c:pt>
                <c:pt idx="3">
                  <c:v>3.77</c:v>
                </c:pt>
                <c:pt idx="4">
                  <c:v>49.45</c:v>
                </c:pt>
                <c:pt idx="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'July 21'!$AL$5</c:f>
              <c:strCache>
                <c:ptCount val="1"/>
                <c:pt idx="0">
                  <c:v>1-Aug-2021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5.882162227255181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EB-4A32-8490-F9D6BC72F3B2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EB-4A32-8490-F9D6BC72F3B2}"/>
                </c:ext>
              </c:extLst>
            </c:dLbl>
            <c:dLbl>
              <c:idx val="2"/>
              <c:layout>
                <c:manualLayout>
                  <c:x val="0"/>
                  <c:y val="-5.882162227255397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EB-4A32-8490-F9D6BC72F3B2}"/>
                </c:ext>
              </c:extLst>
            </c:dLbl>
            <c:dLbl>
              <c:idx val="4"/>
              <c:layout>
                <c:manualLayout>
                  <c:x val="-1.5855674039478165E-16"/>
                  <c:y val="3.921441484836835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1EB-4A32-8490-F9D6BC72F3B2}"/>
                </c:ext>
              </c:extLst>
            </c:dLbl>
            <c:dLbl>
              <c:idx val="5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1EB-4A32-8490-F9D6BC72F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'July 21'!$AL$6:$AL$11</c:f>
              <c:numCache>
                <c:formatCode>#,##0.00</c:formatCode>
                <c:ptCount val="6"/>
                <c:pt idx="0">
                  <c:v>17.625</c:v>
                </c:pt>
                <c:pt idx="1">
                  <c:v>14.404</c:v>
                </c:pt>
                <c:pt idx="2">
                  <c:v>1.8180000000000001</c:v>
                </c:pt>
                <c:pt idx="3">
                  <c:v>2.8039999999999998</c:v>
                </c:pt>
                <c:pt idx="4">
                  <c:v>36.650999999999996</c:v>
                </c:pt>
                <c:pt idx="5">
                  <c:v>13.03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'July 21'!$AM$5</c:f>
              <c:strCache>
                <c:ptCount val="1"/>
                <c:pt idx="0">
                  <c:v>2-Aug-2021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5.8821622272552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1EB-4A32-8490-F9D6BC72F3B2}"/>
                </c:ext>
              </c:extLst>
            </c:dLbl>
            <c:dLbl>
              <c:idx val="1"/>
              <c:layout>
                <c:manualLayout>
                  <c:x val="-3.9639185098695411E-17"/>
                  <c:y val="5.8821622272552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1EB-4A32-8490-F9D6BC72F3B2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1EB-4A32-8490-F9D6BC72F3B2}"/>
                </c:ext>
              </c:extLst>
            </c:dLbl>
            <c:dLbl>
              <c:idx val="4"/>
              <c:layout>
                <c:manualLayout>
                  <c:x val="-1.5855674039478165E-16"/>
                  <c:y val="3.921441484836835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1EB-4A32-8490-F9D6BC72F3B2}"/>
                </c:ext>
              </c:extLst>
            </c:dLbl>
            <c:dLbl>
              <c:idx val="5"/>
              <c:layout>
                <c:manualLayout>
                  <c:x val="-1.5855674039478165E-16"/>
                  <c:y val="3.921441484836835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1EB-4A32-8490-F9D6BC72F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'July 21'!$AM$6:$AM$11</c:f>
              <c:numCache>
                <c:formatCode>#,##0.00</c:formatCode>
                <c:ptCount val="6"/>
                <c:pt idx="0">
                  <c:v>18.175000000000001</c:v>
                </c:pt>
                <c:pt idx="1">
                  <c:v>12.17</c:v>
                </c:pt>
                <c:pt idx="2">
                  <c:v>1.722</c:v>
                </c:pt>
                <c:pt idx="3">
                  <c:v>2.7959999999999998</c:v>
                </c:pt>
                <c:pt idx="4">
                  <c:v>34.863</c:v>
                </c:pt>
                <c:pt idx="5">
                  <c:v>9.5299999999999994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'July 21'!$AN$5</c:f>
              <c:strCache>
                <c:ptCount val="1"/>
                <c:pt idx="0">
                  <c:v>3-Aug-2021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819592549347706E-17"/>
                  <c:y val="-2.15679281666026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1EB-4A32-8490-F9D6BC72F3B2}"/>
                </c:ext>
              </c:extLst>
            </c:dLbl>
            <c:dLbl>
              <c:idx val="1"/>
              <c:layout>
                <c:manualLayout>
                  <c:x val="-3.9639185098695411E-17"/>
                  <c:y val="-2.156792816660259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1EB-4A32-8490-F9D6BC72F3B2}"/>
                </c:ext>
              </c:extLst>
            </c:dLbl>
            <c:dLbl>
              <c:idx val="4"/>
              <c:layout>
                <c:manualLayout>
                  <c:x val="0"/>
                  <c:y val="-2.548936965143943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1EB-4A32-8490-F9D6BC72F3B2}"/>
                </c:ext>
              </c:extLst>
            </c:dLbl>
            <c:dLbl>
              <c:idx val="5"/>
              <c:layout>
                <c:manualLayout>
                  <c:x val="0"/>
                  <c:y val="3.921441484836835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1EB-4A32-8490-F9D6BC72F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'July 21'!$AN$6:$AN$11</c:f>
              <c:numCache>
                <c:formatCode>#,##0.00</c:formatCode>
                <c:ptCount val="6"/>
                <c:pt idx="0">
                  <c:v>18.175000000000001</c:v>
                </c:pt>
                <c:pt idx="1">
                  <c:v>11.295</c:v>
                </c:pt>
                <c:pt idx="2">
                  <c:v>1.722</c:v>
                </c:pt>
                <c:pt idx="3">
                  <c:v>2.7959999999999998</c:v>
                </c:pt>
                <c:pt idx="4">
                  <c:v>34.863</c:v>
                </c:pt>
                <c:pt idx="5">
                  <c:v>10.73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9A-4091-8B77-2C78E504CA04}"/>
            </c:ext>
          </c:extLst>
        </c:ser>
        <c:ser>
          <c:idx val="4"/>
          <c:order val="4"/>
          <c:tx>
            <c:strRef>
              <c:f>'July 21'!$AO$5</c:f>
              <c:strCache>
                <c:ptCount val="1"/>
                <c:pt idx="0">
                  <c:v>4-Aug-2021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921441484836835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1EB-4A32-8490-F9D6BC72F3B2}"/>
                </c:ext>
              </c:extLst>
            </c:dLbl>
            <c:dLbl>
              <c:idx val="1"/>
              <c:layout>
                <c:manualLayout>
                  <c:x val="-7.9278370197390823E-17"/>
                  <c:y val="-5.8821622272552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1EB-4A32-8490-F9D6BC72F3B2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1EB-4A32-8490-F9D6BC72F3B2}"/>
                </c:ext>
              </c:extLst>
            </c:dLbl>
            <c:dLbl>
              <c:idx val="4"/>
              <c:layout>
                <c:manualLayout>
                  <c:x val="-1.5855674039478165E-16"/>
                  <c:y val="-1.176432445451054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1EB-4A32-8490-F9D6BC72F3B2}"/>
                </c:ext>
              </c:extLst>
            </c:dLbl>
            <c:dLbl>
              <c:idx val="5"/>
              <c:layout>
                <c:manualLayout>
                  <c:x val="-1.5855674039478165E-16"/>
                  <c:y val="5.882162227255181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1EB-4A32-8490-F9D6BC72F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'July 21'!$AO$6:$AO$11</c:f>
              <c:numCache>
                <c:formatCode>#,##0.00</c:formatCode>
                <c:ptCount val="6"/>
                <c:pt idx="0">
                  <c:v>19.103000000000002</c:v>
                </c:pt>
                <c:pt idx="1">
                  <c:v>11.131</c:v>
                </c:pt>
                <c:pt idx="2">
                  <c:v>1.732</c:v>
                </c:pt>
                <c:pt idx="3">
                  <c:v>2.8010000000000002</c:v>
                </c:pt>
                <c:pt idx="4">
                  <c:v>34.767000000000003</c:v>
                </c:pt>
                <c:pt idx="5">
                  <c:v>20.370999999999999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9A-4091-8B77-2C78E504CA04}"/>
            </c:ext>
          </c:extLst>
        </c:ser>
        <c:ser>
          <c:idx val="5"/>
          <c:order val="5"/>
          <c:tx>
            <c:strRef>
              <c:f>'July 21'!$AP$5</c:f>
              <c:strCache>
                <c:ptCount val="1"/>
                <c:pt idx="0">
                  <c:v>5-Aug-2021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7.84288296967359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1EB-4A32-8490-F9D6BC72F3B2}"/>
                </c:ext>
              </c:extLst>
            </c:dLbl>
            <c:dLbl>
              <c:idx val="1"/>
              <c:layout>
                <c:manualLayout>
                  <c:x val="3.9639185098695411E-17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1EB-4A32-8490-F9D6BC72F3B2}"/>
                </c:ext>
              </c:extLst>
            </c:dLbl>
            <c:dLbl>
              <c:idx val="4"/>
              <c:layout>
                <c:manualLayout>
                  <c:x val="0"/>
                  <c:y val="7.842882969673671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chemeClr val="tx2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1EB-4A32-8490-F9D6BC72F3B2}"/>
                </c:ext>
              </c:extLst>
            </c:dLbl>
            <c:dLbl>
              <c:idx val="5"/>
              <c:layout>
                <c:manualLayout>
                  <c:x val="0"/>
                  <c:y val="5.8821622272552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1EB-4A32-8490-F9D6BC72F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'July 21'!$AP$6:$AP$11</c:f>
              <c:numCache>
                <c:formatCode>#,##0.00</c:formatCode>
                <c:ptCount val="6"/>
                <c:pt idx="0">
                  <c:v>18.597999999999999</c:v>
                </c:pt>
                <c:pt idx="1">
                  <c:v>11.978999999999999</c:v>
                </c:pt>
                <c:pt idx="2">
                  <c:v>1.7190000000000001</c:v>
                </c:pt>
                <c:pt idx="3">
                  <c:v>2.8580000000000001</c:v>
                </c:pt>
                <c:pt idx="4">
                  <c:v>35.154000000000003</c:v>
                </c:pt>
                <c:pt idx="5">
                  <c:v>18.960999999999999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9A-4091-8B77-2C78E504C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87226480"/>
        <c:axId val="187228440"/>
      </c:barChart>
      <c:catAx>
        <c:axId val="1872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8440"/>
        <c:crosses val="autoZero"/>
        <c:auto val="1"/>
        <c:lblAlgn val="ctr"/>
        <c:lblOffset val="100"/>
        <c:noMultiLvlLbl val="0"/>
      </c:catAx>
      <c:valAx>
        <c:axId val="187228440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5118366896647533E-2"/>
              <c:y val="0.33807827752998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2648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</a:t>
            </a:r>
          </a:p>
        </c:rich>
      </c:tx>
      <c:layout>
        <c:manualLayout>
          <c:xMode val="edge"/>
          <c:yMode val="edge"/>
          <c:x val="0.35029307086614175"/>
          <c:y val="2.415562148668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1"/>
          <c:order val="0"/>
          <c:tx>
            <c:strRef>
              <c:f>'July 21'!$S$4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21'!$S$5:$S$40</c:f>
              <c:numCache>
                <c:formatCode>#,##0.00</c:formatCode>
                <c:ptCount val="36"/>
                <c:pt idx="0">
                  <c:v>33.53</c:v>
                </c:pt>
                <c:pt idx="1">
                  <c:v>36.58</c:v>
                </c:pt>
                <c:pt idx="2">
                  <c:v>37.979999999999997</c:v>
                </c:pt>
                <c:pt idx="3">
                  <c:v>38.07</c:v>
                </c:pt>
                <c:pt idx="4">
                  <c:v>38.07</c:v>
                </c:pt>
                <c:pt idx="5">
                  <c:v>38.07</c:v>
                </c:pt>
                <c:pt idx="6">
                  <c:v>38.07</c:v>
                </c:pt>
                <c:pt idx="7">
                  <c:v>38.07</c:v>
                </c:pt>
                <c:pt idx="8">
                  <c:v>38.07</c:v>
                </c:pt>
                <c:pt idx="9">
                  <c:v>38.07</c:v>
                </c:pt>
                <c:pt idx="10">
                  <c:v>38.07</c:v>
                </c:pt>
                <c:pt idx="11">
                  <c:v>38.07</c:v>
                </c:pt>
                <c:pt idx="12">
                  <c:v>38.07</c:v>
                </c:pt>
                <c:pt idx="13">
                  <c:v>38.07</c:v>
                </c:pt>
                <c:pt idx="14">
                  <c:v>38.07</c:v>
                </c:pt>
                <c:pt idx="15">
                  <c:v>38.07</c:v>
                </c:pt>
                <c:pt idx="16">
                  <c:v>37.729999999999997</c:v>
                </c:pt>
                <c:pt idx="17">
                  <c:v>37.78</c:v>
                </c:pt>
                <c:pt idx="18">
                  <c:v>38.07</c:v>
                </c:pt>
                <c:pt idx="19">
                  <c:v>38.07</c:v>
                </c:pt>
                <c:pt idx="20">
                  <c:v>38.07</c:v>
                </c:pt>
                <c:pt idx="21">
                  <c:v>38.07</c:v>
                </c:pt>
                <c:pt idx="22">
                  <c:v>38.07</c:v>
                </c:pt>
                <c:pt idx="23">
                  <c:v>38.07</c:v>
                </c:pt>
                <c:pt idx="24">
                  <c:v>38.07</c:v>
                </c:pt>
                <c:pt idx="25">
                  <c:v>38.07</c:v>
                </c:pt>
                <c:pt idx="26">
                  <c:v>38.07</c:v>
                </c:pt>
                <c:pt idx="27">
                  <c:v>34.99</c:v>
                </c:pt>
                <c:pt idx="28">
                  <c:v>35.450000000000003</c:v>
                </c:pt>
                <c:pt idx="29">
                  <c:v>36.78</c:v>
                </c:pt>
                <c:pt idx="30">
                  <c:v>31.21</c:v>
                </c:pt>
                <c:pt idx="31">
                  <c:v>30.58</c:v>
                </c:pt>
                <c:pt idx="32">
                  <c:v>25.92</c:v>
                </c:pt>
                <c:pt idx="33">
                  <c:v>24.51</c:v>
                </c:pt>
                <c:pt idx="34">
                  <c:v>24.51</c:v>
                </c:pt>
                <c:pt idx="35">
                  <c:v>24.88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1"/>
          <c:tx>
            <c:strRef>
              <c:f>'July 21'!$M$4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21'!$M$5:$M$40</c:f>
              <c:numCache>
                <c:formatCode>#,##0.00</c:formatCode>
                <c:ptCount val="36"/>
                <c:pt idx="0">
                  <c:v>28.72</c:v>
                </c:pt>
                <c:pt idx="1">
                  <c:v>28.65</c:v>
                </c:pt>
                <c:pt idx="2">
                  <c:v>29</c:v>
                </c:pt>
                <c:pt idx="3">
                  <c:v>29</c:v>
                </c:pt>
                <c:pt idx="4">
                  <c:v>27.69</c:v>
                </c:pt>
                <c:pt idx="5">
                  <c:v>22.76</c:v>
                </c:pt>
                <c:pt idx="6">
                  <c:v>24.260999999999999</c:v>
                </c:pt>
                <c:pt idx="7">
                  <c:v>25.045000000000002</c:v>
                </c:pt>
                <c:pt idx="8">
                  <c:v>25.212</c:v>
                </c:pt>
                <c:pt idx="9">
                  <c:v>26.11</c:v>
                </c:pt>
                <c:pt idx="10">
                  <c:v>24.57</c:v>
                </c:pt>
                <c:pt idx="11">
                  <c:v>24.457999999999998</c:v>
                </c:pt>
                <c:pt idx="12">
                  <c:v>10.608000000000001</c:v>
                </c:pt>
                <c:pt idx="13">
                  <c:v>9.56</c:v>
                </c:pt>
                <c:pt idx="14">
                  <c:v>27.094000000000001</c:v>
                </c:pt>
                <c:pt idx="15">
                  <c:v>27.161000000000001</c:v>
                </c:pt>
                <c:pt idx="16">
                  <c:v>27.399000000000001</c:v>
                </c:pt>
                <c:pt idx="17">
                  <c:v>26.92</c:v>
                </c:pt>
                <c:pt idx="18">
                  <c:v>26.777999999999999</c:v>
                </c:pt>
                <c:pt idx="19">
                  <c:v>26.97</c:v>
                </c:pt>
                <c:pt idx="20">
                  <c:v>14.83</c:v>
                </c:pt>
                <c:pt idx="21">
                  <c:v>24.747</c:v>
                </c:pt>
                <c:pt idx="22">
                  <c:v>24.434000000000001</c:v>
                </c:pt>
                <c:pt idx="23">
                  <c:v>25.224</c:v>
                </c:pt>
                <c:pt idx="24">
                  <c:v>24.300999999999998</c:v>
                </c:pt>
                <c:pt idx="25">
                  <c:v>24.43</c:v>
                </c:pt>
                <c:pt idx="26">
                  <c:v>25.25</c:v>
                </c:pt>
                <c:pt idx="27">
                  <c:v>25.045000000000002</c:v>
                </c:pt>
                <c:pt idx="28">
                  <c:v>23.29</c:v>
                </c:pt>
                <c:pt idx="29">
                  <c:v>13.7</c:v>
                </c:pt>
                <c:pt idx="30">
                  <c:v>23.14</c:v>
                </c:pt>
                <c:pt idx="31">
                  <c:v>13.03</c:v>
                </c:pt>
                <c:pt idx="32">
                  <c:v>9.5299999999999994</c:v>
                </c:pt>
                <c:pt idx="33">
                  <c:v>10.726000000000001</c:v>
                </c:pt>
                <c:pt idx="34">
                  <c:v>20.370999999999999</c:v>
                </c:pt>
                <c:pt idx="35">
                  <c:v>18.960999999999999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2"/>
          <c:tx>
            <c:strRef>
              <c:f>'July 21'!$AA$4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21'!$AA$5:$AA$40</c:f>
              <c:numCache>
                <c:formatCode>#,##0.00</c:formatCode>
                <c:ptCount val="36"/>
                <c:pt idx="0">
                  <c:v>4.8100000000000023</c:v>
                </c:pt>
                <c:pt idx="1">
                  <c:v>7.93</c:v>
                </c:pt>
                <c:pt idx="2">
                  <c:v>8.9799999999999969</c:v>
                </c:pt>
                <c:pt idx="3">
                  <c:v>9.07</c:v>
                </c:pt>
                <c:pt idx="4">
                  <c:v>10.379999999999999</c:v>
                </c:pt>
                <c:pt idx="5">
                  <c:v>15.309999999999999</c:v>
                </c:pt>
                <c:pt idx="6">
                  <c:v>13.809000000000001</c:v>
                </c:pt>
                <c:pt idx="7">
                  <c:v>13.024999999999999</c:v>
                </c:pt>
                <c:pt idx="8">
                  <c:v>12.858000000000001</c:v>
                </c:pt>
                <c:pt idx="9">
                  <c:v>11.96</c:v>
                </c:pt>
                <c:pt idx="10">
                  <c:v>13.5</c:v>
                </c:pt>
                <c:pt idx="11">
                  <c:v>13.612000000000002</c:v>
                </c:pt>
                <c:pt idx="12">
                  <c:v>27.462</c:v>
                </c:pt>
                <c:pt idx="13">
                  <c:v>28.509999999999998</c:v>
                </c:pt>
                <c:pt idx="14">
                  <c:v>10.975999999999999</c:v>
                </c:pt>
                <c:pt idx="15">
                  <c:v>10.908999999999999</c:v>
                </c:pt>
                <c:pt idx="16">
                  <c:v>10.330999999999996</c:v>
                </c:pt>
                <c:pt idx="17">
                  <c:v>10.86</c:v>
                </c:pt>
                <c:pt idx="18">
                  <c:v>11.292000000000002</c:v>
                </c:pt>
                <c:pt idx="19">
                  <c:v>11.100000000000001</c:v>
                </c:pt>
                <c:pt idx="20">
                  <c:v>23.240000000000002</c:v>
                </c:pt>
                <c:pt idx="21">
                  <c:v>13.323</c:v>
                </c:pt>
                <c:pt idx="22">
                  <c:v>13.635999999999999</c:v>
                </c:pt>
                <c:pt idx="23">
                  <c:v>12.846</c:v>
                </c:pt>
                <c:pt idx="24">
                  <c:v>13.769000000000002</c:v>
                </c:pt>
                <c:pt idx="25">
                  <c:v>13.64</c:v>
                </c:pt>
                <c:pt idx="26">
                  <c:v>12.82</c:v>
                </c:pt>
                <c:pt idx="27">
                  <c:v>9.9450000000000003</c:v>
                </c:pt>
                <c:pt idx="28">
                  <c:v>12.160000000000004</c:v>
                </c:pt>
                <c:pt idx="29">
                  <c:v>23.080000000000002</c:v>
                </c:pt>
                <c:pt idx="30">
                  <c:v>8.07</c:v>
                </c:pt>
                <c:pt idx="31">
                  <c:v>17.549999999999997</c:v>
                </c:pt>
                <c:pt idx="32">
                  <c:v>16.39</c:v>
                </c:pt>
                <c:pt idx="33">
                  <c:v>13.784000000000001</c:v>
                </c:pt>
                <c:pt idx="34">
                  <c:v>4.1390000000000029</c:v>
                </c:pt>
                <c:pt idx="35">
                  <c:v>5.9190000000000005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3"/>
          <c:tx>
            <c:strRef>
              <c:f>'July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21'!$I$5:$I$40</c:f>
              <c:numCache>
                <c:formatCode>#,##0.000</c:formatCode>
                <c:ptCount val="36"/>
                <c:pt idx="0">
                  <c:v>15.172000000000001</c:v>
                </c:pt>
                <c:pt idx="1">
                  <c:v>15.548</c:v>
                </c:pt>
                <c:pt idx="2">
                  <c:v>16.366</c:v>
                </c:pt>
                <c:pt idx="3">
                  <c:v>16.87</c:v>
                </c:pt>
                <c:pt idx="4">
                  <c:v>16.957999999999998</c:v>
                </c:pt>
                <c:pt idx="5">
                  <c:v>17.181000000000001</c:v>
                </c:pt>
                <c:pt idx="6">
                  <c:v>17.045000000000002</c:v>
                </c:pt>
                <c:pt idx="7">
                  <c:v>16.059000000000001</c:v>
                </c:pt>
                <c:pt idx="8">
                  <c:v>16.048999999999999</c:v>
                </c:pt>
                <c:pt idx="9">
                  <c:v>15.991</c:v>
                </c:pt>
                <c:pt idx="10">
                  <c:v>15.956</c:v>
                </c:pt>
                <c:pt idx="11">
                  <c:v>15.771000000000001</c:v>
                </c:pt>
                <c:pt idx="12">
                  <c:v>15.487</c:v>
                </c:pt>
                <c:pt idx="13">
                  <c:v>16.25</c:v>
                </c:pt>
                <c:pt idx="14">
                  <c:v>16.100000000000001</c:v>
                </c:pt>
                <c:pt idx="15">
                  <c:v>16.134</c:v>
                </c:pt>
                <c:pt idx="16">
                  <c:v>16.353999999999999</c:v>
                </c:pt>
                <c:pt idx="17">
                  <c:v>16.183</c:v>
                </c:pt>
                <c:pt idx="18">
                  <c:v>16.402000000000001</c:v>
                </c:pt>
                <c:pt idx="19">
                  <c:v>16.463999999999999</c:v>
                </c:pt>
                <c:pt idx="20">
                  <c:v>16.530999999999999</c:v>
                </c:pt>
                <c:pt idx="21">
                  <c:v>16.309999999999999</c:v>
                </c:pt>
                <c:pt idx="22">
                  <c:v>16.425999999999998</c:v>
                </c:pt>
                <c:pt idx="23">
                  <c:v>16.524999999999999</c:v>
                </c:pt>
                <c:pt idx="24">
                  <c:v>16.417999999999999</c:v>
                </c:pt>
                <c:pt idx="25">
                  <c:v>16.550999999999998</c:v>
                </c:pt>
                <c:pt idx="26">
                  <c:v>16.652000000000001</c:v>
                </c:pt>
                <c:pt idx="27">
                  <c:v>14.242000000000001</c:v>
                </c:pt>
                <c:pt idx="28">
                  <c:v>15.532999999999999</c:v>
                </c:pt>
                <c:pt idx="29">
                  <c:v>15.147</c:v>
                </c:pt>
                <c:pt idx="30">
                  <c:v>13.177</c:v>
                </c:pt>
                <c:pt idx="31">
                  <c:v>14.404</c:v>
                </c:pt>
                <c:pt idx="32">
                  <c:v>12.17</c:v>
                </c:pt>
                <c:pt idx="33">
                  <c:v>11.295</c:v>
                </c:pt>
                <c:pt idx="34">
                  <c:v>11.131</c:v>
                </c:pt>
                <c:pt idx="35">
                  <c:v>11.978999999999999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27264"/>
        <c:axId val="187228832"/>
      </c:lineChart>
      <c:dateAx>
        <c:axId val="18722726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8832"/>
        <c:crosses val="autoZero"/>
        <c:auto val="1"/>
        <c:lblOffset val="100"/>
        <c:baseTimeUnit val="days"/>
      </c:dateAx>
      <c:valAx>
        <c:axId val="1872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7264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80765235863026852"/>
          <c:h val="4.9004935247062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July/August 2021 Production Performance per Field</a:t>
            </a:r>
          </a:p>
        </c:rich>
      </c:tx>
      <c:layout>
        <c:manualLayout>
          <c:xMode val="edge"/>
          <c:yMode val="edge"/>
          <c:x val="0.29006952202004493"/>
          <c:y val="1.96744561070076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542912902154991"/>
        </c:manualLayout>
      </c:layout>
      <c:lineChart>
        <c:grouping val="standard"/>
        <c:varyColors val="0"/>
        <c:ser>
          <c:idx val="5"/>
          <c:order val="0"/>
          <c:tx>
            <c:strRef>
              <c:f>'July 21'!$G$4</c:f>
              <c:strCache>
                <c:ptCount val="1"/>
                <c:pt idx="0">
                  <c:v>July 2021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chemeClr val="accent5"/>
              </a:solidFill>
              <a:ln w="9525">
                <a:solidFill>
                  <a:schemeClr val="accent5">
                    <a:alpha val="98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21'!$G$5:$G$40</c:f>
              <c:numCache>
                <c:formatCode>#,##0.000</c:formatCode>
                <c:ptCount val="36"/>
                <c:pt idx="0">
                  <c:v>49.442</c:v>
                </c:pt>
                <c:pt idx="1">
                  <c:v>49.442</c:v>
                </c:pt>
                <c:pt idx="2">
                  <c:v>49.442</c:v>
                </c:pt>
                <c:pt idx="3">
                  <c:v>49.442</c:v>
                </c:pt>
                <c:pt idx="4">
                  <c:v>49.442</c:v>
                </c:pt>
                <c:pt idx="5">
                  <c:v>49.442</c:v>
                </c:pt>
                <c:pt idx="6">
                  <c:v>49.442</c:v>
                </c:pt>
                <c:pt idx="7">
                  <c:v>49.442</c:v>
                </c:pt>
                <c:pt idx="8">
                  <c:v>49.442</c:v>
                </c:pt>
                <c:pt idx="9">
                  <c:v>49.442</c:v>
                </c:pt>
                <c:pt idx="10">
                  <c:v>49.442</c:v>
                </c:pt>
                <c:pt idx="11">
                  <c:v>49.442</c:v>
                </c:pt>
                <c:pt idx="12">
                  <c:v>49.442</c:v>
                </c:pt>
                <c:pt idx="13">
                  <c:v>49.442</c:v>
                </c:pt>
                <c:pt idx="14">
                  <c:v>49.442</c:v>
                </c:pt>
                <c:pt idx="15">
                  <c:v>49.442</c:v>
                </c:pt>
                <c:pt idx="16">
                  <c:v>49.442</c:v>
                </c:pt>
                <c:pt idx="17">
                  <c:v>49.442</c:v>
                </c:pt>
                <c:pt idx="18">
                  <c:v>49.442</c:v>
                </c:pt>
                <c:pt idx="19">
                  <c:v>49.442</c:v>
                </c:pt>
                <c:pt idx="20">
                  <c:v>49.442</c:v>
                </c:pt>
                <c:pt idx="21">
                  <c:v>49.442</c:v>
                </c:pt>
                <c:pt idx="22">
                  <c:v>49.442</c:v>
                </c:pt>
                <c:pt idx="23">
                  <c:v>49.442</c:v>
                </c:pt>
                <c:pt idx="24">
                  <c:v>49.442</c:v>
                </c:pt>
                <c:pt idx="25">
                  <c:v>49.442</c:v>
                </c:pt>
                <c:pt idx="26">
                  <c:v>49.442</c:v>
                </c:pt>
                <c:pt idx="27">
                  <c:v>49.442</c:v>
                </c:pt>
                <c:pt idx="28">
                  <c:v>49.442</c:v>
                </c:pt>
                <c:pt idx="29">
                  <c:v>49.442</c:v>
                </c:pt>
                <c:pt idx="30">
                  <c:v>49.442</c:v>
                </c:pt>
                <c:pt idx="31">
                  <c:v>49.442</c:v>
                </c:pt>
                <c:pt idx="32">
                  <c:v>49.442</c:v>
                </c:pt>
                <c:pt idx="33">
                  <c:v>49.442</c:v>
                </c:pt>
                <c:pt idx="34">
                  <c:v>49.442</c:v>
                </c:pt>
                <c:pt idx="35">
                  <c:v>49.442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4-49BD-B357-E744129A05C4}"/>
            </c:ext>
          </c:extLst>
        </c:ser>
        <c:ser>
          <c:idx val="4"/>
          <c:order val="1"/>
          <c:tx>
            <c:strRef>
              <c:f>'July 21'!$L$4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tar"/>
            <c:size val="8"/>
            <c:spPr>
              <a:noFill/>
              <a:ln w="19050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21'!$L$5:$L$40</c:f>
              <c:numCache>
                <c:formatCode>#,##0.000</c:formatCode>
                <c:ptCount val="36"/>
                <c:pt idx="0">
                  <c:v>37.739000000000004</c:v>
                </c:pt>
                <c:pt idx="1">
                  <c:v>37.508000000000003</c:v>
                </c:pt>
                <c:pt idx="2">
                  <c:v>37.930999999999997</c:v>
                </c:pt>
                <c:pt idx="3">
                  <c:v>38.142000000000003</c:v>
                </c:pt>
                <c:pt idx="4">
                  <c:v>38.637</c:v>
                </c:pt>
                <c:pt idx="5">
                  <c:v>38.587000000000003</c:v>
                </c:pt>
                <c:pt idx="6">
                  <c:v>38.646000000000008</c:v>
                </c:pt>
                <c:pt idx="7">
                  <c:v>37.650400000000005</c:v>
                </c:pt>
                <c:pt idx="8">
                  <c:v>37.960999999999999</c:v>
                </c:pt>
                <c:pt idx="9">
                  <c:v>40.367999999999995</c:v>
                </c:pt>
                <c:pt idx="10">
                  <c:v>40.074999999999996</c:v>
                </c:pt>
                <c:pt idx="11">
                  <c:v>42.092999999999996</c:v>
                </c:pt>
                <c:pt idx="12">
                  <c:v>28.193999999999999</c:v>
                </c:pt>
                <c:pt idx="13">
                  <c:v>30.110000000000003</c:v>
                </c:pt>
                <c:pt idx="14">
                  <c:v>38.173000000000002</c:v>
                </c:pt>
                <c:pt idx="15">
                  <c:v>39.489000000000004</c:v>
                </c:pt>
                <c:pt idx="16">
                  <c:v>39.411999999999992</c:v>
                </c:pt>
                <c:pt idx="17">
                  <c:v>39.098999999999997</c:v>
                </c:pt>
                <c:pt idx="18">
                  <c:v>38.329000000000001</c:v>
                </c:pt>
                <c:pt idx="19">
                  <c:v>36.512999999999998</c:v>
                </c:pt>
                <c:pt idx="20">
                  <c:v>36.976999999999997</c:v>
                </c:pt>
                <c:pt idx="21">
                  <c:v>36.444999999999993</c:v>
                </c:pt>
                <c:pt idx="22">
                  <c:v>36.140999999999998</c:v>
                </c:pt>
                <c:pt idx="23">
                  <c:v>38.100999999999992</c:v>
                </c:pt>
                <c:pt idx="24">
                  <c:v>37.003</c:v>
                </c:pt>
                <c:pt idx="25">
                  <c:v>36.860999999999997</c:v>
                </c:pt>
                <c:pt idx="26">
                  <c:v>38.532000000000011</c:v>
                </c:pt>
                <c:pt idx="27">
                  <c:v>38.691999999999993</c:v>
                </c:pt>
                <c:pt idx="28">
                  <c:v>38.516000000000005</c:v>
                </c:pt>
                <c:pt idx="29">
                  <c:v>38.591999999999999</c:v>
                </c:pt>
                <c:pt idx="30">
                  <c:v>35.743000000000002</c:v>
                </c:pt>
                <c:pt idx="31">
                  <c:v>36.650999999999996</c:v>
                </c:pt>
                <c:pt idx="32">
                  <c:v>34.863</c:v>
                </c:pt>
                <c:pt idx="33">
                  <c:v>33.997</c:v>
                </c:pt>
                <c:pt idx="34">
                  <c:v>34.767000000000003</c:v>
                </c:pt>
                <c:pt idx="35">
                  <c:v>35.153999999999996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4-49BD-B357-E744129A05C4}"/>
            </c:ext>
          </c:extLst>
        </c:ser>
        <c:ser>
          <c:idx val="1"/>
          <c:order val="2"/>
          <c:tx>
            <c:strRef>
              <c:f>'July 21'!$H$4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21'!$H$5:$H$40</c:f>
              <c:numCache>
                <c:formatCode>#,##0.000</c:formatCode>
                <c:ptCount val="36"/>
                <c:pt idx="0">
                  <c:v>19.414999999999999</c:v>
                </c:pt>
                <c:pt idx="1">
                  <c:v>18.829999999999998</c:v>
                </c:pt>
                <c:pt idx="2">
                  <c:v>18.43</c:v>
                </c:pt>
                <c:pt idx="3">
                  <c:v>18.134</c:v>
                </c:pt>
                <c:pt idx="4">
                  <c:v>18.545999999999999</c:v>
                </c:pt>
                <c:pt idx="5">
                  <c:v>18.294</c:v>
                </c:pt>
                <c:pt idx="6">
                  <c:v>18.492000000000001</c:v>
                </c:pt>
                <c:pt idx="7">
                  <c:v>18.414999999999999</c:v>
                </c:pt>
                <c:pt idx="8">
                  <c:v>18.777000000000001</c:v>
                </c:pt>
                <c:pt idx="9">
                  <c:v>19.113</c:v>
                </c:pt>
                <c:pt idx="10">
                  <c:v>16.571999999999999</c:v>
                </c:pt>
                <c:pt idx="11">
                  <c:v>18.861999999999998</c:v>
                </c:pt>
                <c:pt idx="12">
                  <c:v>9.173</c:v>
                </c:pt>
                <c:pt idx="13">
                  <c:v>10.81</c:v>
                </c:pt>
                <c:pt idx="14">
                  <c:v>18.98</c:v>
                </c:pt>
                <c:pt idx="15">
                  <c:v>20.228000000000002</c:v>
                </c:pt>
                <c:pt idx="16">
                  <c:v>19.989999999999998</c:v>
                </c:pt>
                <c:pt idx="17">
                  <c:v>19.908999999999999</c:v>
                </c:pt>
                <c:pt idx="18">
                  <c:v>19.292999999999999</c:v>
                </c:pt>
                <c:pt idx="19">
                  <c:v>18.536999999999999</c:v>
                </c:pt>
                <c:pt idx="20">
                  <c:v>19.013000000000002</c:v>
                </c:pt>
                <c:pt idx="21">
                  <c:v>18.771999999999998</c:v>
                </c:pt>
                <c:pt idx="22">
                  <c:v>18.347000000000001</c:v>
                </c:pt>
                <c:pt idx="23">
                  <c:v>19.081</c:v>
                </c:pt>
                <c:pt idx="24">
                  <c:v>17.683</c:v>
                </c:pt>
                <c:pt idx="25">
                  <c:v>15.276</c:v>
                </c:pt>
                <c:pt idx="26">
                  <c:v>16.605</c:v>
                </c:pt>
                <c:pt idx="27">
                  <c:v>19.177</c:v>
                </c:pt>
                <c:pt idx="28">
                  <c:v>18.298999999999999</c:v>
                </c:pt>
                <c:pt idx="29">
                  <c:v>18.707000000000001</c:v>
                </c:pt>
                <c:pt idx="30">
                  <c:v>17.835999999999999</c:v>
                </c:pt>
                <c:pt idx="31">
                  <c:v>17.625</c:v>
                </c:pt>
                <c:pt idx="32">
                  <c:v>18.175000000000001</c:v>
                </c:pt>
                <c:pt idx="33">
                  <c:v>18.164999999999999</c:v>
                </c:pt>
                <c:pt idx="34">
                  <c:v>19.103000000000002</c:v>
                </c:pt>
                <c:pt idx="35">
                  <c:v>18.597999999999999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3"/>
          <c:tx>
            <c:strRef>
              <c:f>'July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x"/>
            <c:size val="8"/>
            <c:spPr>
              <a:noFill/>
              <a:ln w="222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21'!$I$5:$I$40</c:f>
              <c:numCache>
                <c:formatCode>#,##0.000</c:formatCode>
                <c:ptCount val="36"/>
                <c:pt idx="0">
                  <c:v>15.172000000000001</c:v>
                </c:pt>
                <c:pt idx="1">
                  <c:v>15.548</c:v>
                </c:pt>
                <c:pt idx="2">
                  <c:v>16.366</c:v>
                </c:pt>
                <c:pt idx="3">
                  <c:v>16.87</c:v>
                </c:pt>
                <c:pt idx="4">
                  <c:v>16.957999999999998</c:v>
                </c:pt>
                <c:pt idx="5">
                  <c:v>17.181000000000001</c:v>
                </c:pt>
                <c:pt idx="6">
                  <c:v>17.045000000000002</c:v>
                </c:pt>
                <c:pt idx="7">
                  <c:v>16.059000000000001</c:v>
                </c:pt>
                <c:pt idx="8">
                  <c:v>16.048999999999999</c:v>
                </c:pt>
                <c:pt idx="9">
                  <c:v>15.991</c:v>
                </c:pt>
                <c:pt idx="10">
                  <c:v>15.956</c:v>
                </c:pt>
                <c:pt idx="11">
                  <c:v>15.771000000000001</c:v>
                </c:pt>
                <c:pt idx="12">
                  <c:v>15.487</c:v>
                </c:pt>
                <c:pt idx="13">
                  <c:v>16.25</c:v>
                </c:pt>
                <c:pt idx="14">
                  <c:v>16.100000000000001</c:v>
                </c:pt>
                <c:pt idx="15">
                  <c:v>16.134</c:v>
                </c:pt>
                <c:pt idx="16">
                  <c:v>16.353999999999999</c:v>
                </c:pt>
                <c:pt idx="17">
                  <c:v>16.183</c:v>
                </c:pt>
                <c:pt idx="18">
                  <c:v>16.402000000000001</c:v>
                </c:pt>
                <c:pt idx="19">
                  <c:v>16.463999999999999</c:v>
                </c:pt>
                <c:pt idx="20">
                  <c:v>16.530999999999999</c:v>
                </c:pt>
                <c:pt idx="21">
                  <c:v>16.309999999999999</c:v>
                </c:pt>
                <c:pt idx="22">
                  <c:v>16.425999999999998</c:v>
                </c:pt>
                <c:pt idx="23">
                  <c:v>16.524999999999999</c:v>
                </c:pt>
                <c:pt idx="24">
                  <c:v>16.417999999999999</c:v>
                </c:pt>
                <c:pt idx="25">
                  <c:v>16.550999999999998</c:v>
                </c:pt>
                <c:pt idx="26">
                  <c:v>16.652000000000001</c:v>
                </c:pt>
                <c:pt idx="27">
                  <c:v>14.242000000000001</c:v>
                </c:pt>
                <c:pt idx="28">
                  <c:v>15.532999999999999</c:v>
                </c:pt>
                <c:pt idx="29">
                  <c:v>15.147</c:v>
                </c:pt>
                <c:pt idx="30">
                  <c:v>13.177</c:v>
                </c:pt>
                <c:pt idx="31">
                  <c:v>14.404</c:v>
                </c:pt>
                <c:pt idx="32">
                  <c:v>12.17</c:v>
                </c:pt>
                <c:pt idx="33">
                  <c:v>11.295</c:v>
                </c:pt>
                <c:pt idx="34">
                  <c:v>11.131</c:v>
                </c:pt>
                <c:pt idx="35">
                  <c:v>11.978999999999999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4"/>
          <c:tx>
            <c:strRef>
              <c:f>'July 21'!$J$4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8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21'!$J$5:$J$40</c:f>
              <c:numCache>
                <c:formatCode>#,##0.000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2.11</c:v>
                </c:pt>
                <c:pt idx="10">
                  <c:v>4.415</c:v>
                </c:pt>
                <c:pt idx="11">
                  <c:v>4.2809999999999997</c:v>
                </c:pt>
                <c:pt idx="12">
                  <c:v>0.41599999999999998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0.38200000000000001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2.1379999999999999</c:v>
                </c:pt>
                <c:pt idx="26">
                  <c:v>2.4409999999999998</c:v>
                </c:pt>
                <c:pt idx="27">
                  <c:v>2.403</c:v>
                </c:pt>
                <c:pt idx="28">
                  <c:v>1.8620000000000001</c:v>
                </c:pt>
                <c:pt idx="29">
                  <c:v>1.919</c:v>
                </c:pt>
                <c:pt idx="30">
                  <c:v>1.899</c:v>
                </c:pt>
                <c:pt idx="31">
                  <c:v>1.8180000000000001</c:v>
                </c:pt>
                <c:pt idx="32">
                  <c:v>1.722</c:v>
                </c:pt>
                <c:pt idx="33">
                  <c:v>1.7210000000000001</c:v>
                </c:pt>
                <c:pt idx="34">
                  <c:v>1.732</c:v>
                </c:pt>
                <c:pt idx="35">
                  <c:v>1.7190000000000001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5"/>
          <c:tx>
            <c:strRef>
              <c:f>'July 21'!$K$4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'July 21'!$B$5:$B$40</c:f>
              <c:numCache>
                <c:formatCode>d\-mmm\-yy</c:formatCode>
                <c:ptCount val="36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  <c:pt idx="31">
                  <c:v>44409</c:v>
                </c:pt>
                <c:pt idx="32">
                  <c:v>44410</c:v>
                </c:pt>
                <c:pt idx="33">
                  <c:v>44411</c:v>
                </c:pt>
                <c:pt idx="34">
                  <c:v>44412</c:v>
                </c:pt>
                <c:pt idx="35">
                  <c:v>44413</c:v>
                </c:pt>
              </c:numCache>
            </c:numRef>
          </c:cat>
          <c:val>
            <c:numRef>
              <c:f>'July 21'!$K$5:$K$40</c:f>
              <c:numCache>
                <c:formatCode>#,##0.000</c:formatCode>
                <c:ptCount val="36"/>
                <c:pt idx="0">
                  <c:v>3.1520000000000001</c:v>
                </c:pt>
                <c:pt idx="1">
                  <c:v>3.13</c:v>
                </c:pt>
                <c:pt idx="2">
                  <c:v>3.1349999999999998</c:v>
                </c:pt>
                <c:pt idx="3">
                  <c:v>3.1379999999999999</c:v>
                </c:pt>
                <c:pt idx="4">
                  <c:v>3.133</c:v>
                </c:pt>
                <c:pt idx="5">
                  <c:v>3.1120000000000001</c:v>
                </c:pt>
                <c:pt idx="6">
                  <c:v>3.109</c:v>
                </c:pt>
                <c:pt idx="7">
                  <c:v>3.1764000000000001</c:v>
                </c:pt>
                <c:pt idx="8">
                  <c:v>3.1349999999999998</c:v>
                </c:pt>
                <c:pt idx="9">
                  <c:v>3.1539999999999999</c:v>
                </c:pt>
                <c:pt idx="10">
                  <c:v>3.1320000000000001</c:v>
                </c:pt>
                <c:pt idx="11">
                  <c:v>3.1789999999999998</c:v>
                </c:pt>
                <c:pt idx="12">
                  <c:v>3.1179999999999999</c:v>
                </c:pt>
                <c:pt idx="13">
                  <c:v>3.05</c:v>
                </c:pt>
                <c:pt idx="14">
                  <c:v>3.093</c:v>
                </c:pt>
                <c:pt idx="15">
                  <c:v>3.1269999999999998</c:v>
                </c:pt>
                <c:pt idx="16">
                  <c:v>3.0680000000000001</c:v>
                </c:pt>
                <c:pt idx="17">
                  <c:v>3.0070000000000001</c:v>
                </c:pt>
                <c:pt idx="18">
                  <c:v>2.2519999999999998</c:v>
                </c:pt>
                <c:pt idx="19">
                  <c:v>1.512</c:v>
                </c:pt>
                <c:pt idx="20">
                  <c:v>1.4330000000000001</c:v>
                </c:pt>
                <c:pt idx="21">
                  <c:v>1.363</c:v>
                </c:pt>
                <c:pt idx="22">
                  <c:v>1.3680000000000001</c:v>
                </c:pt>
                <c:pt idx="23">
                  <c:v>2.4950000000000001</c:v>
                </c:pt>
                <c:pt idx="24">
                  <c:v>2.9020000000000001</c:v>
                </c:pt>
                <c:pt idx="25">
                  <c:v>2.8959999999999999</c:v>
                </c:pt>
                <c:pt idx="26">
                  <c:v>2.8340000000000001</c:v>
                </c:pt>
                <c:pt idx="27">
                  <c:v>2.87</c:v>
                </c:pt>
                <c:pt idx="28">
                  <c:v>2.8220000000000001</c:v>
                </c:pt>
                <c:pt idx="29">
                  <c:v>2.819</c:v>
                </c:pt>
                <c:pt idx="30">
                  <c:v>2.831</c:v>
                </c:pt>
                <c:pt idx="31">
                  <c:v>2.8039999999999998</c:v>
                </c:pt>
                <c:pt idx="32">
                  <c:v>2.7959999999999998</c:v>
                </c:pt>
                <c:pt idx="33">
                  <c:v>2.8159999999999998</c:v>
                </c:pt>
                <c:pt idx="34">
                  <c:v>2.8010000000000002</c:v>
                </c:pt>
                <c:pt idx="35">
                  <c:v>2.8580000000000001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24520"/>
        <c:axId val="187224912"/>
      </c:lineChart>
      <c:dateAx>
        <c:axId val="187224520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4912"/>
        <c:crosses val="autoZero"/>
        <c:auto val="1"/>
        <c:lblOffset val="100"/>
        <c:baseTimeUnit val="days"/>
      </c:dateAx>
      <c:valAx>
        <c:axId val="1872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45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6590927721563937E-2"/>
          <c:y val="0.95291318100222666"/>
          <c:w val="0.89999997464538828"/>
          <c:h val="4.0721642435078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7318670127148"/>
          <c:y val="9.8900915672025455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'August 21'!$AK$5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7.842881758831148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3D-46AA-AF1F-9B985B5967D5}"/>
                </c:ext>
              </c:extLst>
            </c:dLbl>
            <c:dLbl>
              <c:idx val="4"/>
              <c:layout>
                <c:manualLayout>
                  <c:x val="2.3783785808366528E-2"/>
                  <c:y val="2.94108065956165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3D-46AA-AF1F-9B985B596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'August 21'!$AK$6:$AK$11</c:f>
              <c:numCache>
                <c:formatCode>#,##0.00</c:formatCode>
                <c:ptCount val="6"/>
                <c:pt idx="0">
                  <c:v>21.64</c:v>
                </c:pt>
                <c:pt idx="1">
                  <c:v>15.14</c:v>
                </c:pt>
                <c:pt idx="2">
                  <c:v>8.9</c:v>
                </c:pt>
                <c:pt idx="3">
                  <c:v>3.77</c:v>
                </c:pt>
                <c:pt idx="4">
                  <c:v>49.45</c:v>
                </c:pt>
                <c:pt idx="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'August 21'!$AL$5</c:f>
              <c:strCache>
                <c:ptCount val="1"/>
                <c:pt idx="0">
                  <c:v>30-Aug-2021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5.882162227255181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3D-46AA-AF1F-9B985B5967D5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3D-46AA-AF1F-9B985B5967D5}"/>
                </c:ext>
              </c:extLst>
            </c:dLbl>
            <c:dLbl>
              <c:idx val="2"/>
              <c:layout>
                <c:manualLayout>
                  <c:x val="0"/>
                  <c:y val="-5.882162227255397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3D-46AA-AF1F-9B985B5967D5}"/>
                </c:ext>
              </c:extLst>
            </c:dLbl>
            <c:dLbl>
              <c:idx val="4"/>
              <c:layout>
                <c:manualLayout>
                  <c:x val="-1.5855674039478165E-16"/>
                  <c:y val="3.921441484836835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3D-46AA-AF1F-9B985B5967D5}"/>
                </c:ext>
              </c:extLst>
            </c:dLbl>
            <c:dLbl>
              <c:idx val="5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D3D-46AA-AF1F-9B985B596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'August 21'!$AL$6:$AL$11</c:f>
              <c:numCache>
                <c:formatCode>#,##0.00</c:formatCode>
                <c:ptCount val="6"/>
                <c:pt idx="0">
                  <c:v>16.503</c:v>
                </c:pt>
                <c:pt idx="1">
                  <c:v>9.0609999999999999</c:v>
                </c:pt>
                <c:pt idx="2">
                  <c:v>0</c:v>
                </c:pt>
                <c:pt idx="3">
                  <c:v>0</c:v>
                </c:pt>
                <c:pt idx="4">
                  <c:v>25.564</c:v>
                </c:pt>
                <c:pt idx="5">
                  <c:v>24.218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'August 21'!$AM$5</c:f>
              <c:strCache>
                <c:ptCount val="1"/>
                <c:pt idx="0">
                  <c:v>31-Aug-2021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921440879415538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3D-46AA-AF1F-9B985B5967D5}"/>
                </c:ext>
              </c:extLst>
            </c:dLbl>
            <c:dLbl>
              <c:idx val="1"/>
              <c:layout>
                <c:manualLayout>
                  <c:x val="0"/>
                  <c:y val="-3.921440879415538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D3D-46AA-AF1F-9B985B5967D5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D3D-46AA-AF1F-9B985B5967D5}"/>
                </c:ext>
              </c:extLst>
            </c:dLbl>
            <c:dLbl>
              <c:idx val="4"/>
              <c:layout>
                <c:manualLayout>
                  <c:x val="-1.5855674039478165E-16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D3D-46AA-AF1F-9B985B5967D5}"/>
                </c:ext>
              </c:extLst>
            </c:dLbl>
            <c:dLbl>
              <c:idx val="5"/>
              <c:layout>
                <c:manualLayout>
                  <c:x val="0"/>
                  <c:y val="-7.84288175883107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D3D-46AA-AF1F-9B985B596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'August 21'!$AM$6:$AM$11</c:f>
              <c:numCache>
                <c:formatCode>#,##0.00</c:formatCode>
                <c:ptCount val="6"/>
                <c:pt idx="0">
                  <c:v>15.32</c:v>
                </c:pt>
                <c:pt idx="1">
                  <c:v>9.0830000000000002</c:v>
                </c:pt>
                <c:pt idx="2">
                  <c:v>0</c:v>
                </c:pt>
                <c:pt idx="3">
                  <c:v>0</c:v>
                </c:pt>
                <c:pt idx="4">
                  <c:v>24.402999999999999</c:v>
                </c:pt>
                <c:pt idx="5">
                  <c:v>20.852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'August 21'!$AN$5</c:f>
              <c:strCache>
                <c:ptCount val="1"/>
                <c:pt idx="0">
                  <c:v>1-Sep-2021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819592549347706E-17"/>
                  <c:y val="1.96072043970769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D3D-46AA-AF1F-9B985B5967D5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D3D-46AA-AF1F-9B985B5967D5}"/>
                </c:ext>
              </c:extLst>
            </c:dLbl>
            <c:dLbl>
              <c:idx val="4"/>
              <c:layout>
                <c:manualLayout>
                  <c:x val="0"/>
                  <c:y val="5.88216131912330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D3D-46AA-AF1F-9B985B5967D5}"/>
                </c:ext>
              </c:extLst>
            </c:dLbl>
            <c:dLbl>
              <c:idx val="5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D3D-46AA-AF1F-9B985B596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'August 21'!$AN$6:$AN$11</c:f>
              <c:numCache>
                <c:formatCode>#,##0.00</c:formatCode>
                <c:ptCount val="6"/>
                <c:pt idx="0">
                  <c:v>17.64</c:v>
                </c:pt>
                <c:pt idx="1">
                  <c:v>11.118</c:v>
                </c:pt>
                <c:pt idx="2">
                  <c:v>0</c:v>
                </c:pt>
                <c:pt idx="3">
                  <c:v>1.706</c:v>
                </c:pt>
                <c:pt idx="4">
                  <c:v>30.464000000000002</c:v>
                </c:pt>
                <c:pt idx="5">
                  <c:v>11.715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9A-4091-8B77-2C78E504CA04}"/>
            </c:ext>
          </c:extLst>
        </c:ser>
        <c:ser>
          <c:idx val="4"/>
          <c:order val="4"/>
          <c:tx>
            <c:strRef>
              <c:f>'August 21'!$AO$5</c:f>
              <c:strCache>
                <c:ptCount val="1"/>
                <c:pt idx="0">
                  <c:v>2-Sep-2021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176432263824661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D3D-46AA-AF1F-9B985B5967D5}"/>
                </c:ext>
              </c:extLst>
            </c:dLbl>
            <c:dLbl>
              <c:idx val="1"/>
              <c:layout>
                <c:manualLayout>
                  <c:x val="-7.9278370197390823E-17"/>
                  <c:y val="-3.921440879415538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D3D-46AA-AF1F-9B985B5967D5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D3D-46AA-AF1F-9B985B5967D5}"/>
                </c:ext>
              </c:extLst>
            </c:dLbl>
            <c:dLbl>
              <c:idx val="4"/>
              <c:layout>
                <c:manualLayout>
                  <c:x val="-1.081081173107728E-3"/>
                  <c:y val="7.84288175883107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D3D-46AA-AF1F-9B985B5967D5}"/>
                </c:ext>
              </c:extLst>
            </c:dLbl>
            <c:dLbl>
              <c:idx val="5"/>
              <c:layout>
                <c:manualLayout>
                  <c:x val="-1.5855674039478165E-16"/>
                  <c:y val="5.882162227255181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D3D-46AA-AF1F-9B985B596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'August 21'!$AO$6:$AO$11</c:f>
              <c:numCache>
                <c:formatCode>#,##0.00</c:formatCode>
                <c:ptCount val="6"/>
                <c:pt idx="0">
                  <c:v>17.64</c:v>
                </c:pt>
                <c:pt idx="1">
                  <c:v>12.335000000000001</c:v>
                </c:pt>
                <c:pt idx="2">
                  <c:v>0</c:v>
                </c:pt>
                <c:pt idx="3">
                  <c:v>3.4009999999999998</c:v>
                </c:pt>
                <c:pt idx="4">
                  <c:v>33.376000000000005</c:v>
                </c:pt>
                <c:pt idx="5">
                  <c:v>19.495999999999999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9A-4091-8B77-2C78E504CA04}"/>
            </c:ext>
          </c:extLst>
        </c:ser>
        <c:ser>
          <c:idx val="5"/>
          <c:order val="5"/>
          <c:tx>
            <c:strRef>
              <c:f>'August 21'!$AP$5</c:f>
              <c:strCache>
                <c:ptCount val="1"/>
                <c:pt idx="0">
                  <c:v>3-Sep-2021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372504307795438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D3D-46AA-AF1F-9B985B5967D5}"/>
                </c:ext>
              </c:extLst>
            </c:dLbl>
            <c:dLbl>
              <c:idx val="1"/>
              <c:layout>
                <c:manualLayout>
                  <c:x val="3.9639185098695411E-17"/>
                  <c:y val="-1.56857635176621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D3D-46AA-AF1F-9B985B5967D5}"/>
                </c:ext>
              </c:extLst>
            </c:dLbl>
            <c:dLbl>
              <c:idx val="4"/>
              <c:layout>
                <c:manualLayout>
                  <c:x val="0"/>
                  <c:y val="7.842882969673671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D3D-46AA-AF1F-9B985B5967D5}"/>
                </c:ext>
              </c:extLst>
            </c:dLbl>
            <c:dLbl>
              <c:idx val="5"/>
              <c:layout>
                <c:manualLayout>
                  <c:x val="0"/>
                  <c:y val="7.84288175883107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D3D-46AA-AF1F-9B985B596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'August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'August 21'!$AP$6:$AP$11</c:f>
              <c:numCache>
                <c:formatCode>#,##0.00</c:formatCode>
                <c:ptCount val="6"/>
                <c:pt idx="0">
                  <c:v>18.664000000000001</c:v>
                </c:pt>
                <c:pt idx="1">
                  <c:v>12.654</c:v>
                </c:pt>
                <c:pt idx="2">
                  <c:v>0</c:v>
                </c:pt>
                <c:pt idx="3">
                  <c:v>3.4489999999999998</c:v>
                </c:pt>
                <c:pt idx="4">
                  <c:v>34.767000000000003</c:v>
                </c:pt>
                <c:pt idx="5">
                  <c:v>18.04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9A-4091-8B77-2C78E504C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87231184"/>
        <c:axId val="187231576"/>
      </c:barChart>
      <c:catAx>
        <c:axId val="18723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31576"/>
        <c:crosses val="autoZero"/>
        <c:auto val="1"/>
        <c:lblAlgn val="ctr"/>
        <c:lblOffset val="100"/>
        <c:noMultiLvlLbl val="0"/>
      </c:catAx>
      <c:valAx>
        <c:axId val="18723157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5118366896647533E-2"/>
              <c:y val="0.33807827752998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1184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August 2021</a:t>
            </a:r>
          </a:p>
        </c:rich>
      </c:tx>
      <c:layout>
        <c:manualLayout>
          <c:xMode val="edge"/>
          <c:yMode val="edge"/>
          <c:x val="0.35029307086614175"/>
          <c:y val="2.415562148668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1"/>
          <c:order val="0"/>
          <c:tx>
            <c:strRef>
              <c:f>'August 21'!$S$4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21'!$S$5:$S$42</c:f>
              <c:numCache>
                <c:formatCode>#,##0.00</c:formatCode>
                <c:ptCount val="38"/>
                <c:pt idx="0">
                  <c:v>30.58</c:v>
                </c:pt>
                <c:pt idx="1">
                  <c:v>25.92</c:v>
                </c:pt>
                <c:pt idx="2">
                  <c:v>24.51</c:v>
                </c:pt>
                <c:pt idx="3">
                  <c:v>24.51</c:v>
                </c:pt>
                <c:pt idx="4">
                  <c:v>24.88</c:v>
                </c:pt>
                <c:pt idx="5">
                  <c:v>24.88</c:v>
                </c:pt>
                <c:pt idx="6">
                  <c:v>23.45</c:v>
                </c:pt>
                <c:pt idx="7">
                  <c:v>22.28</c:v>
                </c:pt>
                <c:pt idx="8">
                  <c:v>22.28</c:v>
                </c:pt>
                <c:pt idx="9">
                  <c:v>21.39</c:v>
                </c:pt>
                <c:pt idx="10">
                  <c:v>21.39</c:v>
                </c:pt>
                <c:pt idx="11">
                  <c:v>22.28</c:v>
                </c:pt>
                <c:pt idx="12">
                  <c:v>20.03</c:v>
                </c:pt>
                <c:pt idx="13">
                  <c:v>20.03</c:v>
                </c:pt>
                <c:pt idx="14">
                  <c:v>16.22</c:v>
                </c:pt>
                <c:pt idx="15">
                  <c:v>22.96</c:v>
                </c:pt>
                <c:pt idx="16">
                  <c:v>20.04</c:v>
                </c:pt>
                <c:pt idx="17">
                  <c:v>23.31</c:v>
                </c:pt>
                <c:pt idx="18">
                  <c:v>28.63</c:v>
                </c:pt>
                <c:pt idx="19">
                  <c:v>30.44</c:v>
                </c:pt>
                <c:pt idx="20">
                  <c:v>31.78</c:v>
                </c:pt>
                <c:pt idx="21">
                  <c:v>32.33</c:v>
                </c:pt>
                <c:pt idx="22">
                  <c:v>32.33</c:v>
                </c:pt>
                <c:pt idx="23">
                  <c:v>32.33</c:v>
                </c:pt>
                <c:pt idx="24">
                  <c:v>32.33</c:v>
                </c:pt>
                <c:pt idx="25">
                  <c:v>32.86</c:v>
                </c:pt>
                <c:pt idx="26">
                  <c:v>33.340000000000003</c:v>
                </c:pt>
                <c:pt idx="27">
                  <c:v>33.409999999999997</c:v>
                </c:pt>
                <c:pt idx="28">
                  <c:v>33.409999999999997</c:v>
                </c:pt>
                <c:pt idx="29">
                  <c:v>33.409999999999997</c:v>
                </c:pt>
                <c:pt idx="30">
                  <c:v>30.99</c:v>
                </c:pt>
                <c:pt idx="31">
                  <c:v>31.62</c:v>
                </c:pt>
                <c:pt idx="32">
                  <c:v>29.17</c:v>
                </c:pt>
                <c:pt idx="33">
                  <c:v>29.07</c:v>
                </c:pt>
                <c:pt idx="34">
                  <c:v>29.07</c:v>
                </c:pt>
                <c:pt idx="35">
                  <c:v>29.07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1"/>
          <c:tx>
            <c:strRef>
              <c:f>'August 21'!$M$4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21'!$M$5:$M$42</c:f>
              <c:numCache>
                <c:formatCode>#,##0.00</c:formatCode>
                <c:ptCount val="38"/>
                <c:pt idx="0">
                  <c:v>13.03</c:v>
                </c:pt>
                <c:pt idx="1">
                  <c:v>9.5299999999999994</c:v>
                </c:pt>
                <c:pt idx="2">
                  <c:v>10.726000000000001</c:v>
                </c:pt>
                <c:pt idx="3">
                  <c:v>20.370999999999999</c:v>
                </c:pt>
                <c:pt idx="4">
                  <c:v>18.960999999999999</c:v>
                </c:pt>
                <c:pt idx="5">
                  <c:v>19.928999999999998</c:v>
                </c:pt>
                <c:pt idx="6">
                  <c:v>9.51</c:v>
                </c:pt>
                <c:pt idx="7">
                  <c:v>7.66</c:v>
                </c:pt>
                <c:pt idx="8">
                  <c:v>17.891999999999999</c:v>
                </c:pt>
                <c:pt idx="9">
                  <c:v>14.977</c:v>
                </c:pt>
                <c:pt idx="10">
                  <c:v>11.724</c:v>
                </c:pt>
                <c:pt idx="11">
                  <c:v>18.72</c:v>
                </c:pt>
                <c:pt idx="12">
                  <c:v>17.478000000000002</c:v>
                </c:pt>
                <c:pt idx="13">
                  <c:v>17.478000000000002</c:v>
                </c:pt>
                <c:pt idx="14">
                  <c:v>7.93</c:v>
                </c:pt>
                <c:pt idx="15">
                  <c:v>0</c:v>
                </c:pt>
                <c:pt idx="16">
                  <c:v>0</c:v>
                </c:pt>
                <c:pt idx="17">
                  <c:v>12.39</c:v>
                </c:pt>
                <c:pt idx="18">
                  <c:v>21.126000000000001</c:v>
                </c:pt>
                <c:pt idx="19">
                  <c:v>23.408999999999999</c:v>
                </c:pt>
                <c:pt idx="20">
                  <c:v>24.824000000000002</c:v>
                </c:pt>
                <c:pt idx="21">
                  <c:v>23.795999999999999</c:v>
                </c:pt>
                <c:pt idx="22">
                  <c:v>24.216000000000001</c:v>
                </c:pt>
                <c:pt idx="23">
                  <c:v>13.625999999999999</c:v>
                </c:pt>
                <c:pt idx="24">
                  <c:v>21.006</c:v>
                </c:pt>
                <c:pt idx="25">
                  <c:v>20.96</c:v>
                </c:pt>
                <c:pt idx="26">
                  <c:v>23.689</c:v>
                </c:pt>
                <c:pt idx="27">
                  <c:v>17.14</c:v>
                </c:pt>
                <c:pt idx="28">
                  <c:v>19.181999999999999</c:v>
                </c:pt>
                <c:pt idx="29">
                  <c:v>24.218</c:v>
                </c:pt>
                <c:pt idx="30">
                  <c:v>20.852</c:v>
                </c:pt>
                <c:pt idx="31">
                  <c:v>11.715</c:v>
                </c:pt>
                <c:pt idx="32">
                  <c:v>19.495999999999999</c:v>
                </c:pt>
                <c:pt idx="33">
                  <c:v>18.04</c:v>
                </c:pt>
                <c:pt idx="34">
                  <c:v>16.739999999999998</c:v>
                </c:pt>
                <c:pt idx="35">
                  <c:v>7.2389999999999999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2"/>
          <c:tx>
            <c:strRef>
              <c:f>'August 21'!$AA$4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21'!$AA$5:$AA$42</c:f>
              <c:numCache>
                <c:formatCode>#,##0.00</c:formatCode>
                <c:ptCount val="38"/>
                <c:pt idx="0">
                  <c:v>17.549999999999997</c:v>
                </c:pt>
                <c:pt idx="1">
                  <c:v>16.39</c:v>
                </c:pt>
                <c:pt idx="2">
                  <c:v>13.784000000000001</c:v>
                </c:pt>
                <c:pt idx="3">
                  <c:v>4.1390000000000029</c:v>
                </c:pt>
                <c:pt idx="4">
                  <c:v>5.9190000000000005</c:v>
                </c:pt>
                <c:pt idx="5">
                  <c:v>4.9510000000000005</c:v>
                </c:pt>
                <c:pt idx="6">
                  <c:v>13.94</c:v>
                </c:pt>
                <c:pt idx="7">
                  <c:v>14.620000000000001</c:v>
                </c:pt>
                <c:pt idx="8">
                  <c:v>4.3880000000000017</c:v>
                </c:pt>
                <c:pt idx="9">
                  <c:v>6.4130000000000003</c:v>
                </c:pt>
                <c:pt idx="10">
                  <c:v>9.6660000000000004</c:v>
                </c:pt>
                <c:pt idx="11">
                  <c:v>3.5600000000000023</c:v>
                </c:pt>
                <c:pt idx="12">
                  <c:v>2.5519999999999996</c:v>
                </c:pt>
                <c:pt idx="13">
                  <c:v>2.5519999999999996</c:v>
                </c:pt>
                <c:pt idx="14">
                  <c:v>8.2899999999999991</c:v>
                </c:pt>
                <c:pt idx="15">
                  <c:v>22.96</c:v>
                </c:pt>
                <c:pt idx="16">
                  <c:v>20.04</c:v>
                </c:pt>
                <c:pt idx="17">
                  <c:v>10.919999999999998</c:v>
                </c:pt>
                <c:pt idx="18">
                  <c:v>7.5039999999999978</c:v>
                </c:pt>
                <c:pt idx="19">
                  <c:v>7.0310000000000024</c:v>
                </c:pt>
                <c:pt idx="20">
                  <c:v>6.9559999999999995</c:v>
                </c:pt>
                <c:pt idx="21">
                  <c:v>8.5339999999999989</c:v>
                </c:pt>
                <c:pt idx="22">
                  <c:v>8.1139999999999972</c:v>
                </c:pt>
                <c:pt idx="23">
                  <c:v>18.704000000000001</c:v>
                </c:pt>
                <c:pt idx="24">
                  <c:v>11.323999999999998</c:v>
                </c:pt>
                <c:pt idx="25">
                  <c:v>11.899999999999999</c:v>
                </c:pt>
                <c:pt idx="26">
                  <c:v>9.6510000000000034</c:v>
                </c:pt>
                <c:pt idx="27">
                  <c:v>16.269999999999996</c:v>
                </c:pt>
                <c:pt idx="28">
                  <c:v>14.227999999999998</c:v>
                </c:pt>
                <c:pt idx="29">
                  <c:v>9.1919999999999966</c:v>
                </c:pt>
                <c:pt idx="30">
                  <c:v>10.137999999999998</c:v>
                </c:pt>
                <c:pt idx="31">
                  <c:v>19.905000000000001</c:v>
                </c:pt>
                <c:pt idx="32">
                  <c:v>9.674000000000003</c:v>
                </c:pt>
                <c:pt idx="33">
                  <c:v>11.030000000000001</c:v>
                </c:pt>
                <c:pt idx="34">
                  <c:v>12.330000000000002</c:v>
                </c:pt>
                <c:pt idx="35">
                  <c:v>21.831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3"/>
          <c:tx>
            <c:strRef>
              <c:f>'August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21'!$I$5:$I$42</c:f>
              <c:numCache>
                <c:formatCode>#,##0.000</c:formatCode>
                <c:ptCount val="38"/>
                <c:pt idx="0">
                  <c:v>14.404</c:v>
                </c:pt>
                <c:pt idx="1">
                  <c:v>12.17</c:v>
                </c:pt>
                <c:pt idx="2">
                  <c:v>11.295</c:v>
                </c:pt>
                <c:pt idx="3">
                  <c:v>11.131</c:v>
                </c:pt>
                <c:pt idx="4">
                  <c:v>11.978999999999999</c:v>
                </c:pt>
                <c:pt idx="5">
                  <c:v>12.510999999999999</c:v>
                </c:pt>
                <c:pt idx="6">
                  <c:v>10.414</c:v>
                </c:pt>
                <c:pt idx="7">
                  <c:v>9.7910000000000004</c:v>
                </c:pt>
                <c:pt idx="8">
                  <c:v>9.3960000000000008</c:v>
                </c:pt>
                <c:pt idx="9">
                  <c:v>7.9950000000000001</c:v>
                </c:pt>
                <c:pt idx="10">
                  <c:v>11.821999999999999</c:v>
                </c:pt>
                <c:pt idx="11">
                  <c:v>8.8789999999999996</c:v>
                </c:pt>
                <c:pt idx="12">
                  <c:v>9.3770000000000007</c:v>
                </c:pt>
                <c:pt idx="13">
                  <c:v>9.3759999999999994</c:v>
                </c:pt>
                <c:pt idx="14">
                  <c:v>6.4829999999999997</c:v>
                </c:pt>
                <c:pt idx="15">
                  <c:v>9.8179999999999996</c:v>
                </c:pt>
                <c:pt idx="16">
                  <c:v>9.7690000000000001</c:v>
                </c:pt>
                <c:pt idx="17">
                  <c:v>9.4779999999999998</c:v>
                </c:pt>
                <c:pt idx="18">
                  <c:v>11.881</c:v>
                </c:pt>
                <c:pt idx="19">
                  <c:v>14.368</c:v>
                </c:pt>
                <c:pt idx="20">
                  <c:v>12.567</c:v>
                </c:pt>
                <c:pt idx="21">
                  <c:v>12.074</c:v>
                </c:pt>
                <c:pt idx="22">
                  <c:v>11.515000000000001</c:v>
                </c:pt>
                <c:pt idx="23">
                  <c:v>11.912000000000001</c:v>
                </c:pt>
                <c:pt idx="24">
                  <c:v>9.3629999999999995</c:v>
                </c:pt>
                <c:pt idx="25">
                  <c:v>9.1579999999999995</c:v>
                </c:pt>
                <c:pt idx="26">
                  <c:v>10.804</c:v>
                </c:pt>
                <c:pt idx="27">
                  <c:v>9.218</c:v>
                </c:pt>
                <c:pt idx="28">
                  <c:v>10.52</c:v>
                </c:pt>
                <c:pt idx="29">
                  <c:v>9.0609999999999999</c:v>
                </c:pt>
                <c:pt idx="30">
                  <c:v>9.0830000000000002</c:v>
                </c:pt>
                <c:pt idx="31">
                  <c:v>11.118</c:v>
                </c:pt>
                <c:pt idx="32">
                  <c:v>12.335000000000001</c:v>
                </c:pt>
                <c:pt idx="33">
                  <c:v>12.654</c:v>
                </c:pt>
                <c:pt idx="34">
                  <c:v>12.061999999999999</c:v>
                </c:pt>
                <c:pt idx="35">
                  <c:v>11.691000000000001</c:v>
                </c:pt>
                <c:pt idx="36">
                  <c:v>0.97099999999999997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28048"/>
        <c:axId val="187225696"/>
      </c:lineChart>
      <c:dateAx>
        <c:axId val="18722804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5696"/>
        <c:crosses val="autoZero"/>
        <c:auto val="1"/>
        <c:lblOffset val="100"/>
        <c:baseTimeUnit val="days"/>
      </c:dateAx>
      <c:valAx>
        <c:axId val="18722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8048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80765235863026852"/>
          <c:h val="4.9004935247062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August 2021 Production Performance per Field</a:t>
            </a:r>
          </a:p>
        </c:rich>
      </c:tx>
      <c:layout>
        <c:manualLayout>
          <c:xMode val="edge"/>
          <c:yMode val="edge"/>
          <c:x val="0.29006952202004493"/>
          <c:y val="1.96744561070076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5"/>
          <c:order val="0"/>
          <c:tx>
            <c:strRef>
              <c:f>'August 21'!$G$4</c:f>
              <c:strCache>
                <c:ptCount val="1"/>
                <c:pt idx="0">
                  <c:v>August 2021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chemeClr val="accent5"/>
              </a:solidFill>
              <a:ln w="9525">
                <a:solidFill>
                  <a:schemeClr val="accent5">
                    <a:alpha val="98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21'!$G$5:$G$42</c:f>
              <c:numCache>
                <c:formatCode>#,##0.000</c:formatCode>
                <c:ptCount val="38"/>
                <c:pt idx="0">
                  <c:v>49.442</c:v>
                </c:pt>
                <c:pt idx="1">
                  <c:v>49.442</c:v>
                </c:pt>
                <c:pt idx="2">
                  <c:v>49.442</c:v>
                </c:pt>
                <c:pt idx="3">
                  <c:v>49.442</c:v>
                </c:pt>
                <c:pt idx="4">
                  <c:v>49.442</c:v>
                </c:pt>
                <c:pt idx="5">
                  <c:v>49.442</c:v>
                </c:pt>
                <c:pt idx="6">
                  <c:v>49.442</c:v>
                </c:pt>
                <c:pt idx="7">
                  <c:v>49.442</c:v>
                </c:pt>
                <c:pt idx="8">
                  <c:v>49.442</c:v>
                </c:pt>
                <c:pt idx="9">
                  <c:v>49.442</c:v>
                </c:pt>
                <c:pt idx="10">
                  <c:v>49.442</c:v>
                </c:pt>
                <c:pt idx="11">
                  <c:v>49.442</c:v>
                </c:pt>
                <c:pt idx="12">
                  <c:v>49.442</c:v>
                </c:pt>
                <c:pt idx="13">
                  <c:v>49.442</c:v>
                </c:pt>
                <c:pt idx="14">
                  <c:v>49.442</c:v>
                </c:pt>
                <c:pt idx="15">
                  <c:v>49.442</c:v>
                </c:pt>
                <c:pt idx="16">
                  <c:v>49.442</c:v>
                </c:pt>
                <c:pt idx="17">
                  <c:v>49.442</c:v>
                </c:pt>
                <c:pt idx="18">
                  <c:v>49.442</c:v>
                </c:pt>
                <c:pt idx="19">
                  <c:v>49.442</c:v>
                </c:pt>
                <c:pt idx="20">
                  <c:v>49.442</c:v>
                </c:pt>
                <c:pt idx="21">
                  <c:v>49.442</c:v>
                </c:pt>
                <c:pt idx="22">
                  <c:v>49.442</c:v>
                </c:pt>
                <c:pt idx="23">
                  <c:v>49.442</c:v>
                </c:pt>
                <c:pt idx="24">
                  <c:v>49.442</c:v>
                </c:pt>
                <c:pt idx="25">
                  <c:v>49.442</c:v>
                </c:pt>
                <c:pt idx="26">
                  <c:v>49.442</c:v>
                </c:pt>
                <c:pt idx="27">
                  <c:v>49.442</c:v>
                </c:pt>
                <c:pt idx="28">
                  <c:v>49.442</c:v>
                </c:pt>
                <c:pt idx="29">
                  <c:v>49.442</c:v>
                </c:pt>
                <c:pt idx="30">
                  <c:v>49.442</c:v>
                </c:pt>
                <c:pt idx="31">
                  <c:v>49.442</c:v>
                </c:pt>
                <c:pt idx="32">
                  <c:v>49.442</c:v>
                </c:pt>
                <c:pt idx="33">
                  <c:v>49.442</c:v>
                </c:pt>
                <c:pt idx="34">
                  <c:v>49.442</c:v>
                </c:pt>
                <c:pt idx="35">
                  <c:v>49.442</c:v>
                </c:pt>
                <c:pt idx="36">
                  <c:v>49.442</c:v>
                </c:pt>
                <c:pt idx="37">
                  <c:v>49.442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0-4B41-A7BA-4786E6CF945F}"/>
            </c:ext>
          </c:extLst>
        </c:ser>
        <c:ser>
          <c:idx val="4"/>
          <c:order val="1"/>
          <c:tx>
            <c:strRef>
              <c:f>'August 21'!$L$4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tar"/>
            <c:size val="8"/>
            <c:spPr>
              <a:noFill/>
              <a:ln w="19050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21'!$L$5:$L$42</c:f>
              <c:numCache>
                <c:formatCode>#,##0.000</c:formatCode>
                <c:ptCount val="38"/>
                <c:pt idx="0">
                  <c:v>36.650999999999996</c:v>
                </c:pt>
                <c:pt idx="1">
                  <c:v>34.863</c:v>
                </c:pt>
                <c:pt idx="2">
                  <c:v>33.997</c:v>
                </c:pt>
                <c:pt idx="3">
                  <c:v>34.767000000000003</c:v>
                </c:pt>
                <c:pt idx="4">
                  <c:v>35.153999999999996</c:v>
                </c:pt>
                <c:pt idx="5">
                  <c:v>35.812999999999995</c:v>
                </c:pt>
                <c:pt idx="6">
                  <c:v>33.753</c:v>
                </c:pt>
                <c:pt idx="7">
                  <c:v>15.834</c:v>
                </c:pt>
                <c:pt idx="8">
                  <c:v>11.097000000000001</c:v>
                </c:pt>
                <c:pt idx="9">
                  <c:v>8.48</c:v>
                </c:pt>
                <c:pt idx="10">
                  <c:v>11.821999999999999</c:v>
                </c:pt>
                <c:pt idx="11">
                  <c:v>8.8789999999999996</c:v>
                </c:pt>
                <c:pt idx="12">
                  <c:v>9.3770000000000007</c:v>
                </c:pt>
                <c:pt idx="13">
                  <c:v>9.3759999999999994</c:v>
                </c:pt>
                <c:pt idx="14">
                  <c:v>7.9529999999999994</c:v>
                </c:pt>
                <c:pt idx="15">
                  <c:v>11.302</c:v>
                </c:pt>
                <c:pt idx="16">
                  <c:v>11.260999999999999</c:v>
                </c:pt>
                <c:pt idx="17">
                  <c:v>12.055</c:v>
                </c:pt>
                <c:pt idx="18">
                  <c:v>16.352</c:v>
                </c:pt>
                <c:pt idx="19">
                  <c:v>18.134</c:v>
                </c:pt>
                <c:pt idx="20">
                  <c:v>16.47</c:v>
                </c:pt>
                <c:pt idx="21">
                  <c:v>20.071999999999999</c:v>
                </c:pt>
                <c:pt idx="22">
                  <c:v>27.013000000000002</c:v>
                </c:pt>
                <c:pt idx="23">
                  <c:v>35.727000000000004</c:v>
                </c:pt>
                <c:pt idx="24">
                  <c:v>33.247</c:v>
                </c:pt>
                <c:pt idx="25">
                  <c:v>31.184000000000001</c:v>
                </c:pt>
                <c:pt idx="26">
                  <c:v>33.454999999999998</c:v>
                </c:pt>
                <c:pt idx="27">
                  <c:v>31.004000000000001</c:v>
                </c:pt>
                <c:pt idx="28">
                  <c:v>28.992000000000001</c:v>
                </c:pt>
                <c:pt idx="29">
                  <c:v>25.564</c:v>
                </c:pt>
                <c:pt idx="30">
                  <c:v>24.402999999999999</c:v>
                </c:pt>
                <c:pt idx="31">
                  <c:v>30.464000000000002</c:v>
                </c:pt>
                <c:pt idx="32">
                  <c:v>32.662999999999997</c:v>
                </c:pt>
                <c:pt idx="33">
                  <c:v>34.767000000000003</c:v>
                </c:pt>
                <c:pt idx="34">
                  <c:v>34.094000000000001</c:v>
                </c:pt>
                <c:pt idx="35">
                  <c:v>33.125000000000007</c:v>
                </c:pt>
                <c:pt idx="36">
                  <c:v>2.8460000000000001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0-4B41-A7BA-4786E6CF945F}"/>
            </c:ext>
          </c:extLst>
        </c:ser>
        <c:ser>
          <c:idx val="1"/>
          <c:order val="2"/>
          <c:tx>
            <c:strRef>
              <c:f>'August 21'!$H$4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21'!$H$5:$H$42</c:f>
              <c:numCache>
                <c:formatCode>#,##0.000</c:formatCode>
                <c:ptCount val="38"/>
                <c:pt idx="0">
                  <c:v>17.625</c:v>
                </c:pt>
                <c:pt idx="1">
                  <c:v>18.175000000000001</c:v>
                </c:pt>
                <c:pt idx="2">
                  <c:v>18.164999999999999</c:v>
                </c:pt>
                <c:pt idx="3">
                  <c:v>19.103000000000002</c:v>
                </c:pt>
                <c:pt idx="4">
                  <c:v>18.597999999999999</c:v>
                </c:pt>
                <c:pt idx="5">
                  <c:v>19.065999999999999</c:v>
                </c:pt>
                <c:pt idx="6">
                  <c:v>18.837</c:v>
                </c:pt>
                <c:pt idx="7">
                  <c:v>4.3159999999999998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1.47</c:v>
                </c:pt>
                <c:pt idx="15">
                  <c:v>1.484</c:v>
                </c:pt>
                <c:pt idx="16">
                  <c:v>1.492</c:v>
                </c:pt>
                <c:pt idx="17">
                  <c:v>2.577</c:v>
                </c:pt>
                <c:pt idx="18">
                  <c:v>4.4710000000000001</c:v>
                </c:pt>
                <c:pt idx="19">
                  <c:v>3.766</c:v>
                </c:pt>
                <c:pt idx="20">
                  <c:v>3.903</c:v>
                </c:pt>
                <c:pt idx="21">
                  <c:v>6.14</c:v>
                </c:pt>
                <c:pt idx="22">
                  <c:v>12.417</c:v>
                </c:pt>
                <c:pt idx="23">
                  <c:v>20.559000000000001</c:v>
                </c:pt>
                <c:pt idx="24">
                  <c:v>20.57</c:v>
                </c:pt>
                <c:pt idx="25">
                  <c:v>18.649000000000001</c:v>
                </c:pt>
                <c:pt idx="26">
                  <c:v>19.286999999999999</c:v>
                </c:pt>
                <c:pt idx="27">
                  <c:v>18.39</c:v>
                </c:pt>
                <c:pt idx="28">
                  <c:v>17.707000000000001</c:v>
                </c:pt>
                <c:pt idx="29">
                  <c:v>16.503</c:v>
                </c:pt>
                <c:pt idx="30">
                  <c:v>15.32</c:v>
                </c:pt>
                <c:pt idx="31">
                  <c:v>17.64</c:v>
                </c:pt>
                <c:pt idx="32">
                  <c:v>16.927</c:v>
                </c:pt>
                <c:pt idx="33">
                  <c:v>18.664000000000001</c:v>
                </c:pt>
                <c:pt idx="34">
                  <c:v>18.562000000000001</c:v>
                </c:pt>
                <c:pt idx="35">
                  <c:v>17.914000000000001</c:v>
                </c:pt>
                <c:pt idx="36">
                  <c:v>1.512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3"/>
          <c:tx>
            <c:strRef>
              <c:f>'August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x"/>
            <c:size val="8"/>
            <c:spPr>
              <a:noFill/>
              <a:ln w="222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21'!$I$5:$I$42</c:f>
              <c:numCache>
                <c:formatCode>#,##0.000</c:formatCode>
                <c:ptCount val="38"/>
                <c:pt idx="0">
                  <c:v>14.404</c:v>
                </c:pt>
                <c:pt idx="1">
                  <c:v>12.17</c:v>
                </c:pt>
                <c:pt idx="2">
                  <c:v>11.295</c:v>
                </c:pt>
                <c:pt idx="3">
                  <c:v>11.131</c:v>
                </c:pt>
                <c:pt idx="4">
                  <c:v>11.978999999999999</c:v>
                </c:pt>
                <c:pt idx="5">
                  <c:v>12.510999999999999</c:v>
                </c:pt>
                <c:pt idx="6">
                  <c:v>10.414</c:v>
                </c:pt>
                <c:pt idx="7">
                  <c:v>9.7910000000000004</c:v>
                </c:pt>
                <c:pt idx="8">
                  <c:v>9.3960000000000008</c:v>
                </c:pt>
                <c:pt idx="9">
                  <c:v>7.9950000000000001</c:v>
                </c:pt>
                <c:pt idx="10">
                  <c:v>11.821999999999999</c:v>
                </c:pt>
                <c:pt idx="11">
                  <c:v>8.8789999999999996</c:v>
                </c:pt>
                <c:pt idx="12">
                  <c:v>9.3770000000000007</c:v>
                </c:pt>
                <c:pt idx="13">
                  <c:v>9.3759999999999994</c:v>
                </c:pt>
                <c:pt idx="14">
                  <c:v>6.4829999999999997</c:v>
                </c:pt>
                <c:pt idx="15">
                  <c:v>9.8179999999999996</c:v>
                </c:pt>
                <c:pt idx="16">
                  <c:v>9.7690000000000001</c:v>
                </c:pt>
                <c:pt idx="17">
                  <c:v>9.4779999999999998</c:v>
                </c:pt>
                <c:pt idx="18">
                  <c:v>11.881</c:v>
                </c:pt>
                <c:pt idx="19">
                  <c:v>14.368</c:v>
                </c:pt>
                <c:pt idx="20">
                  <c:v>12.567</c:v>
                </c:pt>
                <c:pt idx="21">
                  <c:v>12.074</c:v>
                </c:pt>
                <c:pt idx="22">
                  <c:v>11.515000000000001</c:v>
                </c:pt>
                <c:pt idx="23">
                  <c:v>11.912000000000001</c:v>
                </c:pt>
                <c:pt idx="24">
                  <c:v>9.3629999999999995</c:v>
                </c:pt>
                <c:pt idx="25">
                  <c:v>9.1579999999999995</c:v>
                </c:pt>
                <c:pt idx="26">
                  <c:v>10.804</c:v>
                </c:pt>
                <c:pt idx="27">
                  <c:v>9.218</c:v>
                </c:pt>
                <c:pt idx="28">
                  <c:v>10.52</c:v>
                </c:pt>
                <c:pt idx="29">
                  <c:v>9.0609999999999999</c:v>
                </c:pt>
                <c:pt idx="30">
                  <c:v>9.0830000000000002</c:v>
                </c:pt>
                <c:pt idx="31">
                  <c:v>11.118</c:v>
                </c:pt>
                <c:pt idx="32">
                  <c:v>12.335000000000001</c:v>
                </c:pt>
                <c:pt idx="33">
                  <c:v>12.654</c:v>
                </c:pt>
                <c:pt idx="34">
                  <c:v>12.061999999999999</c:v>
                </c:pt>
                <c:pt idx="35">
                  <c:v>11.691000000000001</c:v>
                </c:pt>
                <c:pt idx="36">
                  <c:v>0.97099999999999997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4"/>
          <c:tx>
            <c:strRef>
              <c:f>'August 21'!$J$4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8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21'!$J$5:$J$42</c:f>
              <c:numCache>
                <c:formatCode>#,##0.000</c:formatCode>
                <c:ptCount val="38"/>
                <c:pt idx="0">
                  <c:v>1.8180000000000001</c:v>
                </c:pt>
                <c:pt idx="1">
                  <c:v>1.722</c:v>
                </c:pt>
                <c:pt idx="2">
                  <c:v>1.7210000000000001</c:v>
                </c:pt>
                <c:pt idx="3">
                  <c:v>1.732</c:v>
                </c:pt>
                <c:pt idx="4">
                  <c:v>1.7190000000000001</c:v>
                </c:pt>
                <c:pt idx="5">
                  <c:v>1.4359999999999999</c:v>
                </c:pt>
                <c:pt idx="6">
                  <c:v>2.996</c:v>
                </c:pt>
                <c:pt idx="7">
                  <c:v>1.7270000000000001</c:v>
                </c:pt>
                <c:pt idx="8">
                  <c:v>1.7010000000000001</c:v>
                </c:pt>
                <c:pt idx="9">
                  <c:v>0.48499999999999999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5"/>
          <c:tx>
            <c:strRef>
              <c:f>'August 21'!$K$4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'August 21'!$B$5:$B$42</c:f>
              <c:numCache>
                <c:formatCode>d\-mmm\-yy</c:formatCode>
                <c:ptCount val="38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</c:numCache>
            </c:numRef>
          </c:cat>
          <c:val>
            <c:numRef>
              <c:f>'August 21'!$K$5:$K$42</c:f>
              <c:numCache>
                <c:formatCode>#,##0.000</c:formatCode>
                <c:ptCount val="38"/>
                <c:pt idx="0">
                  <c:v>2.8039999999999998</c:v>
                </c:pt>
                <c:pt idx="1">
                  <c:v>2.7959999999999998</c:v>
                </c:pt>
                <c:pt idx="2">
                  <c:v>2.8159999999999998</c:v>
                </c:pt>
                <c:pt idx="3">
                  <c:v>2.8010000000000002</c:v>
                </c:pt>
                <c:pt idx="4">
                  <c:v>2.8580000000000001</c:v>
                </c:pt>
                <c:pt idx="5">
                  <c:v>2.8</c:v>
                </c:pt>
                <c:pt idx="6">
                  <c:v>1.506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1.8580000000000001</c:v>
                </c:pt>
                <c:pt idx="22">
                  <c:v>3.081</c:v>
                </c:pt>
                <c:pt idx="23">
                  <c:v>3.2559999999999998</c:v>
                </c:pt>
                <c:pt idx="24">
                  <c:v>3.3140000000000001</c:v>
                </c:pt>
                <c:pt idx="25">
                  <c:v>3.3769999999999998</c:v>
                </c:pt>
                <c:pt idx="26">
                  <c:v>3.3639999999999999</c:v>
                </c:pt>
                <c:pt idx="27">
                  <c:v>3.3959999999999999</c:v>
                </c:pt>
                <c:pt idx="28">
                  <c:v>0.76500000000000001</c:v>
                </c:pt>
                <c:pt idx="29">
                  <c:v>0</c:v>
                </c:pt>
                <c:pt idx="30">
                  <c:v>0</c:v>
                </c:pt>
                <c:pt idx="31">
                  <c:v>1.706</c:v>
                </c:pt>
                <c:pt idx="32">
                  <c:v>3.4009999999999998</c:v>
                </c:pt>
                <c:pt idx="33">
                  <c:v>3.4489999999999998</c:v>
                </c:pt>
                <c:pt idx="34">
                  <c:v>3.47</c:v>
                </c:pt>
                <c:pt idx="35">
                  <c:v>3.52</c:v>
                </c:pt>
                <c:pt idx="36">
                  <c:v>0.36299999999999999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26088"/>
        <c:axId val="187226872"/>
      </c:lineChart>
      <c:dateAx>
        <c:axId val="18722608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6872"/>
        <c:crosses val="autoZero"/>
        <c:auto val="1"/>
        <c:lblOffset val="100"/>
        <c:baseTimeUnit val="days"/>
      </c:dateAx>
      <c:valAx>
        <c:axId val="18722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72260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7464538828"/>
          <c:h val="4.0721642435078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145845347349"/>
          <c:y val="8.7067563456482755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'Sept 21'!$AK$5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BD-4120-8BAF-A445336B1A0A}"/>
                </c:ext>
              </c:extLst>
            </c:dLbl>
            <c:dLbl>
              <c:idx val="1"/>
              <c:layout>
                <c:manualLayout>
                  <c:x val="0"/>
                  <c:y val="5.962655291716662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BD-4120-8BAF-A445336B1A0A}"/>
                </c:ext>
              </c:extLst>
            </c:dLbl>
            <c:dLbl>
              <c:idx val="4"/>
              <c:layout>
                <c:manualLayout>
                  <c:x val="2.3783785808366528E-2"/>
                  <c:y val="2.94108065956165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BD-4120-8BAF-A445336B1A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'Sept 21'!$AK$6:$AK$11</c:f>
              <c:numCache>
                <c:formatCode>#,##0.00</c:formatCode>
                <c:ptCount val="6"/>
                <c:pt idx="0">
                  <c:v>21.64</c:v>
                </c:pt>
                <c:pt idx="1">
                  <c:v>15.14</c:v>
                </c:pt>
                <c:pt idx="2">
                  <c:v>8.9</c:v>
                </c:pt>
                <c:pt idx="3">
                  <c:v>3.77</c:v>
                </c:pt>
                <c:pt idx="4">
                  <c:v>49.45</c:v>
                </c:pt>
                <c:pt idx="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'Sept 21'!$AL$5</c:f>
              <c:strCache>
                <c:ptCount val="1"/>
                <c:pt idx="0">
                  <c:v>18-Sep-2021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27533924283653E-3"/>
                  <c:y val="-3.978934104707991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BD-4120-8BAF-A445336B1A0A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BD-4120-8BAF-A445336B1A0A}"/>
                </c:ext>
              </c:extLst>
            </c:dLbl>
            <c:dLbl>
              <c:idx val="2"/>
              <c:layout>
                <c:manualLayout>
                  <c:x val="0"/>
                  <c:y val="-5.882162227255397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BD-4120-8BAF-A445336B1A0A}"/>
                </c:ext>
              </c:extLst>
            </c:dLbl>
            <c:dLbl>
              <c:idx val="4"/>
              <c:layout>
                <c:manualLayout>
                  <c:x val="0"/>
                  <c:y val="-5.939671830336124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BD-4120-8BAF-A445336B1A0A}"/>
                </c:ext>
              </c:extLst>
            </c:dLbl>
            <c:dLbl>
              <c:idx val="5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BD-4120-8BAF-A445336B1A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'Sept 21'!$AL$6:$AL$11</c:f>
              <c:numCache>
                <c:formatCode>#,##0.00</c:formatCode>
                <c:ptCount val="6"/>
                <c:pt idx="0">
                  <c:v>22.193000000000001</c:v>
                </c:pt>
                <c:pt idx="1">
                  <c:v>12.09</c:v>
                </c:pt>
                <c:pt idx="2">
                  <c:v>0</c:v>
                </c:pt>
                <c:pt idx="3">
                  <c:v>3.53</c:v>
                </c:pt>
                <c:pt idx="4">
                  <c:v>37.813000000000002</c:v>
                </c:pt>
                <c:pt idx="5">
                  <c:v>17.518999999999998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'Sept 21'!$AM$5</c:f>
              <c:strCache>
                <c:ptCount val="1"/>
                <c:pt idx="0">
                  <c:v>19-Sep-2021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5.939671830336087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DBD-4120-8BAF-A445336B1A0A}"/>
                </c:ext>
              </c:extLst>
            </c:dLbl>
            <c:dLbl>
              <c:idx val="1"/>
              <c:layout>
                <c:manualLayout>
                  <c:x val="-3.9700499098820024E-17"/>
                  <c:y val="-2.75882289270777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DBD-4120-8BAF-A445336B1A0A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DBD-4120-8BAF-A445336B1A0A}"/>
                </c:ext>
              </c:extLst>
            </c:dLbl>
            <c:dLbl>
              <c:idx val="4"/>
              <c:layout>
                <c:manualLayout>
                  <c:x val="-1.5855674039478165E-16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DBD-4120-8BAF-A445336B1A0A}"/>
                </c:ext>
              </c:extLst>
            </c:dLbl>
            <c:dLbl>
              <c:idx val="5"/>
              <c:layout>
                <c:manualLayout>
                  <c:x val="0"/>
                  <c:y val="-7.84288175883107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DBD-4120-8BAF-A445336B1A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'Sept 21'!$AM$6:$AM$11</c:f>
              <c:numCache>
                <c:formatCode>#,##0.00</c:formatCode>
                <c:ptCount val="6"/>
                <c:pt idx="0">
                  <c:v>20.298999999999999</c:v>
                </c:pt>
                <c:pt idx="1">
                  <c:v>12.28</c:v>
                </c:pt>
                <c:pt idx="2">
                  <c:v>0</c:v>
                </c:pt>
                <c:pt idx="3">
                  <c:v>3.5270000000000001</c:v>
                </c:pt>
                <c:pt idx="4">
                  <c:v>36.106000000000002</c:v>
                </c:pt>
                <c:pt idx="5">
                  <c:v>19.260000000000002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'Sept 21'!$AN$5</c:f>
              <c:strCache>
                <c:ptCount val="1"/>
                <c:pt idx="0">
                  <c:v>20-Sep-2021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819592549347706E-17"/>
                  <c:y val="1.96072043970769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DBD-4120-8BAF-A445336B1A0A}"/>
                </c:ext>
              </c:extLst>
            </c:dLbl>
            <c:dLbl>
              <c:idx val="1"/>
              <c:layout>
                <c:manualLayout>
                  <c:x val="0"/>
                  <c:y val="-3.155567130109530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DBD-4120-8BAF-A445336B1A0A}"/>
                </c:ext>
              </c:extLst>
            </c:dLbl>
            <c:dLbl>
              <c:idx val="4"/>
              <c:layout>
                <c:manualLayout>
                  <c:x val="0"/>
                  <c:y val="-9.895622473663396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DBD-4120-8BAF-A445336B1A0A}"/>
                </c:ext>
              </c:extLst>
            </c:dLbl>
            <c:dLbl>
              <c:idx val="5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DBD-4120-8BAF-A445336B1A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'Sept 21'!$AN$6:$AN$11</c:f>
              <c:numCache>
                <c:formatCode>#,##0.00</c:formatCode>
                <c:ptCount val="6"/>
                <c:pt idx="0">
                  <c:v>21.715</c:v>
                </c:pt>
                <c:pt idx="1">
                  <c:v>13.157</c:v>
                </c:pt>
                <c:pt idx="2">
                  <c:v>0</c:v>
                </c:pt>
                <c:pt idx="3">
                  <c:v>1.419</c:v>
                </c:pt>
                <c:pt idx="4">
                  <c:v>36.290999999999997</c:v>
                </c:pt>
                <c:pt idx="5">
                  <c:v>18.501999999999999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9A-4091-8B77-2C78E504CA04}"/>
            </c:ext>
          </c:extLst>
        </c:ser>
        <c:ser>
          <c:idx val="4"/>
          <c:order val="4"/>
          <c:tx>
            <c:strRef>
              <c:f>'Sept 21'!$AO$5</c:f>
              <c:strCache>
                <c:ptCount val="1"/>
                <c:pt idx="0">
                  <c:v>21-Sep-2021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9700499098820024E-17"/>
                  <c:y val="-2.162541834170288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DBD-4120-8BAF-A445336B1A0A}"/>
                </c:ext>
              </c:extLst>
            </c:dLbl>
            <c:dLbl>
              <c:idx val="1"/>
              <c:layout>
                <c:manualLayout>
                  <c:x val="-3.9700499098820024E-17"/>
                  <c:y val="-1.18103932765300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DBD-4120-8BAF-A445336B1A0A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DBD-4120-8BAF-A445336B1A0A}"/>
                </c:ext>
              </c:extLst>
            </c:dLbl>
            <c:dLbl>
              <c:idx val="4"/>
              <c:layout>
                <c:manualLayout>
                  <c:x val="-1.081081173107728E-3"/>
                  <c:y val="7.84288175883107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DBD-4120-8BAF-A445336B1A0A}"/>
                </c:ext>
              </c:extLst>
            </c:dLbl>
            <c:dLbl>
              <c:idx val="5"/>
              <c:layout>
                <c:manualLayout>
                  <c:x val="-1.588019963952801E-16"/>
                  <c:y val="-1.18678519299818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DBD-4120-8BAF-A445336B1A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'Sept 21'!$AO$6:$AO$11</c:f>
              <c:numCache>
                <c:formatCode>#,##0.00</c:formatCode>
                <c:ptCount val="6"/>
                <c:pt idx="0">
                  <c:v>21.026</c:v>
                </c:pt>
                <c:pt idx="1">
                  <c:v>13.063000000000001</c:v>
                </c:pt>
                <c:pt idx="2">
                  <c:v>0</c:v>
                </c:pt>
                <c:pt idx="3">
                  <c:v>1.359</c:v>
                </c:pt>
                <c:pt idx="4">
                  <c:v>35.448</c:v>
                </c:pt>
                <c:pt idx="5">
                  <c:v>18.696999999999999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9A-4091-8B77-2C78E504CA04}"/>
            </c:ext>
          </c:extLst>
        </c:ser>
        <c:ser>
          <c:idx val="5"/>
          <c:order val="5"/>
          <c:tx>
            <c:strRef>
              <c:f>'Sept 21'!$AP$5</c:f>
              <c:strCache>
                <c:ptCount val="1"/>
                <c:pt idx="0">
                  <c:v>22-Sep-2021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2.052826864808950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DBD-4120-8BAF-A445336B1A0A}"/>
                </c:ext>
              </c:extLst>
            </c:dLbl>
            <c:dLbl>
              <c:idx val="1"/>
              <c:layout>
                <c:manualLayout>
                  <c:x val="0"/>
                  <c:y val="4.03654805181776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DBD-4120-8BAF-A445336B1A0A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DBD-4120-8BAF-A445336B1A0A}"/>
                </c:ext>
              </c:extLst>
            </c:dLbl>
            <c:dLbl>
              <c:idx val="4"/>
              <c:layout>
                <c:manualLayout>
                  <c:x val="0"/>
                  <c:y val="-5.962655291716843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DBD-4120-8BAF-A445336B1A0A}"/>
                </c:ext>
              </c:extLst>
            </c:dLbl>
            <c:dLbl>
              <c:idx val="5"/>
              <c:layout>
                <c:manualLayout>
                  <c:x val="-1.588019963952801E-16"/>
                  <c:y val="-1.58238025733090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3DBD-4120-8BAF-A445336B1A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'Sept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'Sept 21'!$AP$6:$AP$11</c:f>
              <c:numCache>
                <c:formatCode>#,##0.00</c:formatCode>
                <c:ptCount val="6"/>
                <c:pt idx="0">
                  <c:v>20.841000000000001</c:v>
                </c:pt>
                <c:pt idx="1">
                  <c:v>13.172000000000001</c:v>
                </c:pt>
                <c:pt idx="2">
                  <c:v>0</c:v>
                </c:pt>
                <c:pt idx="3">
                  <c:v>1.359</c:v>
                </c:pt>
                <c:pt idx="4">
                  <c:v>35.372000000000007</c:v>
                </c:pt>
                <c:pt idx="5">
                  <c:v>19.832000000000001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9A-4091-8B77-2C78E504C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85592768"/>
        <c:axId val="185593160"/>
      </c:barChart>
      <c:catAx>
        <c:axId val="1855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93160"/>
        <c:crosses val="autoZero"/>
        <c:auto val="1"/>
        <c:lblAlgn val="ctr"/>
        <c:lblOffset val="100"/>
        <c:noMultiLvlLbl val="0"/>
      </c:catAx>
      <c:valAx>
        <c:axId val="185593160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5118366896647533E-2"/>
              <c:y val="0.33807827752998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276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September 2021</a:t>
            </a:r>
          </a:p>
        </c:rich>
      </c:tx>
      <c:layout>
        <c:manualLayout>
          <c:xMode val="edge"/>
          <c:yMode val="edge"/>
          <c:x val="0.13991542420841868"/>
          <c:y val="2.41555573648700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1"/>
          <c:order val="0"/>
          <c:tx>
            <c:strRef>
              <c:f>'Sept 21'!$S$4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7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21'!$S$5:$S$42</c:f>
              <c:numCache>
                <c:formatCode>#,##0.00</c:formatCode>
                <c:ptCount val="38"/>
                <c:pt idx="0">
                  <c:v>31.62</c:v>
                </c:pt>
                <c:pt idx="1">
                  <c:v>29.17</c:v>
                </c:pt>
                <c:pt idx="2">
                  <c:v>29.07</c:v>
                </c:pt>
                <c:pt idx="3">
                  <c:v>29.07</c:v>
                </c:pt>
                <c:pt idx="4">
                  <c:v>29.07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21.19</c:v>
                </c:pt>
                <c:pt idx="9">
                  <c:v>25.84</c:v>
                </c:pt>
                <c:pt idx="10">
                  <c:v>25.84</c:v>
                </c:pt>
                <c:pt idx="11">
                  <c:v>24.27</c:v>
                </c:pt>
                <c:pt idx="12">
                  <c:v>25.84</c:v>
                </c:pt>
                <c:pt idx="13">
                  <c:v>25.84</c:v>
                </c:pt>
                <c:pt idx="14">
                  <c:v>28.99</c:v>
                </c:pt>
                <c:pt idx="15">
                  <c:v>31.29</c:v>
                </c:pt>
                <c:pt idx="16">
                  <c:v>32.020000000000003</c:v>
                </c:pt>
                <c:pt idx="17">
                  <c:v>32.71</c:v>
                </c:pt>
                <c:pt idx="18">
                  <c:v>33.08</c:v>
                </c:pt>
                <c:pt idx="19">
                  <c:v>33.79</c:v>
                </c:pt>
                <c:pt idx="20">
                  <c:v>34.15</c:v>
                </c:pt>
                <c:pt idx="21">
                  <c:v>34.15</c:v>
                </c:pt>
                <c:pt idx="22">
                  <c:v>34.15</c:v>
                </c:pt>
                <c:pt idx="23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1"/>
          <c:tx>
            <c:strRef>
              <c:f>'Sept 21'!$M$4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1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21'!$M$5:$M$42</c:f>
              <c:numCache>
                <c:formatCode>#,##0.00</c:formatCode>
                <c:ptCount val="38"/>
                <c:pt idx="0">
                  <c:v>11.715</c:v>
                </c:pt>
                <c:pt idx="1">
                  <c:v>19.495999999999999</c:v>
                </c:pt>
                <c:pt idx="2">
                  <c:v>18.04</c:v>
                </c:pt>
                <c:pt idx="3">
                  <c:v>16.739999999999998</c:v>
                </c:pt>
                <c:pt idx="4">
                  <c:v>7.2389999999999999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5.87</c:v>
                </c:pt>
                <c:pt idx="9">
                  <c:v>19.509</c:v>
                </c:pt>
                <c:pt idx="10">
                  <c:v>19.347000000000001</c:v>
                </c:pt>
                <c:pt idx="11">
                  <c:v>11.757999999999999</c:v>
                </c:pt>
                <c:pt idx="12">
                  <c:v>18.25</c:v>
                </c:pt>
                <c:pt idx="13">
                  <c:v>20.986000000000001</c:v>
                </c:pt>
                <c:pt idx="14">
                  <c:v>19.71</c:v>
                </c:pt>
                <c:pt idx="15">
                  <c:v>18.475999999999999</c:v>
                </c:pt>
                <c:pt idx="16">
                  <c:v>19.117999999999999</c:v>
                </c:pt>
                <c:pt idx="17">
                  <c:v>17.518999999999998</c:v>
                </c:pt>
                <c:pt idx="18">
                  <c:v>19.260000000000002</c:v>
                </c:pt>
                <c:pt idx="19">
                  <c:v>18.501999999999999</c:v>
                </c:pt>
                <c:pt idx="20">
                  <c:v>18.696999999999999</c:v>
                </c:pt>
                <c:pt idx="21">
                  <c:v>19.832000000000001</c:v>
                </c:pt>
                <c:pt idx="22">
                  <c:v>19.975000000000001</c:v>
                </c:pt>
                <c:pt idx="23">
                  <c:v>19.658999999999999</c:v>
                </c:pt>
                <c:pt idx="24">
                  <c:v>8.39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15.256</c:v>
                </c:pt>
                <c:pt idx="34">
                  <c:v>19.277999999999999</c:v>
                </c:pt>
                <c:pt idx="35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2"/>
          <c:tx>
            <c:strRef>
              <c:f>'Sept 21'!$AA$4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21'!$AA$5:$AA$42</c:f>
              <c:numCache>
                <c:formatCode>#,##0.00</c:formatCode>
                <c:ptCount val="38"/>
                <c:pt idx="0">
                  <c:v>19.905000000000001</c:v>
                </c:pt>
                <c:pt idx="1">
                  <c:v>9.674000000000003</c:v>
                </c:pt>
                <c:pt idx="2">
                  <c:v>11.030000000000001</c:v>
                </c:pt>
                <c:pt idx="3">
                  <c:v>12.330000000000002</c:v>
                </c:pt>
                <c:pt idx="4">
                  <c:v>21.831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15.32</c:v>
                </c:pt>
                <c:pt idx="9">
                  <c:v>6.3309999999999995</c:v>
                </c:pt>
                <c:pt idx="10">
                  <c:v>6.4929999999999986</c:v>
                </c:pt>
                <c:pt idx="11">
                  <c:v>12.512</c:v>
                </c:pt>
                <c:pt idx="12">
                  <c:v>7.59</c:v>
                </c:pt>
                <c:pt idx="13">
                  <c:v>4.8539999999999992</c:v>
                </c:pt>
                <c:pt idx="14">
                  <c:v>9.2799999999999976</c:v>
                </c:pt>
                <c:pt idx="15">
                  <c:v>12.814</c:v>
                </c:pt>
                <c:pt idx="16">
                  <c:v>12.902000000000005</c:v>
                </c:pt>
                <c:pt idx="17">
                  <c:v>15.191000000000003</c:v>
                </c:pt>
                <c:pt idx="18">
                  <c:v>13.819999999999997</c:v>
                </c:pt>
                <c:pt idx="19">
                  <c:v>15.288</c:v>
                </c:pt>
                <c:pt idx="20">
                  <c:v>15.452999999999999</c:v>
                </c:pt>
                <c:pt idx="21">
                  <c:v>14.317999999999998</c:v>
                </c:pt>
                <c:pt idx="22">
                  <c:v>14.174999999999997</c:v>
                </c:pt>
                <c:pt idx="23">
                  <c:v>14.491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3"/>
          <c:tx>
            <c:strRef>
              <c:f>'Sept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21'!$I$5:$I$42</c:f>
              <c:numCache>
                <c:formatCode>#,##0.000</c:formatCode>
                <c:ptCount val="38"/>
                <c:pt idx="0">
                  <c:v>11.118</c:v>
                </c:pt>
                <c:pt idx="1">
                  <c:v>12.335000000000001</c:v>
                </c:pt>
                <c:pt idx="2">
                  <c:v>12.654</c:v>
                </c:pt>
                <c:pt idx="3">
                  <c:v>12.061999999999999</c:v>
                </c:pt>
                <c:pt idx="4">
                  <c:v>11.691000000000001</c:v>
                </c:pt>
                <c:pt idx="5">
                  <c:v>0.97099999999999997</c:v>
                </c:pt>
                <c:pt idx="6">
                  <c:v>0</c:v>
                </c:pt>
                <c:pt idx="7">
                  <c:v>0</c:v>
                </c:pt>
                <c:pt idx="8">
                  <c:v>4.5199999999999996</c:v>
                </c:pt>
                <c:pt idx="9">
                  <c:v>9.1120000000000001</c:v>
                </c:pt>
                <c:pt idx="10">
                  <c:v>8.4510000000000005</c:v>
                </c:pt>
                <c:pt idx="11">
                  <c:v>9.01</c:v>
                </c:pt>
                <c:pt idx="12">
                  <c:v>9.1739999999999995</c:v>
                </c:pt>
                <c:pt idx="13">
                  <c:v>10.227</c:v>
                </c:pt>
                <c:pt idx="14">
                  <c:v>9.7870000000000008</c:v>
                </c:pt>
                <c:pt idx="15">
                  <c:v>11.144</c:v>
                </c:pt>
                <c:pt idx="16">
                  <c:v>12.760999999999999</c:v>
                </c:pt>
                <c:pt idx="17">
                  <c:v>12.09</c:v>
                </c:pt>
                <c:pt idx="18">
                  <c:v>12.28</c:v>
                </c:pt>
                <c:pt idx="19">
                  <c:v>13.157</c:v>
                </c:pt>
                <c:pt idx="20">
                  <c:v>13.063000000000001</c:v>
                </c:pt>
                <c:pt idx="21">
                  <c:v>13.172000000000001</c:v>
                </c:pt>
                <c:pt idx="22">
                  <c:v>13.24</c:v>
                </c:pt>
                <c:pt idx="23">
                  <c:v>13.246</c:v>
                </c:pt>
                <c:pt idx="24">
                  <c:v>7.6180000000000003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7.0460000000000003</c:v>
                </c:pt>
                <c:pt idx="33">
                  <c:v>12.683</c:v>
                </c:pt>
                <c:pt idx="34">
                  <c:v>12.433999999999999</c:v>
                </c:pt>
                <c:pt idx="35">
                  <c:v>12.393000000000001</c:v>
                </c:pt>
                <c:pt idx="36">
                  <c:v>11.635999999999999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89632"/>
        <c:axId val="185591592"/>
      </c:lineChart>
      <c:dateAx>
        <c:axId val="18558963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91592"/>
        <c:crosses val="autoZero"/>
        <c:auto val="1"/>
        <c:lblOffset val="100"/>
        <c:baseTimeUnit val="days"/>
      </c:dateAx>
      <c:valAx>
        <c:axId val="18559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89632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80765235863026852"/>
          <c:h val="4.9004935247062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September 2021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5"/>
          <c:order val="0"/>
          <c:tx>
            <c:strRef>
              <c:f>'Sept 21'!$G$4</c:f>
              <c:strCache>
                <c:ptCount val="1"/>
                <c:pt idx="0">
                  <c:v>August 2021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chemeClr val="accent5"/>
              </a:solidFill>
              <a:ln w="9525">
                <a:solidFill>
                  <a:schemeClr val="accent5">
                    <a:alpha val="98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21'!$G$5:$G$42</c:f>
              <c:numCache>
                <c:formatCode>#,##0.000</c:formatCode>
                <c:ptCount val="38"/>
                <c:pt idx="0">
                  <c:v>49.442</c:v>
                </c:pt>
                <c:pt idx="1">
                  <c:v>49.442</c:v>
                </c:pt>
                <c:pt idx="2">
                  <c:v>49.442</c:v>
                </c:pt>
                <c:pt idx="3">
                  <c:v>49.442</c:v>
                </c:pt>
                <c:pt idx="4">
                  <c:v>49.442</c:v>
                </c:pt>
                <c:pt idx="5">
                  <c:v>49.442</c:v>
                </c:pt>
                <c:pt idx="6">
                  <c:v>49.442</c:v>
                </c:pt>
                <c:pt idx="7">
                  <c:v>49.442</c:v>
                </c:pt>
                <c:pt idx="8">
                  <c:v>49.442</c:v>
                </c:pt>
                <c:pt idx="9">
                  <c:v>49.442</c:v>
                </c:pt>
                <c:pt idx="10">
                  <c:v>49.442</c:v>
                </c:pt>
                <c:pt idx="11">
                  <c:v>49.442</c:v>
                </c:pt>
                <c:pt idx="12">
                  <c:v>49.442</c:v>
                </c:pt>
                <c:pt idx="13">
                  <c:v>49.442</c:v>
                </c:pt>
                <c:pt idx="14">
                  <c:v>49.442</c:v>
                </c:pt>
                <c:pt idx="15">
                  <c:v>49.442</c:v>
                </c:pt>
                <c:pt idx="16">
                  <c:v>49.442</c:v>
                </c:pt>
                <c:pt idx="17">
                  <c:v>49.442</c:v>
                </c:pt>
                <c:pt idx="18">
                  <c:v>49.442</c:v>
                </c:pt>
                <c:pt idx="19">
                  <c:v>49.442</c:v>
                </c:pt>
                <c:pt idx="20">
                  <c:v>49.442</c:v>
                </c:pt>
                <c:pt idx="21">
                  <c:v>49.442</c:v>
                </c:pt>
                <c:pt idx="22">
                  <c:v>49.442</c:v>
                </c:pt>
                <c:pt idx="23">
                  <c:v>49.442</c:v>
                </c:pt>
                <c:pt idx="24">
                  <c:v>49.442</c:v>
                </c:pt>
                <c:pt idx="25">
                  <c:v>49.442</c:v>
                </c:pt>
                <c:pt idx="26">
                  <c:v>49.442</c:v>
                </c:pt>
                <c:pt idx="27">
                  <c:v>49.442</c:v>
                </c:pt>
                <c:pt idx="28">
                  <c:v>49.442</c:v>
                </c:pt>
                <c:pt idx="29">
                  <c:v>49.442</c:v>
                </c:pt>
                <c:pt idx="30">
                  <c:v>49.442</c:v>
                </c:pt>
                <c:pt idx="31">
                  <c:v>49.442</c:v>
                </c:pt>
                <c:pt idx="32">
                  <c:v>49.442</c:v>
                </c:pt>
                <c:pt idx="33">
                  <c:v>49.442</c:v>
                </c:pt>
                <c:pt idx="34">
                  <c:v>49.442</c:v>
                </c:pt>
                <c:pt idx="35">
                  <c:v>49.442</c:v>
                </c:pt>
                <c:pt idx="36">
                  <c:v>49.442</c:v>
                </c:pt>
                <c:pt idx="37">
                  <c:v>49.442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A-45A6-BC3E-2D76F1A0CCEF}"/>
            </c:ext>
          </c:extLst>
        </c:ser>
        <c:ser>
          <c:idx val="4"/>
          <c:order val="1"/>
          <c:tx>
            <c:strRef>
              <c:f>'Sept 21'!$L$4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tar"/>
            <c:size val="8"/>
            <c:spPr>
              <a:noFill/>
              <a:ln w="19050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21'!$L$5:$L$42</c:f>
              <c:numCache>
                <c:formatCode>#,##0.000</c:formatCode>
                <c:ptCount val="38"/>
                <c:pt idx="0">
                  <c:v>30.464000000000002</c:v>
                </c:pt>
                <c:pt idx="1">
                  <c:v>32.662999999999997</c:v>
                </c:pt>
                <c:pt idx="2">
                  <c:v>34.767000000000003</c:v>
                </c:pt>
                <c:pt idx="3">
                  <c:v>34.094000000000001</c:v>
                </c:pt>
                <c:pt idx="4">
                  <c:v>33.125000000000007</c:v>
                </c:pt>
                <c:pt idx="5">
                  <c:v>2.8460000000000001</c:v>
                </c:pt>
                <c:pt idx="6">
                  <c:v>0</c:v>
                </c:pt>
                <c:pt idx="7">
                  <c:v>0</c:v>
                </c:pt>
                <c:pt idx="8">
                  <c:v>4.5199999999999996</c:v>
                </c:pt>
                <c:pt idx="9">
                  <c:v>20.016999999999996</c:v>
                </c:pt>
                <c:pt idx="10">
                  <c:v>34.816000000000003</c:v>
                </c:pt>
                <c:pt idx="11">
                  <c:v>34.119999999999997</c:v>
                </c:pt>
                <c:pt idx="12">
                  <c:v>27.67</c:v>
                </c:pt>
                <c:pt idx="13">
                  <c:v>32.067</c:v>
                </c:pt>
                <c:pt idx="14">
                  <c:v>34.101999999999997</c:v>
                </c:pt>
                <c:pt idx="15">
                  <c:v>36.542000000000002</c:v>
                </c:pt>
                <c:pt idx="16">
                  <c:v>37.671999999999997</c:v>
                </c:pt>
                <c:pt idx="17">
                  <c:v>37.813000000000002</c:v>
                </c:pt>
                <c:pt idx="18">
                  <c:v>36.106000000000002</c:v>
                </c:pt>
                <c:pt idx="19">
                  <c:v>36.290999999999997</c:v>
                </c:pt>
                <c:pt idx="20">
                  <c:v>35.448</c:v>
                </c:pt>
                <c:pt idx="21">
                  <c:v>35.455000000000005</c:v>
                </c:pt>
                <c:pt idx="22">
                  <c:v>36.507999999999996</c:v>
                </c:pt>
                <c:pt idx="23">
                  <c:v>36.525999999999996</c:v>
                </c:pt>
                <c:pt idx="24">
                  <c:v>19.497000000000003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0.98599999999999999</c:v>
                </c:pt>
                <c:pt idx="30">
                  <c:v>3.6829999999999998</c:v>
                </c:pt>
                <c:pt idx="31">
                  <c:v>2.9550000000000001</c:v>
                </c:pt>
                <c:pt idx="32">
                  <c:v>16.445</c:v>
                </c:pt>
                <c:pt idx="33">
                  <c:v>36.033000000000001</c:v>
                </c:pt>
                <c:pt idx="34">
                  <c:v>15.879</c:v>
                </c:pt>
                <c:pt idx="35">
                  <c:v>14.195</c:v>
                </c:pt>
                <c:pt idx="36">
                  <c:v>13.721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A-45A6-BC3E-2D76F1A0CCEF}"/>
            </c:ext>
          </c:extLst>
        </c:ser>
        <c:ser>
          <c:idx val="1"/>
          <c:order val="2"/>
          <c:tx>
            <c:strRef>
              <c:f>'Sept 21'!$H$4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21'!$H$5:$H$42</c:f>
              <c:numCache>
                <c:formatCode>#,##0.000</c:formatCode>
                <c:ptCount val="38"/>
                <c:pt idx="0">
                  <c:v>17.64</c:v>
                </c:pt>
                <c:pt idx="1">
                  <c:v>16.927</c:v>
                </c:pt>
                <c:pt idx="2">
                  <c:v>18.664000000000001</c:v>
                </c:pt>
                <c:pt idx="3">
                  <c:v>18.562000000000001</c:v>
                </c:pt>
                <c:pt idx="4">
                  <c:v>17.914000000000001</c:v>
                </c:pt>
                <c:pt idx="5">
                  <c:v>1.512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9.3919999999999995</c:v>
                </c:pt>
                <c:pt idx="10">
                  <c:v>22.937999999999999</c:v>
                </c:pt>
                <c:pt idx="11">
                  <c:v>21.646999999999998</c:v>
                </c:pt>
                <c:pt idx="12">
                  <c:v>15.005000000000001</c:v>
                </c:pt>
                <c:pt idx="13">
                  <c:v>18.276</c:v>
                </c:pt>
                <c:pt idx="14">
                  <c:v>20.798999999999999</c:v>
                </c:pt>
                <c:pt idx="15">
                  <c:v>21.873999999999999</c:v>
                </c:pt>
                <c:pt idx="16">
                  <c:v>21.369</c:v>
                </c:pt>
                <c:pt idx="17">
                  <c:v>22.193000000000001</c:v>
                </c:pt>
                <c:pt idx="18">
                  <c:v>20.298999999999999</c:v>
                </c:pt>
                <c:pt idx="19">
                  <c:v>21.715</c:v>
                </c:pt>
                <c:pt idx="20">
                  <c:v>21.026</c:v>
                </c:pt>
                <c:pt idx="21">
                  <c:v>20.841000000000001</c:v>
                </c:pt>
                <c:pt idx="22">
                  <c:v>20.788</c:v>
                </c:pt>
                <c:pt idx="23">
                  <c:v>20.88</c:v>
                </c:pt>
                <c:pt idx="24">
                  <c:v>11.823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3.952</c:v>
                </c:pt>
                <c:pt idx="33">
                  <c:v>19.808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3"/>
          <c:tx>
            <c:strRef>
              <c:f>'Sept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x"/>
            <c:size val="8"/>
            <c:spPr>
              <a:noFill/>
              <a:ln w="222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21'!$I$5:$I$42</c:f>
              <c:numCache>
                <c:formatCode>#,##0.000</c:formatCode>
                <c:ptCount val="38"/>
                <c:pt idx="0">
                  <c:v>11.118</c:v>
                </c:pt>
                <c:pt idx="1">
                  <c:v>12.335000000000001</c:v>
                </c:pt>
                <c:pt idx="2">
                  <c:v>12.654</c:v>
                </c:pt>
                <c:pt idx="3">
                  <c:v>12.061999999999999</c:v>
                </c:pt>
                <c:pt idx="4">
                  <c:v>11.691000000000001</c:v>
                </c:pt>
                <c:pt idx="5">
                  <c:v>0.97099999999999997</c:v>
                </c:pt>
                <c:pt idx="6">
                  <c:v>0</c:v>
                </c:pt>
                <c:pt idx="7">
                  <c:v>0</c:v>
                </c:pt>
                <c:pt idx="8">
                  <c:v>4.5199999999999996</c:v>
                </c:pt>
                <c:pt idx="9">
                  <c:v>9.1120000000000001</c:v>
                </c:pt>
                <c:pt idx="10">
                  <c:v>8.4510000000000005</c:v>
                </c:pt>
                <c:pt idx="11">
                  <c:v>9.01</c:v>
                </c:pt>
                <c:pt idx="12">
                  <c:v>9.1739999999999995</c:v>
                </c:pt>
                <c:pt idx="13">
                  <c:v>10.227</c:v>
                </c:pt>
                <c:pt idx="14">
                  <c:v>9.7870000000000008</c:v>
                </c:pt>
                <c:pt idx="15">
                  <c:v>11.144</c:v>
                </c:pt>
                <c:pt idx="16">
                  <c:v>12.760999999999999</c:v>
                </c:pt>
                <c:pt idx="17">
                  <c:v>12.09</c:v>
                </c:pt>
                <c:pt idx="18">
                  <c:v>12.28</c:v>
                </c:pt>
                <c:pt idx="19">
                  <c:v>13.157</c:v>
                </c:pt>
                <c:pt idx="20">
                  <c:v>13.063000000000001</c:v>
                </c:pt>
                <c:pt idx="21">
                  <c:v>13.172000000000001</c:v>
                </c:pt>
                <c:pt idx="22">
                  <c:v>13.24</c:v>
                </c:pt>
                <c:pt idx="23">
                  <c:v>13.246</c:v>
                </c:pt>
                <c:pt idx="24">
                  <c:v>7.6180000000000003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7.0460000000000003</c:v>
                </c:pt>
                <c:pt idx="33">
                  <c:v>12.683</c:v>
                </c:pt>
                <c:pt idx="34">
                  <c:v>12.433999999999999</c:v>
                </c:pt>
                <c:pt idx="35">
                  <c:v>12.393000000000001</c:v>
                </c:pt>
                <c:pt idx="36">
                  <c:v>11.635999999999999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4"/>
          <c:tx>
            <c:strRef>
              <c:f>'Sept 21'!$J$4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8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21'!$J$5:$J$42</c:f>
              <c:numCache>
                <c:formatCode>#,##0.000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0.98599999999999999</c:v>
                </c:pt>
                <c:pt idx="30">
                  <c:v>3.6829999999999998</c:v>
                </c:pt>
                <c:pt idx="31">
                  <c:v>2.9550000000000001</c:v>
                </c:pt>
                <c:pt idx="32">
                  <c:v>2.8570000000000002</c:v>
                </c:pt>
                <c:pt idx="33">
                  <c:v>0.19800000000000001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5"/>
          <c:tx>
            <c:strRef>
              <c:f>'Sept 21'!$K$4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'Sept 21'!$B$5:$B$42</c:f>
              <c:numCache>
                <c:formatCode>d\-mmm\-yy</c:formatCode>
                <c:ptCount val="38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</c:numCache>
            </c:numRef>
          </c:cat>
          <c:val>
            <c:numRef>
              <c:f>'Sept 21'!$K$5:$K$42</c:f>
              <c:numCache>
                <c:formatCode>#,##0.000</c:formatCode>
                <c:ptCount val="38"/>
                <c:pt idx="0">
                  <c:v>1.706</c:v>
                </c:pt>
                <c:pt idx="1">
                  <c:v>3.4009999999999998</c:v>
                </c:pt>
                <c:pt idx="2">
                  <c:v>3.4489999999999998</c:v>
                </c:pt>
                <c:pt idx="3">
                  <c:v>3.47</c:v>
                </c:pt>
                <c:pt idx="4">
                  <c:v>3.52</c:v>
                </c:pt>
                <c:pt idx="5">
                  <c:v>0.36299999999999999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1.5129999999999999</c:v>
                </c:pt>
                <c:pt idx="10">
                  <c:v>3.427</c:v>
                </c:pt>
                <c:pt idx="11">
                  <c:v>3.4630000000000001</c:v>
                </c:pt>
                <c:pt idx="12">
                  <c:v>3.4910000000000001</c:v>
                </c:pt>
                <c:pt idx="13">
                  <c:v>3.5640000000000001</c:v>
                </c:pt>
                <c:pt idx="14">
                  <c:v>3.516</c:v>
                </c:pt>
                <c:pt idx="15">
                  <c:v>3.524</c:v>
                </c:pt>
                <c:pt idx="16">
                  <c:v>3.5419999999999998</c:v>
                </c:pt>
                <c:pt idx="17">
                  <c:v>3.53</c:v>
                </c:pt>
                <c:pt idx="18">
                  <c:v>3.5270000000000001</c:v>
                </c:pt>
                <c:pt idx="19">
                  <c:v>1.419</c:v>
                </c:pt>
                <c:pt idx="20">
                  <c:v>1.359</c:v>
                </c:pt>
                <c:pt idx="21">
                  <c:v>1.4419999999999999</c:v>
                </c:pt>
                <c:pt idx="22">
                  <c:v>2.48</c:v>
                </c:pt>
                <c:pt idx="23">
                  <c:v>2.4</c:v>
                </c:pt>
                <c:pt idx="24">
                  <c:v>5.6000000000000001E-2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2.59</c:v>
                </c:pt>
                <c:pt idx="33">
                  <c:v>3.3439999999999999</c:v>
                </c:pt>
                <c:pt idx="34">
                  <c:v>3.4449999999999998</c:v>
                </c:pt>
                <c:pt idx="35">
                  <c:v>1.802</c:v>
                </c:pt>
                <c:pt idx="36">
                  <c:v>2.085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90416"/>
        <c:axId val="185588848"/>
      </c:lineChart>
      <c:dateAx>
        <c:axId val="18559041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88848"/>
        <c:crosses val="autoZero"/>
        <c:auto val="1"/>
        <c:lblOffset val="100"/>
        <c:baseTimeUnit val="days"/>
      </c:dateAx>
      <c:valAx>
        <c:axId val="1855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904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7464538828"/>
          <c:h val="4.0721642435078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145845347349"/>
          <c:y val="8.7067563456482755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'Oct 21'!$AK$5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EF7-4383-BA99-A40843FD9350}"/>
                </c:ext>
              </c:extLst>
            </c:dLbl>
            <c:dLbl>
              <c:idx val="1"/>
              <c:layout>
                <c:manualLayout>
                  <c:x val="0"/>
                  <c:y val="5.962655291716662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EF7-4383-BA99-A40843FD9350}"/>
                </c:ext>
              </c:extLst>
            </c:dLbl>
            <c:dLbl>
              <c:idx val="4"/>
              <c:layout>
                <c:manualLayout>
                  <c:x val="2.3783785808366528E-2"/>
                  <c:y val="2.94108065956165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EF7-4383-BA99-A40843FD9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'Oct 21'!$AK$6:$AK$11</c:f>
              <c:numCache>
                <c:formatCode>#,##0.00</c:formatCode>
                <c:ptCount val="6"/>
                <c:pt idx="0">
                  <c:v>21.64</c:v>
                </c:pt>
                <c:pt idx="1">
                  <c:v>15.14</c:v>
                </c:pt>
                <c:pt idx="2">
                  <c:v>8.9</c:v>
                </c:pt>
                <c:pt idx="3">
                  <c:v>3.77</c:v>
                </c:pt>
                <c:pt idx="4">
                  <c:v>49.45</c:v>
                </c:pt>
                <c:pt idx="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'Oct 21'!$AL$5</c:f>
              <c:strCache>
                <c:ptCount val="1"/>
                <c:pt idx="0">
                  <c:v>25-Oct-2021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27533924283653E-3"/>
                  <c:y val="-3.978934104707991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EF7-4383-BA99-A40843FD9350}"/>
                </c:ext>
              </c:extLst>
            </c:dLbl>
            <c:dLbl>
              <c:idx val="1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EF7-4383-BA99-A40843FD9350}"/>
                </c:ext>
              </c:extLst>
            </c:dLbl>
            <c:dLbl>
              <c:idx val="2"/>
              <c:layout>
                <c:manualLayout>
                  <c:x val="0"/>
                  <c:y val="-5.882162227255397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F7-4383-BA99-A40843FD9350}"/>
                </c:ext>
              </c:extLst>
            </c:dLbl>
            <c:dLbl>
              <c:idx val="4"/>
              <c:layout>
                <c:manualLayout>
                  <c:x val="0"/>
                  <c:y val="-1.185636019929142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EF7-4383-BA99-A40843FD9350}"/>
                </c:ext>
              </c:extLst>
            </c:dLbl>
            <c:dLbl>
              <c:idx val="5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EF7-4383-BA99-A40843FD9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'Oct 21'!$AL$6:$AL$11</c:f>
              <c:numCache>
                <c:formatCode>#,##0.00</c:formatCode>
                <c:ptCount val="6"/>
                <c:pt idx="0">
                  <c:v>18.968</c:v>
                </c:pt>
                <c:pt idx="1">
                  <c:v>6.2690000000000001</c:v>
                </c:pt>
                <c:pt idx="2">
                  <c:v>0</c:v>
                </c:pt>
                <c:pt idx="3">
                  <c:v>3.5169999999999999</c:v>
                </c:pt>
                <c:pt idx="4">
                  <c:v>28.754000000000001</c:v>
                </c:pt>
                <c:pt idx="5">
                  <c:v>5.4509999999999996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'Oct 21'!$AM$5</c:f>
              <c:strCache>
                <c:ptCount val="1"/>
                <c:pt idx="0">
                  <c:v>26-Oct-2021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185636019929145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EF7-4383-BA99-A40843FD9350}"/>
                </c:ext>
              </c:extLst>
            </c:dLbl>
            <c:dLbl>
              <c:idx val="1"/>
              <c:layout>
                <c:manualLayout>
                  <c:x val="-3.9700499098820024E-17"/>
                  <c:y val="1.99521291769917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EF7-4383-BA99-A40843FD9350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EF7-4383-BA99-A40843FD9350}"/>
                </c:ext>
              </c:extLst>
            </c:dLbl>
            <c:dLbl>
              <c:idx val="4"/>
              <c:layout>
                <c:manualLayout>
                  <c:x val="0"/>
                  <c:y val="1.972229456318420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EF7-4383-BA99-A40843FD9350}"/>
                </c:ext>
              </c:extLst>
            </c:dLbl>
            <c:dLbl>
              <c:idx val="5"/>
              <c:layout>
                <c:manualLayout>
                  <c:x val="0"/>
                  <c:y val="-1.37596392714678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EF7-4383-BA99-A40843FD9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'Oct 21'!$AM$6:$AM$11</c:f>
              <c:numCache>
                <c:formatCode>#,##0.00</c:formatCode>
                <c:ptCount val="6"/>
                <c:pt idx="0">
                  <c:v>19.747</c:v>
                </c:pt>
                <c:pt idx="1">
                  <c:v>7.5590000000000002</c:v>
                </c:pt>
                <c:pt idx="2">
                  <c:v>0</c:v>
                </c:pt>
                <c:pt idx="3">
                  <c:v>3.5209999999999999</c:v>
                </c:pt>
                <c:pt idx="4">
                  <c:v>30.827000000000002</c:v>
                </c:pt>
                <c:pt idx="5">
                  <c:v>13.003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'Oct 21'!$AN$5</c:f>
              <c:strCache>
                <c:ptCount val="1"/>
                <c:pt idx="0">
                  <c:v>27-Oct-2021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819592549347706E-17"/>
                  <c:y val="1.96072043970769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EF7-4383-BA99-A40843FD9350}"/>
                </c:ext>
              </c:extLst>
            </c:dLbl>
            <c:dLbl>
              <c:idx val="1"/>
              <c:layout>
                <c:manualLayout>
                  <c:x val="0"/>
                  <c:y val="-1.38056061942291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EF7-4383-BA99-A40843FD9350}"/>
                </c:ext>
              </c:extLst>
            </c:dLbl>
            <c:dLbl>
              <c:idx val="4"/>
              <c:layout>
                <c:manualLayout>
                  <c:x val="0"/>
                  <c:y val="-1.384008138630027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EF7-4383-BA99-A40843FD9350}"/>
                </c:ext>
              </c:extLst>
            </c:dLbl>
            <c:dLbl>
              <c:idx val="5"/>
              <c:layout>
                <c:manualLayout>
                  <c:x val="0"/>
                  <c:y val="-9.861147281592281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EF7-4383-BA99-A40843FD9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'Oct 21'!$AN$6:$AN$11</c:f>
              <c:numCache>
                <c:formatCode>#,##0.00</c:formatCode>
                <c:ptCount val="6"/>
                <c:pt idx="0">
                  <c:v>8.5</c:v>
                </c:pt>
                <c:pt idx="1">
                  <c:v>7.7069999999999999</c:v>
                </c:pt>
                <c:pt idx="2">
                  <c:v>0</c:v>
                </c:pt>
                <c:pt idx="3">
                  <c:v>3.5310000000000001</c:v>
                </c:pt>
                <c:pt idx="4">
                  <c:v>19.738</c:v>
                </c:pt>
                <c:pt idx="5">
                  <c:v>20.355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9A-4091-8B77-2C78E504CA04}"/>
            </c:ext>
          </c:extLst>
        </c:ser>
        <c:ser>
          <c:idx val="4"/>
          <c:order val="4"/>
          <c:tx>
            <c:strRef>
              <c:f>'Oct 21'!$AO$5</c:f>
              <c:strCache>
                <c:ptCount val="1"/>
                <c:pt idx="0">
                  <c:v>28-Oct-2021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9700499098820024E-17"/>
                  <c:y val="-1.570872997274751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EF7-4383-BA99-A40843FD9350}"/>
                </c:ext>
              </c:extLst>
            </c:dLbl>
            <c:dLbl>
              <c:idx val="1"/>
              <c:layout>
                <c:manualLayout>
                  <c:x val="-3.9700499098820024E-17"/>
                  <c:y val="5.93967183033601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EF7-4383-BA99-A40843FD9350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EF7-4383-BA99-A40843FD9350}"/>
                </c:ext>
              </c:extLst>
            </c:dLbl>
            <c:dLbl>
              <c:idx val="4"/>
              <c:layout>
                <c:manualLayout>
                  <c:x val="-1.081081173107728E-3"/>
                  <c:y val="7.842881758831077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EF7-4383-BA99-A40843FD9350}"/>
                </c:ext>
              </c:extLst>
            </c:dLbl>
            <c:dLbl>
              <c:idx val="5"/>
              <c:layout>
                <c:manualLayout>
                  <c:x val="-1.588019963952801E-16"/>
                  <c:y val="-2.006704648389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EF7-4383-BA99-A40843FD9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'Oct 21'!$AO$6:$AO$11</c:f>
              <c:numCache>
                <c:formatCode>#,##0.00</c:formatCode>
                <c:ptCount val="6"/>
                <c:pt idx="0">
                  <c:v>0</c:v>
                </c:pt>
                <c:pt idx="1">
                  <c:v>11.282</c:v>
                </c:pt>
                <c:pt idx="2">
                  <c:v>0</c:v>
                </c:pt>
                <c:pt idx="3">
                  <c:v>3.5089999999999999</c:v>
                </c:pt>
                <c:pt idx="4">
                  <c:v>14.791</c:v>
                </c:pt>
                <c:pt idx="5">
                  <c:v>19.891999999999999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9A-4091-8B77-2C78E504CA04}"/>
            </c:ext>
          </c:extLst>
        </c:ser>
        <c:ser>
          <c:idx val="5"/>
          <c:order val="5"/>
          <c:tx>
            <c:strRef>
              <c:f>'Oct 21'!$AP$5</c:f>
              <c:strCache>
                <c:ptCount val="1"/>
                <c:pt idx="0">
                  <c:v>29-Oct-2021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8.0597408490494402E-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EF7-4383-BA99-A40843FD9350}"/>
                </c:ext>
              </c:extLst>
            </c:dLbl>
            <c:dLbl>
              <c:idx val="1"/>
              <c:layout>
                <c:manualLayout>
                  <c:x val="0"/>
                  <c:y val="-1.56857465113667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EF7-4383-BA99-A40843FD9350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EF7-4383-BA99-A40843FD9350}"/>
                </c:ext>
              </c:extLst>
            </c:dLbl>
            <c:dLbl>
              <c:idx val="4"/>
              <c:layout>
                <c:manualLayout>
                  <c:x val="0"/>
                  <c:y val="-5.962655291716843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EF7-4383-BA99-A40843FD9350}"/>
                </c:ext>
              </c:extLst>
            </c:dLbl>
            <c:dLbl>
              <c:idx val="5"/>
              <c:layout>
                <c:manualLayout>
                  <c:x val="-1.588019963952801E-16"/>
                  <c:y val="-4.5966922761438041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EF7-4383-BA99-A40843FD9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'Oct 21'!$AP$6:$AP$11</c:f>
              <c:numCache>
                <c:formatCode>#,##0.00</c:formatCode>
                <c:ptCount val="6"/>
                <c:pt idx="0">
                  <c:v>11.519</c:v>
                </c:pt>
                <c:pt idx="1">
                  <c:v>13.558999999999999</c:v>
                </c:pt>
                <c:pt idx="2">
                  <c:v>0</c:v>
                </c:pt>
                <c:pt idx="3">
                  <c:v>3.4769999999999999</c:v>
                </c:pt>
                <c:pt idx="4">
                  <c:v>28.555</c:v>
                </c:pt>
                <c:pt idx="5">
                  <c:v>2.6859999999999999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9A-4091-8B77-2C78E504C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85590808"/>
        <c:axId val="185587280"/>
      </c:barChart>
      <c:catAx>
        <c:axId val="18559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87280"/>
        <c:crosses val="autoZero"/>
        <c:auto val="1"/>
        <c:lblAlgn val="ctr"/>
        <c:lblOffset val="100"/>
        <c:noMultiLvlLbl val="0"/>
      </c:catAx>
      <c:valAx>
        <c:axId val="185587280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5118366896647533E-2"/>
              <c:y val="0.33807827752998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080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September 2021</a:t>
            </a:r>
          </a:p>
        </c:rich>
      </c:tx>
      <c:layout>
        <c:manualLayout>
          <c:xMode val="edge"/>
          <c:yMode val="edge"/>
          <c:x val="0.13991542420841868"/>
          <c:y val="2.41555573648700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1"/>
          <c:order val="0"/>
          <c:tx>
            <c:strRef>
              <c:f>'Oct 21'!$S$4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7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21'!$S$5:$S$42</c:f>
              <c:numCache>
                <c:formatCode>#,##0.00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21.92</c:v>
                </c:pt>
                <c:pt idx="3">
                  <c:v>32.36</c:v>
                </c:pt>
                <c:pt idx="4">
                  <c:v>32.549999999999997</c:v>
                </c:pt>
                <c:pt idx="5">
                  <c:v>32.549999999999997</c:v>
                </c:pt>
                <c:pt idx="6">
                  <c:v>32.549999999999997</c:v>
                </c:pt>
                <c:pt idx="7">
                  <c:v>32.549999999999997</c:v>
                </c:pt>
                <c:pt idx="8">
                  <c:v>29.83</c:v>
                </c:pt>
                <c:pt idx="9">
                  <c:v>31.9</c:v>
                </c:pt>
                <c:pt idx="10">
                  <c:v>31.9</c:v>
                </c:pt>
                <c:pt idx="11">
                  <c:v>32.71</c:v>
                </c:pt>
                <c:pt idx="12">
                  <c:v>32.07</c:v>
                </c:pt>
                <c:pt idx="13">
                  <c:v>31.93</c:v>
                </c:pt>
                <c:pt idx="14">
                  <c:v>31.93</c:v>
                </c:pt>
                <c:pt idx="15">
                  <c:v>31.93</c:v>
                </c:pt>
                <c:pt idx="16">
                  <c:v>31.93</c:v>
                </c:pt>
                <c:pt idx="17">
                  <c:v>31.93</c:v>
                </c:pt>
                <c:pt idx="18">
                  <c:v>31.77</c:v>
                </c:pt>
                <c:pt idx="19">
                  <c:v>33.4</c:v>
                </c:pt>
                <c:pt idx="20">
                  <c:v>36.840000000000003</c:v>
                </c:pt>
                <c:pt idx="21">
                  <c:v>36.83</c:v>
                </c:pt>
                <c:pt idx="22">
                  <c:v>31.91</c:v>
                </c:pt>
                <c:pt idx="23">
                  <c:v>31.24</c:v>
                </c:pt>
                <c:pt idx="24">
                  <c:v>27.31</c:v>
                </c:pt>
                <c:pt idx="25">
                  <c:v>28.94</c:v>
                </c:pt>
                <c:pt idx="26">
                  <c:v>28.46</c:v>
                </c:pt>
                <c:pt idx="27">
                  <c:v>31.33</c:v>
                </c:pt>
                <c:pt idx="28">
                  <c:v>31.33</c:v>
                </c:pt>
                <c:pt idx="29">
                  <c:v>32.270000000000003</c:v>
                </c:pt>
                <c:pt idx="30">
                  <c:v>32.270000000000003</c:v>
                </c:pt>
                <c:pt idx="31">
                  <c:v>32.270000000000003</c:v>
                </c:pt>
                <c:pt idx="32">
                  <c:v>32.270000000000003</c:v>
                </c:pt>
                <c:pt idx="33">
                  <c:v>32.270000000000003</c:v>
                </c:pt>
                <c:pt idx="34">
                  <c:v>32.270000000000003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1"/>
          <c:tx>
            <c:strRef>
              <c:f>'Oct 21'!$M$4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1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21'!$M$5:$M$42</c:f>
              <c:numCache>
                <c:formatCode>#,##0.00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15.256</c:v>
                </c:pt>
                <c:pt idx="4">
                  <c:v>15.256</c:v>
                </c:pt>
                <c:pt idx="5">
                  <c:v>19.277999999999999</c:v>
                </c:pt>
                <c:pt idx="6">
                  <c:v>19.600000000000001</c:v>
                </c:pt>
                <c:pt idx="7">
                  <c:v>18.811</c:v>
                </c:pt>
                <c:pt idx="8">
                  <c:v>21.611000000000001</c:v>
                </c:pt>
                <c:pt idx="9">
                  <c:v>24.189</c:v>
                </c:pt>
                <c:pt idx="10">
                  <c:v>24.047999999999998</c:v>
                </c:pt>
                <c:pt idx="11">
                  <c:v>23.664999999999999</c:v>
                </c:pt>
                <c:pt idx="12">
                  <c:v>23.963999999999999</c:v>
                </c:pt>
                <c:pt idx="13">
                  <c:v>5.74</c:v>
                </c:pt>
                <c:pt idx="14">
                  <c:v>16.672000000000001</c:v>
                </c:pt>
                <c:pt idx="15">
                  <c:v>22.16</c:v>
                </c:pt>
                <c:pt idx="16">
                  <c:v>22.934999999999999</c:v>
                </c:pt>
                <c:pt idx="17">
                  <c:v>24.003</c:v>
                </c:pt>
                <c:pt idx="18">
                  <c:v>22.541</c:v>
                </c:pt>
                <c:pt idx="19">
                  <c:v>22.541</c:v>
                </c:pt>
                <c:pt idx="20">
                  <c:v>26.922999999999998</c:v>
                </c:pt>
                <c:pt idx="21">
                  <c:v>24.777000000000001</c:v>
                </c:pt>
                <c:pt idx="22">
                  <c:v>25.870999999999999</c:v>
                </c:pt>
                <c:pt idx="23">
                  <c:v>24.713999999999999</c:v>
                </c:pt>
                <c:pt idx="24">
                  <c:v>5.4509999999999996</c:v>
                </c:pt>
                <c:pt idx="25">
                  <c:v>13.003</c:v>
                </c:pt>
                <c:pt idx="26">
                  <c:v>20.355</c:v>
                </c:pt>
                <c:pt idx="27">
                  <c:v>19.891999999999999</c:v>
                </c:pt>
                <c:pt idx="28">
                  <c:v>2.6859999999999999</c:v>
                </c:pt>
                <c:pt idx="29">
                  <c:v>7.125</c:v>
                </c:pt>
                <c:pt idx="30">
                  <c:v>16.643000000000001</c:v>
                </c:pt>
                <c:pt idx="31">
                  <c:v>19.75</c:v>
                </c:pt>
                <c:pt idx="32">
                  <c:v>17.22</c:v>
                </c:pt>
                <c:pt idx="33">
                  <c:v>15.853</c:v>
                </c:pt>
                <c:pt idx="34">
                  <c:v>15.497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2"/>
          <c:tx>
            <c:strRef>
              <c:f>'Oct 21'!$AA$4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21'!$AA$5:$AA$42</c:f>
              <c:numCache>
                <c:formatCode>#,##0.00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21.92</c:v>
                </c:pt>
                <c:pt idx="3">
                  <c:v>17.103999999999999</c:v>
                </c:pt>
                <c:pt idx="4">
                  <c:v>17.293999999999997</c:v>
                </c:pt>
                <c:pt idx="5">
                  <c:v>13.271999999999998</c:v>
                </c:pt>
                <c:pt idx="6">
                  <c:v>12.949999999999996</c:v>
                </c:pt>
                <c:pt idx="7">
                  <c:v>13.738999999999997</c:v>
                </c:pt>
                <c:pt idx="8">
                  <c:v>8.2189999999999976</c:v>
                </c:pt>
                <c:pt idx="9">
                  <c:v>7.7109999999999985</c:v>
                </c:pt>
                <c:pt idx="10">
                  <c:v>7.8520000000000003</c:v>
                </c:pt>
                <c:pt idx="11">
                  <c:v>9.0450000000000017</c:v>
                </c:pt>
                <c:pt idx="12">
                  <c:v>8.1060000000000016</c:v>
                </c:pt>
                <c:pt idx="13">
                  <c:v>26.189999999999998</c:v>
                </c:pt>
                <c:pt idx="14">
                  <c:v>15.257999999999999</c:v>
                </c:pt>
                <c:pt idx="15">
                  <c:v>9.77</c:v>
                </c:pt>
                <c:pt idx="16">
                  <c:v>8.995000000000001</c:v>
                </c:pt>
                <c:pt idx="17">
                  <c:v>7.9269999999999996</c:v>
                </c:pt>
                <c:pt idx="18">
                  <c:v>9.2289999999999992</c:v>
                </c:pt>
                <c:pt idx="19">
                  <c:v>10.858999999999998</c:v>
                </c:pt>
                <c:pt idx="20">
                  <c:v>9.9170000000000051</c:v>
                </c:pt>
                <c:pt idx="21">
                  <c:v>12.052999999999997</c:v>
                </c:pt>
                <c:pt idx="22">
                  <c:v>6.0390000000000015</c:v>
                </c:pt>
                <c:pt idx="23">
                  <c:v>6.5259999999999998</c:v>
                </c:pt>
                <c:pt idx="24">
                  <c:v>21.858999999999998</c:v>
                </c:pt>
                <c:pt idx="25">
                  <c:v>15.937000000000001</c:v>
                </c:pt>
                <c:pt idx="26">
                  <c:v>8.1050000000000004</c:v>
                </c:pt>
                <c:pt idx="27">
                  <c:v>11.437999999999999</c:v>
                </c:pt>
                <c:pt idx="28">
                  <c:v>28.643999999999998</c:v>
                </c:pt>
                <c:pt idx="29">
                  <c:v>25.145000000000003</c:v>
                </c:pt>
                <c:pt idx="30">
                  <c:v>15.627000000000002</c:v>
                </c:pt>
                <c:pt idx="31">
                  <c:v>12.520000000000003</c:v>
                </c:pt>
                <c:pt idx="32">
                  <c:v>15.050000000000004</c:v>
                </c:pt>
                <c:pt idx="33">
                  <c:v>16.417000000000002</c:v>
                </c:pt>
                <c:pt idx="34">
                  <c:v>16.773000000000003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3"/>
          <c:tx>
            <c:strRef>
              <c:f>'Oct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21'!$I$5:$I$42</c:f>
              <c:numCache>
                <c:formatCode>#,##0.000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7.0460000000000003</c:v>
                </c:pt>
                <c:pt idx="3">
                  <c:v>12.331</c:v>
                </c:pt>
                <c:pt idx="4">
                  <c:v>12.683</c:v>
                </c:pt>
                <c:pt idx="5">
                  <c:v>12.433999999999999</c:v>
                </c:pt>
                <c:pt idx="6">
                  <c:v>12.393000000000001</c:v>
                </c:pt>
                <c:pt idx="7">
                  <c:v>11.635999999999999</c:v>
                </c:pt>
                <c:pt idx="8">
                  <c:v>11.066000000000001</c:v>
                </c:pt>
                <c:pt idx="9">
                  <c:v>12.474</c:v>
                </c:pt>
                <c:pt idx="10">
                  <c:v>12.038</c:v>
                </c:pt>
                <c:pt idx="11">
                  <c:v>12.587999999999999</c:v>
                </c:pt>
                <c:pt idx="12">
                  <c:v>11.861000000000001</c:v>
                </c:pt>
                <c:pt idx="13">
                  <c:v>11.843</c:v>
                </c:pt>
                <c:pt idx="14">
                  <c:v>11.79</c:v>
                </c:pt>
                <c:pt idx="15">
                  <c:v>11.448</c:v>
                </c:pt>
                <c:pt idx="16">
                  <c:v>13.292999999999999</c:v>
                </c:pt>
                <c:pt idx="17">
                  <c:v>12.265000000000001</c:v>
                </c:pt>
                <c:pt idx="18">
                  <c:v>12.105</c:v>
                </c:pt>
                <c:pt idx="19">
                  <c:v>12.401999999999999</c:v>
                </c:pt>
                <c:pt idx="20">
                  <c:v>12.462</c:v>
                </c:pt>
                <c:pt idx="21">
                  <c:v>11.789</c:v>
                </c:pt>
                <c:pt idx="22">
                  <c:v>7.2069999999999999</c:v>
                </c:pt>
                <c:pt idx="23">
                  <c:v>6.298</c:v>
                </c:pt>
                <c:pt idx="24">
                  <c:v>6.2690000000000001</c:v>
                </c:pt>
                <c:pt idx="25">
                  <c:v>7.5590000000000002</c:v>
                </c:pt>
                <c:pt idx="26">
                  <c:v>7.7069999999999999</c:v>
                </c:pt>
                <c:pt idx="27">
                  <c:v>11.282</c:v>
                </c:pt>
                <c:pt idx="28">
                  <c:v>13.558999999999999</c:v>
                </c:pt>
                <c:pt idx="29">
                  <c:v>13.788</c:v>
                </c:pt>
                <c:pt idx="30">
                  <c:v>13.129</c:v>
                </c:pt>
                <c:pt idx="31">
                  <c:v>13.608000000000001</c:v>
                </c:pt>
                <c:pt idx="32">
                  <c:v>13.840999999999999</c:v>
                </c:pt>
                <c:pt idx="33">
                  <c:v>13.042999999999999</c:v>
                </c:pt>
                <c:pt idx="34">
                  <c:v>11.717000000000001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94336"/>
        <c:axId val="185591984"/>
      </c:lineChart>
      <c:dateAx>
        <c:axId val="18559433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91984"/>
        <c:crosses val="autoZero"/>
        <c:auto val="1"/>
        <c:lblOffset val="100"/>
        <c:baseTimeUnit val="days"/>
      </c:dateAx>
      <c:valAx>
        <c:axId val="1855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94336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80765235863026852"/>
          <c:h val="4.9004935247062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October 2021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5"/>
          <c:order val="0"/>
          <c:tx>
            <c:strRef>
              <c:f>'Oct 21'!$G$4</c:f>
              <c:strCache>
                <c:ptCount val="1"/>
                <c:pt idx="0">
                  <c:v>August 2021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chemeClr val="accent5"/>
              </a:solidFill>
              <a:ln w="9525">
                <a:solidFill>
                  <a:schemeClr val="accent5">
                    <a:alpha val="98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21'!$G$5:$G$42</c:f>
              <c:numCache>
                <c:formatCode>#,##0.000</c:formatCode>
                <c:ptCount val="38"/>
                <c:pt idx="0">
                  <c:v>49.442</c:v>
                </c:pt>
                <c:pt idx="1">
                  <c:v>49.442</c:v>
                </c:pt>
                <c:pt idx="2">
                  <c:v>49.442</c:v>
                </c:pt>
                <c:pt idx="3">
                  <c:v>49.442</c:v>
                </c:pt>
                <c:pt idx="4">
                  <c:v>49.442</c:v>
                </c:pt>
                <c:pt idx="5">
                  <c:v>49.442</c:v>
                </c:pt>
                <c:pt idx="6">
                  <c:v>49.442</c:v>
                </c:pt>
                <c:pt idx="7">
                  <c:v>49.442</c:v>
                </c:pt>
                <c:pt idx="8">
                  <c:v>49.442</c:v>
                </c:pt>
                <c:pt idx="9">
                  <c:v>49.442</c:v>
                </c:pt>
                <c:pt idx="10">
                  <c:v>49.442</c:v>
                </c:pt>
                <c:pt idx="11">
                  <c:v>49.442</c:v>
                </c:pt>
                <c:pt idx="12">
                  <c:v>49.442</c:v>
                </c:pt>
                <c:pt idx="13">
                  <c:v>49.442</c:v>
                </c:pt>
                <c:pt idx="14">
                  <c:v>49.442</c:v>
                </c:pt>
                <c:pt idx="15">
                  <c:v>49.442</c:v>
                </c:pt>
                <c:pt idx="16">
                  <c:v>49.442</c:v>
                </c:pt>
                <c:pt idx="17">
                  <c:v>49.442</c:v>
                </c:pt>
                <c:pt idx="18">
                  <c:v>49.442</c:v>
                </c:pt>
                <c:pt idx="19">
                  <c:v>49.442</c:v>
                </c:pt>
                <c:pt idx="20">
                  <c:v>49.442</c:v>
                </c:pt>
                <c:pt idx="21">
                  <c:v>49.442</c:v>
                </c:pt>
                <c:pt idx="22">
                  <c:v>49.442</c:v>
                </c:pt>
                <c:pt idx="23">
                  <c:v>49.442</c:v>
                </c:pt>
                <c:pt idx="24">
                  <c:v>49.442</c:v>
                </c:pt>
                <c:pt idx="25">
                  <c:v>49.442</c:v>
                </c:pt>
                <c:pt idx="26">
                  <c:v>49.442</c:v>
                </c:pt>
                <c:pt idx="27">
                  <c:v>49.442</c:v>
                </c:pt>
                <c:pt idx="28">
                  <c:v>49.442</c:v>
                </c:pt>
                <c:pt idx="29">
                  <c:v>49.442</c:v>
                </c:pt>
                <c:pt idx="30">
                  <c:v>49.442</c:v>
                </c:pt>
                <c:pt idx="31">
                  <c:v>49.442</c:v>
                </c:pt>
                <c:pt idx="32">
                  <c:v>49.442</c:v>
                </c:pt>
                <c:pt idx="33">
                  <c:v>49.442</c:v>
                </c:pt>
                <c:pt idx="34">
                  <c:v>49.442</c:v>
                </c:pt>
                <c:pt idx="35">
                  <c:v>49.442</c:v>
                </c:pt>
                <c:pt idx="36">
                  <c:v>49.442</c:v>
                </c:pt>
                <c:pt idx="37">
                  <c:v>49.442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D8-8940-09553ED8A145}"/>
            </c:ext>
          </c:extLst>
        </c:ser>
        <c:ser>
          <c:idx val="4"/>
          <c:order val="1"/>
          <c:tx>
            <c:strRef>
              <c:f>'Oct 21'!$L$4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tar"/>
            <c:size val="8"/>
            <c:spPr>
              <a:noFill/>
              <a:ln w="19050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21'!$L$5:$L$42</c:f>
              <c:numCache>
                <c:formatCode>#,##0.000</c:formatCode>
                <c:ptCount val="38"/>
                <c:pt idx="0">
                  <c:v>3.6829999999999998</c:v>
                </c:pt>
                <c:pt idx="1">
                  <c:v>2.9550000000000001</c:v>
                </c:pt>
                <c:pt idx="2">
                  <c:v>16.445</c:v>
                </c:pt>
                <c:pt idx="3">
                  <c:v>31.739000000000001</c:v>
                </c:pt>
                <c:pt idx="4">
                  <c:v>36.033000000000001</c:v>
                </c:pt>
                <c:pt idx="5">
                  <c:v>27.637</c:v>
                </c:pt>
                <c:pt idx="6">
                  <c:v>26.719000000000001</c:v>
                </c:pt>
                <c:pt idx="7">
                  <c:v>36.128999999999998</c:v>
                </c:pt>
                <c:pt idx="8">
                  <c:v>34.271999999999998</c:v>
                </c:pt>
                <c:pt idx="9">
                  <c:v>36.138000000000005</c:v>
                </c:pt>
                <c:pt idx="10">
                  <c:v>37.045000000000002</c:v>
                </c:pt>
                <c:pt idx="11">
                  <c:v>40.913000000000004</c:v>
                </c:pt>
                <c:pt idx="12">
                  <c:v>37.374000000000002</c:v>
                </c:pt>
                <c:pt idx="13">
                  <c:v>29.266999999999996</c:v>
                </c:pt>
                <c:pt idx="14">
                  <c:v>30.313999999999997</c:v>
                </c:pt>
                <c:pt idx="15">
                  <c:v>25.934000000000001</c:v>
                </c:pt>
                <c:pt idx="16">
                  <c:v>32.004999999999995</c:v>
                </c:pt>
                <c:pt idx="17">
                  <c:v>34.29</c:v>
                </c:pt>
                <c:pt idx="18">
                  <c:v>37.486000000000004</c:v>
                </c:pt>
                <c:pt idx="19">
                  <c:v>39.908999999999999</c:v>
                </c:pt>
                <c:pt idx="20">
                  <c:v>36.642000000000003</c:v>
                </c:pt>
                <c:pt idx="21">
                  <c:v>36.335999999999999</c:v>
                </c:pt>
                <c:pt idx="22">
                  <c:v>31.275000000000002</c:v>
                </c:pt>
                <c:pt idx="23">
                  <c:v>31.414999999999996</c:v>
                </c:pt>
                <c:pt idx="24">
                  <c:v>28.754000000000001</c:v>
                </c:pt>
                <c:pt idx="25">
                  <c:v>30.827000000000002</c:v>
                </c:pt>
                <c:pt idx="26">
                  <c:v>19.738</c:v>
                </c:pt>
                <c:pt idx="27">
                  <c:v>14.791</c:v>
                </c:pt>
                <c:pt idx="28">
                  <c:v>28.555</c:v>
                </c:pt>
                <c:pt idx="29">
                  <c:v>36.584300000000006</c:v>
                </c:pt>
                <c:pt idx="30">
                  <c:v>36.613219999999998</c:v>
                </c:pt>
                <c:pt idx="31">
                  <c:v>36.441409999999998</c:v>
                </c:pt>
                <c:pt idx="32">
                  <c:v>35.698</c:v>
                </c:pt>
                <c:pt idx="33">
                  <c:v>35.454560000000001</c:v>
                </c:pt>
                <c:pt idx="34">
                  <c:v>34.385850000000005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D8-8940-09553ED8A145}"/>
            </c:ext>
          </c:extLst>
        </c:ser>
        <c:ser>
          <c:idx val="1"/>
          <c:order val="2"/>
          <c:tx>
            <c:strRef>
              <c:f>'Oct 21'!$H$4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21'!$H$5:$H$42</c:f>
              <c:numCache>
                <c:formatCode>#,##0.000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3.952</c:v>
                </c:pt>
                <c:pt idx="3">
                  <c:v>15.814</c:v>
                </c:pt>
                <c:pt idx="4">
                  <c:v>19.808</c:v>
                </c:pt>
                <c:pt idx="5">
                  <c:v>11.757999999999999</c:v>
                </c:pt>
                <c:pt idx="6">
                  <c:v>12.523999999999999</c:v>
                </c:pt>
                <c:pt idx="7">
                  <c:v>22.408000000000001</c:v>
                </c:pt>
                <c:pt idx="8">
                  <c:v>21.306000000000001</c:v>
                </c:pt>
                <c:pt idx="9">
                  <c:v>21.009</c:v>
                </c:pt>
                <c:pt idx="10">
                  <c:v>21.448</c:v>
                </c:pt>
                <c:pt idx="11">
                  <c:v>21.518999999999998</c:v>
                </c:pt>
                <c:pt idx="12">
                  <c:v>19.925999999999998</c:v>
                </c:pt>
                <c:pt idx="13">
                  <c:v>10.609</c:v>
                </c:pt>
                <c:pt idx="14">
                  <c:v>13.257</c:v>
                </c:pt>
                <c:pt idx="15">
                  <c:v>7.0090000000000003</c:v>
                </c:pt>
                <c:pt idx="16">
                  <c:v>11.818</c:v>
                </c:pt>
                <c:pt idx="17">
                  <c:v>16.117000000000001</c:v>
                </c:pt>
                <c:pt idx="18">
                  <c:v>18.545999999999999</c:v>
                </c:pt>
                <c:pt idx="19">
                  <c:v>21.207999999999998</c:v>
                </c:pt>
                <c:pt idx="20">
                  <c:v>18.035</c:v>
                </c:pt>
                <c:pt idx="21">
                  <c:v>18.690000000000001</c:v>
                </c:pt>
                <c:pt idx="22">
                  <c:v>18.199000000000002</c:v>
                </c:pt>
                <c:pt idx="23">
                  <c:v>19.315999999999999</c:v>
                </c:pt>
                <c:pt idx="24">
                  <c:v>18.968</c:v>
                </c:pt>
                <c:pt idx="25">
                  <c:v>19.747</c:v>
                </c:pt>
                <c:pt idx="26">
                  <c:v>8.5</c:v>
                </c:pt>
                <c:pt idx="27">
                  <c:v>0</c:v>
                </c:pt>
                <c:pt idx="28">
                  <c:v>11.519</c:v>
                </c:pt>
                <c:pt idx="29">
                  <c:v>19.344000000000001</c:v>
                </c:pt>
                <c:pt idx="30">
                  <c:v>20.053889999999999</c:v>
                </c:pt>
                <c:pt idx="31">
                  <c:v>19.367999999999999</c:v>
                </c:pt>
                <c:pt idx="32">
                  <c:v>18.472999999999999</c:v>
                </c:pt>
                <c:pt idx="33">
                  <c:v>18.982659999999999</c:v>
                </c:pt>
                <c:pt idx="34">
                  <c:v>19.226980000000001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3"/>
          <c:tx>
            <c:strRef>
              <c:f>'Oct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x"/>
            <c:size val="8"/>
            <c:spPr>
              <a:noFill/>
              <a:ln w="222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21'!$I$5:$I$42</c:f>
              <c:numCache>
                <c:formatCode>#,##0.000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7.0460000000000003</c:v>
                </c:pt>
                <c:pt idx="3">
                  <c:v>12.331</c:v>
                </c:pt>
                <c:pt idx="4">
                  <c:v>12.683</c:v>
                </c:pt>
                <c:pt idx="5">
                  <c:v>12.433999999999999</c:v>
                </c:pt>
                <c:pt idx="6">
                  <c:v>12.393000000000001</c:v>
                </c:pt>
                <c:pt idx="7">
                  <c:v>11.635999999999999</c:v>
                </c:pt>
                <c:pt idx="8">
                  <c:v>11.066000000000001</c:v>
                </c:pt>
                <c:pt idx="9">
                  <c:v>12.474</c:v>
                </c:pt>
                <c:pt idx="10">
                  <c:v>12.038</c:v>
                </c:pt>
                <c:pt idx="11">
                  <c:v>12.587999999999999</c:v>
                </c:pt>
                <c:pt idx="12">
                  <c:v>11.861000000000001</c:v>
                </c:pt>
                <c:pt idx="13">
                  <c:v>11.843</c:v>
                </c:pt>
                <c:pt idx="14">
                  <c:v>11.79</c:v>
                </c:pt>
                <c:pt idx="15">
                  <c:v>11.448</c:v>
                </c:pt>
                <c:pt idx="16">
                  <c:v>13.292999999999999</c:v>
                </c:pt>
                <c:pt idx="17">
                  <c:v>12.265000000000001</c:v>
                </c:pt>
                <c:pt idx="18">
                  <c:v>12.105</c:v>
                </c:pt>
                <c:pt idx="19">
                  <c:v>12.401999999999999</c:v>
                </c:pt>
                <c:pt idx="20">
                  <c:v>12.462</c:v>
                </c:pt>
                <c:pt idx="21">
                  <c:v>11.789</c:v>
                </c:pt>
                <c:pt idx="22">
                  <c:v>7.2069999999999999</c:v>
                </c:pt>
                <c:pt idx="23">
                  <c:v>6.298</c:v>
                </c:pt>
                <c:pt idx="24">
                  <c:v>6.2690000000000001</c:v>
                </c:pt>
                <c:pt idx="25">
                  <c:v>7.5590000000000002</c:v>
                </c:pt>
                <c:pt idx="26">
                  <c:v>7.7069999999999999</c:v>
                </c:pt>
                <c:pt idx="27">
                  <c:v>11.282</c:v>
                </c:pt>
                <c:pt idx="28">
                  <c:v>13.558999999999999</c:v>
                </c:pt>
                <c:pt idx="29">
                  <c:v>13.788</c:v>
                </c:pt>
                <c:pt idx="30">
                  <c:v>13.129</c:v>
                </c:pt>
                <c:pt idx="31">
                  <c:v>13.608000000000001</c:v>
                </c:pt>
                <c:pt idx="32">
                  <c:v>13.840999999999999</c:v>
                </c:pt>
                <c:pt idx="33">
                  <c:v>13.042999999999999</c:v>
                </c:pt>
                <c:pt idx="34">
                  <c:v>11.717000000000001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4"/>
          <c:tx>
            <c:strRef>
              <c:f>'Oct 21'!$J$4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8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21'!$J$5:$J$42</c:f>
              <c:numCache>
                <c:formatCode>#,##0.000</c:formatCode>
                <c:ptCount val="38"/>
                <c:pt idx="0">
                  <c:v>3.6829999999999998</c:v>
                </c:pt>
                <c:pt idx="1">
                  <c:v>2.9550000000000001</c:v>
                </c:pt>
                <c:pt idx="2">
                  <c:v>2.8570000000000002</c:v>
                </c:pt>
                <c:pt idx="3">
                  <c:v>0.19800000000000001</c:v>
                </c:pt>
                <c:pt idx="4">
                  <c:v>0.19800000000000001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3.24</c:v>
                </c:pt>
                <c:pt idx="12">
                  <c:v>2.0289999999999999</c:v>
                </c:pt>
                <c:pt idx="13">
                  <c:v>3.2549999999999999</c:v>
                </c:pt>
                <c:pt idx="14">
                  <c:v>1.71</c:v>
                </c:pt>
                <c:pt idx="15">
                  <c:v>3.8889999999999998</c:v>
                </c:pt>
                <c:pt idx="16">
                  <c:v>3.319</c:v>
                </c:pt>
                <c:pt idx="17">
                  <c:v>2.3290000000000002</c:v>
                </c:pt>
                <c:pt idx="18">
                  <c:v>3.2690000000000001</c:v>
                </c:pt>
                <c:pt idx="19">
                  <c:v>2.7189999999999999</c:v>
                </c:pt>
                <c:pt idx="20">
                  <c:v>2.5790000000000002</c:v>
                </c:pt>
                <c:pt idx="21">
                  <c:v>2.2599999999999998</c:v>
                </c:pt>
                <c:pt idx="22">
                  <c:v>2.2810000000000001</c:v>
                </c:pt>
                <c:pt idx="23">
                  <c:v>2.2810000000000001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5"/>
          <c:tx>
            <c:strRef>
              <c:f>'Oct 21'!$K$4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'Oct 21'!$B$5:$B$42</c:f>
              <c:numCache>
                <c:formatCode>d\-mmm\-yy</c:formatCode>
                <c:ptCount val="38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  <c:pt idx="32">
                  <c:v>44502</c:v>
                </c:pt>
                <c:pt idx="33">
                  <c:v>44503</c:v>
                </c:pt>
                <c:pt idx="34">
                  <c:v>44504</c:v>
                </c:pt>
                <c:pt idx="35">
                  <c:v>44505</c:v>
                </c:pt>
                <c:pt idx="36">
                  <c:v>44506</c:v>
                </c:pt>
                <c:pt idx="37">
                  <c:v>44507</c:v>
                </c:pt>
              </c:numCache>
            </c:numRef>
          </c:cat>
          <c:val>
            <c:numRef>
              <c:f>'Oct 21'!$K$5:$K$42</c:f>
              <c:numCache>
                <c:formatCode>#,##0.000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2.59</c:v>
                </c:pt>
                <c:pt idx="3">
                  <c:v>3.3959999999999999</c:v>
                </c:pt>
                <c:pt idx="4">
                  <c:v>3.3439999999999999</c:v>
                </c:pt>
                <c:pt idx="5">
                  <c:v>3.4449999999999998</c:v>
                </c:pt>
                <c:pt idx="6">
                  <c:v>1.802</c:v>
                </c:pt>
                <c:pt idx="7">
                  <c:v>2.085</c:v>
                </c:pt>
                <c:pt idx="8">
                  <c:v>1.9</c:v>
                </c:pt>
                <c:pt idx="9">
                  <c:v>2.6549999999999998</c:v>
                </c:pt>
                <c:pt idx="10">
                  <c:v>3.5590000000000002</c:v>
                </c:pt>
                <c:pt idx="11">
                  <c:v>3.5659999999999998</c:v>
                </c:pt>
                <c:pt idx="12">
                  <c:v>3.5579999999999998</c:v>
                </c:pt>
                <c:pt idx="13">
                  <c:v>3.56</c:v>
                </c:pt>
                <c:pt idx="14">
                  <c:v>3.5569999999999999</c:v>
                </c:pt>
                <c:pt idx="15">
                  <c:v>3.5880000000000001</c:v>
                </c:pt>
                <c:pt idx="16">
                  <c:v>3.5750000000000002</c:v>
                </c:pt>
                <c:pt idx="17">
                  <c:v>3.5790000000000002</c:v>
                </c:pt>
                <c:pt idx="18">
                  <c:v>3.5659999999999998</c:v>
                </c:pt>
                <c:pt idx="19">
                  <c:v>3.58</c:v>
                </c:pt>
                <c:pt idx="20">
                  <c:v>3.5659999999999998</c:v>
                </c:pt>
                <c:pt idx="21">
                  <c:v>3.597</c:v>
                </c:pt>
                <c:pt idx="22">
                  <c:v>3.5880000000000001</c:v>
                </c:pt>
                <c:pt idx="23">
                  <c:v>3.52</c:v>
                </c:pt>
                <c:pt idx="24">
                  <c:v>3.5169999999999999</c:v>
                </c:pt>
                <c:pt idx="25">
                  <c:v>3.5209999999999999</c:v>
                </c:pt>
                <c:pt idx="26">
                  <c:v>3.5310000000000001</c:v>
                </c:pt>
                <c:pt idx="27">
                  <c:v>3.5089999999999999</c:v>
                </c:pt>
                <c:pt idx="28">
                  <c:v>3.4769999999999999</c:v>
                </c:pt>
                <c:pt idx="29">
                  <c:v>3.4523000000000001</c:v>
                </c:pt>
                <c:pt idx="30">
                  <c:v>3.4303300000000001</c:v>
                </c:pt>
                <c:pt idx="31">
                  <c:v>3.4654099999999999</c:v>
                </c:pt>
                <c:pt idx="32">
                  <c:v>3.3839999999999999</c:v>
                </c:pt>
                <c:pt idx="33">
                  <c:v>3.4289000000000001</c:v>
                </c:pt>
                <c:pt idx="34">
                  <c:v>3.4418700000000002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87672"/>
        <c:axId val="185590024"/>
      </c:lineChart>
      <c:dateAx>
        <c:axId val="18558767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90024"/>
        <c:crosses val="autoZero"/>
        <c:auto val="1"/>
        <c:lblOffset val="100"/>
        <c:baseTimeUnit val="days"/>
      </c:dateAx>
      <c:valAx>
        <c:axId val="18559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855876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7464538828"/>
          <c:h val="4.0721642435078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145845347349"/>
          <c:y val="8.7067563456482755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'Nov 21'!$AK$5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80-45F8-A257-32FC13D02935}"/>
                </c:ext>
              </c:extLst>
            </c:dLbl>
            <c:dLbl>
              <c:idx val="1"/>
              <c:layout>
                <c:manualLayout>
                  <c:x val="1.0736197096966121E-3"/>
                  <c:y val="-7.84295090251246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80-45F8-A257-32FC13D02935}"/>
                </c:ext>
              </c:extLst>
            </c:dLbl>
            <c:dLbl>
              <c:idx val="4"/>
              <c:layout>
                <c:manualLayout>
                  <c:x val="2.3783785808366528E-2"/>
                  <c:y val="2.94108065956165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480-45F8-A257-32FC13D029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'Nov 21'!$AK$6:$AK$11</c:f>
              <c:numCache>
                <c:formatCode>#,##0.00</c:formatCode>
                <c:ptCount val="6"/>
                <c:pt idx="0">
                  <c:v>21.64</c:v>
                </c:pt>
                <c:pt idx="1">
                  <c:v>15.14</c:v>
                </c:pt>
                <c:pt idx="2">
                  <c:v>8.9</c:v>
                </c:pt>
                <c:pt idx="3">
                  <c:v>3.77</c:v>
                </c:pt>
                <c:pt idx="4">
                  <c:v>49.45</c:v>
                </c:pt>
                <c:pt idx="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1CD-AFB4-1EA2D71F58BB}"/>
            </c:ext>
          </c:extLst>
        </c:ser>
        <c:ser>
          <c:idx val="1"/>
          <c:order val="1"/>
          <c:tx>
            <c:strRef>
              <c:f>'Nov 21'!$AL$5</c:f>
              <c:strCache>
                <c:ptCount val="1"/>
                <c:pt idx="0">
                  <c:v>6-Dec-2021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7.854442633202746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480-45F8-A257-32FC13D02935}"/>
                </c:ext>
              </c:extLst>
            </c:dLbl>
            <c:dLbl>
              <c:idx val="1"/>
              <c:layout>
                <c:manualLayout>
                  <c:x val="1.0736197096966513E-3"/>
                  <c:y val="-1.1833376737910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480-45F8-A257-32FC13D02935}"/>
                </c:ext>
              </c:extLst>
            </c:dLbl>
            <c:dLbl>
              <c:idx val="2"/>
              <c:layout>
                <c:manualLayout>
                  <c:x val="0"/>
                  <c:y val="-2.36322782837505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480-45F8-A257-32FC13D02935}"/>
                </c:ext>
              </c:extLst>
            </c:dLbl>
            <c:dLbl>
              <c:idx val="3"/>
              <c:layout>
                <c:manualLayout>
                  <c:x val="0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480-45F8-A257-32FC13D02935}"/>
                </c:ext>
              </c:extLst>
            </c:dLbl>
            <c:dLbl>
              <c:idx val="4"/>
              <c:layout>
                <c:manualLayout>
                  <c:x val="1.0643206413449089E-3"/>
                  <c:y val="-1.170246418423542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480-45F8-A257-32FC13D02935}"/>
                </c:ext>
              </c:extLst>
            </c:dLbl>
            <c:dLbl>
              <c:idx val="5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480-45F8-A257-32FC13D029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'Nov 21'!$AL$6:$AL$11</c:f>
              <c:numCache>
                <c:formatCode>#,##0.00</c:formatCode>
                <c:ptCount val="6"/>
                <c:pt idx="0">
                  <c:v>0</c:v>
                </c:pt>
                <c:pt idx="1">
                  <c:v>10.88</c:v>
                </c:pt>
                <c:pt idx="2">
                  <c:v>3.7709999999999999</c:v>
                </c:pt>
                <c:pt idx="3">
                  <c:v>0</c:v>
                </c:pt>
                <c:pt idx="4">
                  <c:v>14.651</c:v>
                </c:pt>
                <c:pt idx="5">
                  <c:v>6.86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1CD-AFB4-1EA2D71F58BB}"/>
            </c:ext>
          </c:extLst>
        </c:ser>
        <c:ser>
          <c:idx val="2"/>
          <c:order val="2"/>
          <c:tx>
            <c:strRef>
              <c:f>'Nov 21'!$AM$5</c:f>
              <c:strCache>
                <c:ptCount val="1"/>
                <c:pt idx="0">
                  <c:v>7-Dec-2021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-1.382858965560991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480-45F8-A257-32FC13D02935}"/>
                </c:ext>
              </c:extLst>
            </c:dLbl>
            <c:dLbl>
              <c:idx val="1"/>
              <c:layout>
                <c:manualLayout>
                  <c:x val="-3.9700499098820024E-17"/>
                  <c:y val="-3.921475451256121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480-45F8-A257-32FC13D02935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480-45F8-A257-32FC13D02935}"/>
                </c:ext>
              </c:extLst>
            </c:dLbl>
            <c:dLbl>
              <c:idx val="4"/>
              <c:layout>
                <c:manualLayout>
                  <c:x val="0"/>
                  <c:y val="1.972229456318420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480-45F8-A257-32FC13D02935}"/>
                </c:ext>
              </c:extLst>
            </c:dLbl>
            <c:dLbl>
              <c:idx val="5"/>
              <c:layout>
                <c:manualLayout>
                  <c:x val="0"/>
                  <c:y val="-1.74443291463711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480-45F8-A257-32FC13D029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'Nov 21'!$AM$6:$AM$11</c:f>
              <c:numCache>
                <c:formatCode>#,##0.00</c:formatCode>
                <c:ptCount val="6"/>
                <c:pt idx="0">
                  <c:v>11.343</c:v>
                </c:pt>
                <c:pt idx="1">
                  <c:v>10.244999999999999</c:v>
                </c:pt>
                <c:pt idx="2">
                  <c:v>3.4049999999999998</c:v>
                </c:pt>
                <c:pt idx="3">
                  <c:v>1.615</c:v>
                </c:pt>
                <c:pt idx="4">
                  <c:v>26.608000000000001</c:v>
                </c:pt>
                <c:pt idx="5">
                  <c:v>8.01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1CD-AFB4-1EA2D71F58BB}"/>
            </c:ext>
          </c:extLst>
        </c:ser>
        <c:ser>
          <c:idx val="3"/>
          <c:order val="3"/>
          <c:tx>
            <c:strRef>
              <c:f>'Nov 21'!$AN$5</c:f>
              <c:strCache>
                <c:ptCount val="1"/>
                <c:pt idx="0">
                  <c:v>8-Dec-2021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932967181946625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480-45F8-A257-32FC13D02935}"/>
                </c:ext>
              </c:extLst>
            </c:dLbl>
            <c:dLbl>
              <c:idx val="1"/>
              <c:layout>
                <c:manualLayout>
                  <c:x val="0"/>
                  <c:y val="-3.352790075741383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480-45F8-A257-32FC13D02935}"/>
                </c:ext>
              </c:extLst>
            </c:dLbl>
            <c:dLbl>
              <c:idx val="2"/>
              <c:layout>
                <c:manualLayout>
                  <c:x val="0"/>
                  <c:y val="-1.57778356505477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480-45F8-A257-32FC13D02935}"/>
                </c:ext>
              </c:extLst>
            </c:dLbl>
            <c:dLbl>
              <c:idx val="4"/>
              <c:layout>
                <c:manualLayout>
                  <c:x val="-1.5746240506969626E-16"/>
                  <c:y val="-2.37012286678925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480-45F8-A257-32FC13D02935}"/>
                </c:ext>
              </c:extLst>
            </c:dLbl>
            <c:dLbl>
              <c:idx val="5"/>
              <c:layout>
                <c:manualLayout>
                  <c:x val="-1.5475654635488098E-16"/>
                  <c:y val="-1.78060714210310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480-45F8-A257-32FC13D029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'Nov 21'!$AN$6:$AN$11</c:f>
              <c:numCache>
                <c:formatCode>#,##0.00</c:formatCode>
                <c:ptCount val="6"/>
                <c:pt idx="0">
                  <c:v>20.977</c:v>
                </c:pt>
                <c:pt idx="1">
                  <c:v>10.287000000000001</c:v>
                </c:pt>
                <c:pt idx="2">
                  <c:v>4.8019999999999996</c:v>
                </c:pt>
                <c:pt idx="3">
                  <c:v>3.5819999999999999</c:v>
                </c:pt>
                <c:pt idx="4">
                  <c:v>39.648000000000003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9A-4091-8B77-2C78E504CA04}"/>
            </c:ext>
          </c:extLst>
        </c:ser>
        <c:ser>
          <c:idx val="4"/>
          <c:order val="4"/>
          <c:tx>
            <c:strRef>
              <c:f>'Nov 21'!$AO$5</c:f>
              <c:strCache>
                <c:ptCount val="1"/>
                <c:pt idx="0">
                  <c:v>9-Dec-2021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9700499098820024E-17"/>
                  <c:y val="-9.792041603792146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480-45F8-A257-32FC13D02935}"/>
                </c:ext>
              </c:extLst>
            </c:dLbl>
            <c:dLbl>
              <c:idx val="1"/>
              <c:layout>
                <c:manualLayout>
                  <c:x val="-3.9365601267424066E-17"/>
                  <c:y val="9.884130742973000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480-45F8-A257-32FC13D02935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480-45F8-A257-32FC13D02935}"/>
                </c:ext>
              </c:extLst>
            </c:dLbl>
            <c:dLbl>
              <c:idx val="4"/>
              <c:layout>
                <c:manualLayout>
                  <c:x val="1.0844404437785936E-3"/>
                  <c:y val="5.912650733847945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480-45F8-A257-32FC13D02935}"/>
                </c:ext>
              </c:extLst>
            </c:dLbl>
            <c:dLbl>
              <c:idx val="5"/>
              <c:layout>
                <c:manualLayout>
                  <c:x val="-1.588019963952801E-16"/>
                  <c:y val="-2.006704648389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480-45F8-A257-32FC13D029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'Nov 21'!$AO$6:$AO$11</c:f>
              <c:numCache>
                <c:formatCode>#,##0.00</c:formatCode>
                <c:ptCount val="6"/>
                <c:pt idx="0">
                  <c:v>18.202999999999999</c:v>
                </c:pt>
                <c:pt idx="1">
                  <c:v>6.3280000000000003</c:v>
                </c:pt>
                <c:pt idx="2">
                  <c:v>4.9390000000000001</c:v>
                </c:pt>
                <c:pt idx="3">
                  <c:v>3.452</c:v>
                </c:pt>
                <c:pt idx="4">
                  <c:v>32.921999999999997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9A-4091-8B77-2C78E504CA04}"/>
            </c:ext>
          </c:extLst>
        </c:ser>
        <c:ser>
          <c:idx val="5"/>
          <c:order val="5"/>
          <c:tx>
            <c:strRef>
              <c:f>'Nov 21'!$AP$5</c:f>
              <c:strCache>
                <c:ptCount val="1"/>
                <c:pt idx="0">
                  <c:v>10-Dec-2021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8.0597408490494402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480-45F8-A257-32FC13D02935}"/>
                </c:ext>
              </c:extLst>
            </c:dLbl>
            <c:dLbl>
              <c:idx val="1"/>
              <c:layout>
                <c:manualLayout>
                  <c:x val="0"/>
                  <c:y val="-1.56857465113668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480-45F8-A257-32FC13D02935}"/>
                </c:ext>
              </c:extLst>
            </c:dLbl>
            <c:dLbl>
              <c:idx val="2"/>
              <c:layout>
                <c:manualLayout>
                  <c:x val="0"/>
                  <c:y val="-1.3805606194229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480-45F8-A257-32FC13D02935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480-45F8-A257-32FC13D02935}"/>
                </c:ext>
              </c:extLst>
            </c:dLbl>
            <c:dLbl>
              <c:idx val="4"/>
              <c:layout>
                <c:manualLayout>
                  <c:x val="0"/>
                  <c:y val="3.968373747176087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480-45F8-A257-32FC13D02935}"/>
                </c:ext>
              </c:extLst>
            </c:dLbl>
            <c:dLbl>
              <c:idx val="5"/>
              <c:layout>
                <c:manualLayout>
                  <c:x val="-1.588019963952801E-16"/>
                  <c:y val="7.84295090251224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480-45F8-A257-32FC13D029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 21'!$AJ$6:$AJ$11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'Nov 21'!$AP$6:$AP$11</c:f>
              <c:numCache>
                <c:formatCode>#,##0.00</c:formatCode>
                <c:ptCount val="6"/>
                <c:pt idx="0">
                  <c:v>18.027999999999999</c:v>
                </c:pt>
                <c:pt idx="1">
                  <c:v>0</c:v>
                </c:pt>
                <c:pt idx="2">
                  <c:v>4.9390000000000001</c:v>
                </c:pt>
                <c:pt idx="3">
                  <c:v>3.3759999999999999</c:v>
                </c:pt>
                <c:pt idx="4">
                  <c:v>26.343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9A-4091-8B77-2C78E504C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91822968"/>
        <c:axId val="191821792"/>
      </c:barChart>
      <c:catAx>
        <c:axId val="1918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792"/>
        <c:crosses val="autoZero"/>
        <c:auto val="1"/>
        <c:lblAlgn val="ctr"/>
        <c:lblOffset val="100"/>
        <c:noMultiLvlLbl val="0"/>
      </c:catAx>
      <c:valAx>
        <c:axId val="19182179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5118366896647533E-2"/>
              <c:y val="0.33807827752998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296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November 2021</a:t>
            </a:r>
          </a:p>
        </c:rich>
      </c:tx>
      <c:layout>
        <c:manualLayout>
          <c:xMode val="edge"/>
          <c:yMode val="edge"/>
          <c:x val="0.22298760840626958"/>
          <c:y val="2.1821898964775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1"/>
          <c:order val="0"/>
          <c:tx>
            <c:strRef>
              <c:f>'Nov 21'!$S$4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7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21'!$S$5:$S$42</c:f>
              <c:numCache>
                <c:formatCode>#,##0.00</c:formatCode>
                <c:ptCount val="38"/>
                <c:pt idx="0">
                  <c:v>32.270000000000003</c:v>
                </c:pt>
                <c:pt idx="1">
                  <c:v>32.270000000000003</c:v>
                </c:pt>
                <c:pt idx="2">
                  <c:v>32.270000000000003</c:v>
                </c:pt>
                <c:pt idx="3">
                  <c:v>32.270000000000003</c:v>
                </c:pt>
                <c:pt idx="4">
                  <c:v>33.049999999999997</c:v>
                </c:pt>
                <c:pt idx="5">
                  <c:v>35.82</c:v>
                </c:pt>
                <c:pt idx="6">
                  <c:v>31.44</c:v>
                </c:pt>
                <c:pt idx="7">
                  <c:v>31.42</c:v>
                </c:pt>
                <c:pt idx="8">
                  <c:v>35.44</c:v>
                </c:pt>
                <c:pt idx="9">
                  <c:v>37.78</c:v>
                </c:pt>
                <c:pt idx="10">
                  <c:v>37.78</c:v>
                </c:pt>
                <c:pt idx="11">
                  <c:v>31.28</c:v>
                </c:pt>
                <c:pt idx="12">
                  <c:v>38.340000000000003</c:v>
                </c:pt>
                <c:pt idx="13">
                  <c:v>31.28</c:v>
                </c:pt>
                <c:pt idx="14">
                  <c:v>32.130000000000003</c:v>
                </c:pt>
                <c:pt idx="15">
                  <c:v>39.020000000000003</c:v>
                </c:pt>
                <c:pt idx="16">
                  <c:v>38.979999999999997</c:v>
                </c:pt>
                <c:pt idx="17">
                  <c:v>38.94</c:v>
                </c:pt>
                <c:pt idx="18">
                  <c:v>38.94</c:v>
                </c:pt>
                <c:pt idx="19">
                  <c:v>38.94</c:v>
                </c:pt>
                <c:pt idx="20">
                  <c:v>39.020000000000003</c:v>
                </c:pt>
                <c:pt idx="21">
                  <c:v>38.96</c:v>
                </c:pt>
                <c:pt idx="22">
                  <c:v>39.01</c:v>
                </c:pt>
                <c:pt idx="23">
                  <c:v>38.520000000000003</c:v>
                </c:pt>
                <c:pt idx="24">
                  <c:v>37.270000000000003</c:v>
                </c:pt>
                <c:pt idx="25">
                  <c:v>36.630000000000003</c:v>
                </c:pt>
                <c:pt idx="26">
                  <c:v>36.630000000000003</c:v>
                </c:pt>
                <c:pt idx="27">
                  <c:v>36.630000000000003</c:v>
                </c:pt>
                <c:pt idx="28">
                  <c:v>29.34</c:v>
                </c:pt>
                <c:pt idx="29">
                  <c:v>28.01</c:v>
                </c:pt>
                <c:pt idx="30">
                  <c:v>33.6</c:v>
                </c:pt>
                <c:pt idx="31">
                  <c:v>34.58</c:v>
                </c:pt>
                <c:pt idx="32">
                  <c:v>32.409999999999997</c:v>
                </c:pt>
                <c:pt idx="33">
                  <c:v>30.48</c:v>
                </c:pt>
                <c:pt idx="34">
                  <c:v>29.643000000000001</c:v>
                </c:pt>
                <c:pt idx="35">
                  <c:v>30.38</c:v>
                </c:pt>
                <c:pt idx="36">
                  <c:v>30.38</c:v>
                </c:pt>
                <c:pt idx="37">
                  <c:v>30.38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1"/>
          <c:tx>
            <c:strRef>
              <c:f>'Nov 21'!$M$4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1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21'!$M$5:$M$42</c:f>
              <c:numCache>
                <c:formatCode>#,##0.00</c:formatCode>
                <c:ptCount val="38"/>
                <c:pt idx="0">
                  <c:v>19.75</c:v>
                </c:pt>
                <c:pt idx="1">
                  <c:v>17.22</c:v>
                </c:pt>
                <c:pt idx="2">
                  <c:v>15.853</c:v>
                </c:pt>
                <c:pt idx="3">
                  <c:v>15.497</c:v>
                </c:pt>
                <c:pt idx="4">
                  <c:v>16.068000000000001</c:v>
                </c:pt>
                <c:pt idx="5">
                  <c:v>17.141999999999999</c:v>
                </c:pt>
                <c:pt idx="6">
                  <c:v>14.04</c:v>
                </c:pt>
                <c:pt idx="7">
                  <c:v>16.759</c:v>
                </c:pt>
                <c:pt idx="8">
                  <c:v>16.431999999999999</c:v>
                </c:pt>
                <c:pt idx="9">
                  <c:v>15.885999999999999</c:v>
                </c:pt>
                <c:pt idx="10">
                  <c:v>15.433</c:v>
                </c:pt>
                <c:pt idx="11">
                  <c:v>17.63</c:v>
                </c:pt>
                <c:pt idx="12">
                  <c:v>7.71</c:v>
                </c:pt>
                <c:pt idx="13">
                  <c:v>10.051</c:v>
                </c:pt>
                <c:pt idx="14">
                  <c:v>5.2050000000000001</c:v>
                </c:pt>
                <c:pt idx="15">
                  <c:v>15.097</c:v>
                </c:pt>
                <c:pt idx="16">
                  <c:v>5.226</c:v>
                </c:pt>
                <c:pt idx="17">
                  <c:v>14.391999999999999</c:v>
                </c:pt>
                <c:pt idx="18">
                  <c:v>13.587999999999999</c:v>
                </c:pt>
                <c:pt idx="19">
                  <c:v>17.358000000000001</c:v>
                </c:pt>
                <c:pt idx="20">
                  <c:v>17.452000000000002</c:v>
                </c:pt>
                <c:pt idx="21">
                  <c:v>16.385999999999999</c:v>
                </c:pt>
                <c:pt idx="22">
                  <c:v>17.96</c:v>
                </c:pt>
                <c:pt idx="23">
                  <c:v>18.006</c:v>
                </c:pt>
                <c:pt idx="24">
                  <c:v>15.541</c:v>
                </c:pt>
                <c:pt idx="25">
                  <c:v>2.5059999999999998</c:v>
                </c:pt>
                <c:pt idx="26">
                  <c:v>11.865</c:v>
                </c:pt>
                <c:pt idx="27">
                  <c:v>5.2</c:v>
                </c:pt>
                <c:pt idx="28">
                  <c:v>9.0340000000000007</c:v>
                </c:pt>
                <c:pt idx="29">
                  <c:v>13.022</c:v>
                </c:pt>
                <c:pt idx="30">
                  <c:v>15.26</c:v>
                </c:pt>
                <c:pt idx="31">
                  <c:v>1.6180000000000001</c:v>
                </c:pt>
                <c:pt idx="32">
                  <c:v>5.194</c:v>
                </c:pt>
                <c:pt idx="33">
                  <c:v>6.8810000000000002</c:v>
                </c:pt>
                <c:pt idx="34">
                  <c:v>2.2050000000000001</c:v>
                </c:pt>
                <c:pt idx="35">
                  <c:v>6.86</c:v>
                </c:pt>
                <c:pt idx="36">
                  <c:v>8.01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2"/>
          <c:tx>
            <c:strRef>
              <c:f>'Nov 21'!$AA$4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21'!$AA$5:$AA$42</c:f>
              <c:numCache>
                <c:formatCode>#,##0.00</c:formatCode>
                <c:ptCount val="38"/>
                <c:pt idx="0">
                  <c:v>12.520000000000003</c:v>
                </c:pt>
                <c:pt idx="1">
                  <c:v>15.050000000000004</c:v>
                </c:pt>
                <c:pt idx="2">
                  <c:v>16.417000000000002</c:v>
                </c:pt>
                <c:pt idx="3">
                  <c:v>16.773000000000003</c:v>
                </c:pt>
                <c:pt idx="4">
                  <c:v>16.981999999999996</c:v>
                </c:pt>
                <c:pt idx="5">
                  <c:v>18.678000000000001</c:v>
                </c:pt>
                <c:pt idx="6">
                  <c:v>17.400000000000002</c:v>
                </c:pt>
                <c:pt idx="7">
                  <c:v>14.661000000000001</c:v>
                </c:pt>
                <c:pt idx="8">
                  <c:v>19.007999999999999</c:v>
                </c:pt>
                <c:pt idx="9">
                  <c:v>21.894000000000002</c:v>
                </c:pt>
                <c:pt idx="10">
                  <c:v>22.347000000000001</c:v>
                </c:pt>
                <c:pt idx="11">
                  <c:v>13.650000000000002</c:v>
                </c:pt>
                <c:pt idx="12">
                  <c:v>30.630000000000003</c:v>
                </c:pt>
                <c:pt idx="13">
                  <c:v>21.228999999999999</c:v>
                </c:pt>
                <c:pt idx="14">
                  <c:v>26.925000000000004</c:v>
                </c:pt>
                <c:pt idx="15">
                  <c:v>23.923000000000002</c:v>
                </c:pt>
                <c:pt idx="16">
                  <c:v>33.753999999999998</c:v>
                </c:pt>
                <c:pt idx="17">
                  <c:v>24.547999999999998</c:v>
                </c:pt>
                <c:pt idx="18">
                  <c:v>25.351999999999997</c:v>
                </c:pt>
                <c:pt idx="19">
                  <c:v>21.581999999999997</c:v>
                </c:pt>
                <c:pt idx="20">
                  <c:v>21.568000000000001</c:v>
                </c:pt>
                <c:pt idx="21">
                  <c:v>22.574000000000002</c:v>
                </c:pt>
                <c:pt idx="22">
                  <c:v>21.049999999999997</c:v>
                </c:pt>
                <c:pt idx="23">
                  <c:v>20.514000000000003</c:v>
                </c:pt>
                <c:pt idx="24">
                  <c:v>21.729000000000003</c:v>
                </c:pt>
                <c:pt idx="25">
                  <c:v>34.124000000000002</c:v>
                </c:pt>
                <c:pt idx="26">
                  <c:v>24.765000000000001</c:v>
                </c:pt>
                <c:pt idx="27">
                  <c:v>31.430000000000003</c:v>
                </c:pt>
                <c:pt idx="28">
                  <c:v>20.305999999999997</c:v>
                </c:pt>
                <c:pt idx="29">
                  <c:v>14.988000000000001</c:v>
                </c:pt>
                <c:pt idx="30">
                  <c:v>18.340000000000003</c:v>
                </c:pt>
                <c:pt idx="31">
                  <c:v>32.961999999999996</c:v>
                </c:pt>
                <c:pt idx="32">
                  <c:v>27.215999999999998</c:v>
                </c:pt>
                <c:pt idx="33">
                  <c:v>23.599</c:v>
                </c:pt>
                <c:pt idx="34">
                  <c:v>27.438000000000002</c:v>
                </c:pt>
                <c:pt idx="35">
                  <c:v>23.52</c:v>
                </c:pt>
                <c:pt idx="36">
                  <c:v>22.369999999999997</c:v>
                </c:pt>
                <c:pt idx="37">
                  <c:v>30.38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3"/>
          <c:tx>
            <c:strRef>
              <c:f>'Nov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21'!$I$5:$I$42</c:f>
              <c:numCache>
                <c:formatCode>#,##0.000</c:formatCode>
                <c:ptCount val="38"/>
                <c:pt idx="0">
                  <c:v>13.608000000000001</c:v>
                </c:pt>
                <c:pt idx="1">
                  <c:v>13.840999999999999</c:v>
                </c:pt>
                <c:pt idx="2">
                  <c:v>13.042999999999999</c:v>
                </c:pt>
                <c:pt idx="3">
                  <c:v>11.717000000000001</c:v>
                </c:pt>
                <c:pt idx="4">
                  <c:v>13.127000000000001</c:v>
                </c:pt>
                <c:pt idx="5">
                  <c:v>12.869</c:v>
                </c:pt>
                <c:pt idx="6">
                  <c:v>12.606</c:v>
                </c:pt>
                <c:pt idx="7">
                  <c:v>11.55</c:v>
                </c:pt>
                <c:pt idx="8">
                  <c:v>12.614000000000001</c:v>
                </c:pt>
                <c:pt idx="9">
                  <c:v>13.118</c:v>
                </c:pt>
                <c:pt idx="10">
                  <c:v>13.284000000000001</c:v>
                </c:pt>
                <c:pt idx="11">
                  <c:v>13.728999999999999</c:v>
                </c:pt>
                <c:pt idx="12">
                  <c:v>13.558999999999999</c:v>
                </c:pt>
                <c:pt idx="13">
                  <c:v>10.007</c:v>
                </c:pt>
                <c:pt idx="14">
                  <c:v>11.695</c:v>
                </c:pt>
                <c:pt idx="15">
                  <c:v>12.614000000000001</c:v>
                </c:pt>
                <c:pt idx="16">
                  <c:v>12.769</c:v>
                </c:pt>
                <c:pt idx="17">
                  <c:v>12.121</c:v>
                </c:pt>
                <c:pt idx="18">
                  <c:v>13.611000000000001</c:v>
                </c:pt>
                <c:pt idx="19">
                  <c:v>13.356999999999999</c:v>
                </c:pt>
                <c:pt idx="20">
                  <c:v>12.25</c:v>
                </c:pt>
                <c:pt idx="21">
                  <c:v>12.227</c:v>
                </c:pt>
                <c:pt idx="22">
                  <c:v>13.396000000000001</c:v>
                </c:pt>
                <c:pt idx="23">
                  <c:v>13.036</c:v>
                </c:pt>
                <c:pt idx="24">
                  <c:v>12.493</c:v>
                </c:pt>
                <c:pt idx="25">
                  <c:v>11.038</c:v>
                </c:pt>
                <c:pt idx="26">
                  <c:v>10.967000000000001</c:v>
                </c:pt>
                <c:pt idx="27">
                  <c:v>10.637</c:v>
                </c:pt>
                <c:pt idx="28">
                  <c:v>9.4619999999999997</c:v>
                </c:pt>
                <c:pt idx="29">
                  <c:v>9.2509999999999994</c:v>
                </c:pt>
                <c:pt idx="30">
                  <c:v>10.02</c:v>
                </c:pt>
                <c:pt idx="31">
                  <c:v>11.375999999999999</c:v>
                </c:pt>
                <c:pt idx="32">
                  <c:v>10.614000000000001</c:v>
                </c:pt>
                <c:pt idx="33">
                  <c:v>9.5030000000000001</c:v>
                </c:pt>
                <c:pt idx="34">
                  <c:v>10.115</c:v>
                </c:pt>
                <c:pt idx="35">
                  <c:v>10.88</c:v>
                </c:pt>
                <c:pt idx="36">
                  <c:v>10.244999999999999</c:v>
                </c:pt>
                <c:pt idx="37">
                  <c:v>10.287000000000001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1400"/>
        <c:axId val="191823360"/>
      </c:lineChart>
      <c:dateAx>
        <c:axId val="191821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3360"/>
        <c:crosses val="autoZero"/>
        <c:auto val="1"/>
        <c:lblOffset val="100"/>
        <c:baseTimeUnit val="days"/>
      </c:dateAx>
      <c:valAx>
        <c:axId val="1918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400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80765235863026852"/>
          <c:h val="4.9004935247062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November 2021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5"/>
          <c:order val="0"/>
          <c:tx>
            <c:strRef>
              <c:f>'Nov 21'!$G$4</c:f>
              <c:strCache>
                <c:ptCount val="1"/>
                <c:pt idx="0">
                  <c:v>August 2021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chemeClr val="accent5"/>
              </a:solidFill>
              <a:ln w="9525">
                <a:solidFill>
                  <a:schemeClr val="accent5">
                    <a:alpha val="98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21'!$G$5:$G$42</c:f>
              <c:numCache>
                <c:formatCode>#,##0.000</c:formatCode>
                <c:ptCount val="38"/>
                <c:pt idx="0">
                  <c:v>49.442</c:v>
                </c:pt>
                <c:pt idx="1">
                  <c:v>49.442</c:v>
                </c:pt>
                <c:pt idx="2">
                  <c:v>49.442</c:v>
                </c:pt>
                <c:pt idx="3">
                  <c:v>49.442</c:v>
                </c:pt>
                <c:pt idx="4">
                  <c:v>49.442</c:v>
                </c:pt>
                <c:pt idx="5">
                  <c:v>49.442</c:v>
                </c:pt>
                <c:pt idx="6">
                  <c:v>49.442</c:v>
                </c:pt>
                <c:pt idx="7">
                  <c:v>49.442</c:v>
                </c:pt>
                <c:pt idx="8">
                  <c:v>49.442</c:v>
                </c:pt>
                <c:pt idx="9">
                  <c:v>49.442</c:v>
                </c:pt>
                <c:pt idx="10">
                  <c:v>49.442</c:v>
                </c:pt>
                <c:pt idx="11">
                  <c:v>49.442</c:v>
                </c:pt>
                <c:pt idx="12">
                  <c:v>49.442</c:v>
                </c:pt>
                <c:pt idx="13">
                  <c:v>49.442</c:v>
                </c:pt>
                <c:pt idx="14">
                  <c:v>49.442</c:v>
                </c:pt>
                <c:pt idx="15">
                  <c:v>49.442</c:v>
                </c:pt>
                <c:pt idx="16">
                  <c:v>49.442</c:v>
                </c:pt>
                <c:pt idx="17">
                  <c:v>49.442</c:v>
                </c:pt>
                <c:pt idx="18">
                  <c:v>49.442</c:v>
                </c:pt>
                <c:pt idx="19">
                  <c:v>49.442</c:v>
                </c:pt>
                <c:pt idx="20">
                  <c:v>49.442</c:v>
                </c:pt>
                <c:pt idx="21">
                  <c:v>49.442</c:v>
                </c:pt>
                <c:pt idx="22">
                  <c:v>49.442</c:v>
                </c:pt>
                <c:pt idx="23">
                  <c:v>49.442</c:v>
                </c:pt>
                <c:pt idx="24">
                  <c:v>49.442</c:v>
                </c:pt>
                <c:pt idx="25">
                  <c:v>49.442</c:v>
                </c:pt>
                <c:pt idx="26">
                  <c:v>49.442</c:v>
                </c:pt>
                <c:pt idx="27">
                  <c:v>49.442</c:v>
                </c:pt>
                <c:pt idx="28">
                  <c:v>49.442</c:v>
                </c:pt>
                <c:pt idx="29">
                  <c:v>49.442</c:v>
                </c:pt>
                <c:pt idx="30">
                  <c:v>49.442</c:v>
                </c:pt>
                <c:pt idx="31">
                  <c:v>49.442</c:v>
                </c:pt>
                <c:pt idx="32">
                  <c:v>49.442</c:v>
                </c:pt>
                <c:pt idx="33">
                  <c:v>49.442</c:v>
                </c:pt>
                <c:pt idx="34">
                  <c:v>49.442</c:v>
                </c:pt>
                <c:pt idx="35">
                  <c:v>49.442</c:v>
                </c:pt>
                <c:pt idx="36">
                  <c:v>49.442</c:v>
                </c:pt>
                <c:pt idx="37">
                  <c:v>49.442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8-4D97-A899-6BA4CAF61E3C}"/>
            </c:ext>
          </c:extLst>
        </c:ser>
        <c:ser>
          <c:idx val="4"/>
          <c:order val="1"/>
          <c:tx>
            <c:strRef>
              <c:f>'Nov 21'!$L$4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tar"/>
            <c:size val="8"/>
            <c:spPr>
              <a:noFill/>
              <a:ln w="19050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21'!$L$5:$L$42</c:f>
              <c:numCache>
                <c:formatCode>#,##0.000</c:formatCode>
                <c:ptCount val="38"/>
                <c:pt idx="0">
                  <c:v>36.441409999999998</c:v>
                </c:pt>
                <c:pt idx="1">
                  <c:v>35.698</c:v>
                </c:pt>
                <c:pt idx="2">
                  <c:v>35.454560000000001</c:v>
                </c:pt>
                <c:pt idx="3">
                  <c:v>34.385850000000005</c:v>
                </c:pt>
                <c:pt idx="4">
                  <c:v>35.651000000000003</c:v>
                </c:pt>
                <c:pt idx="5">
                  <c:v>34.271999999999998</c:v>
                </c:pt>
                <c:pt idx="6">
                  <c:v>34.536999999999999</c:v>
                </c:pt>
                <c:pt idx="7">
                  <c:v>37.394999999999996</c:v>
                </c:pt>
                <c:pt idx="8">
                  <c:v>34.088999999999999</c:v>
                </c:pt>
                <c:pt idx="9">
                  <c:v>35.716999999999999</c:v>
                </c:pt>
                <c:pt idx="10">
                  <c:v>36.675999999999995</c:v>
                </c:pt>
                <c:pt idx="11">
                  <c:v>32.699999999999996</c:v>
                </c:pt>
                <c:pt idx="12">
                  <c:v>29.319000000000003</c:v>
                </c:pt>
                <c:pt idx="13">
                  <c:v>24.056000000000004</c:v>
                </c:pt>
                <c:pt idx="14">
                  <c:v>28.163</c:v>
                </c:pt>
                <c:pt idx="15">
                  <c:v>30.700999999999997</c:v>
                </c:pt>
                <c:pt idx="16">
                  <c:v>30.940000000000005</c:v>
                </c:pt>
                <c:pt idx="17">
                  <c:v>29.16</c:v>
                </c:pt>
                <c:pt idx="18">
                  <c:v>29.792999999999999</c:v>
                </c:pt>
                <c:pt idx="19">
                  <c:v>29.30424</c:v>
                </c:pt>
                <c:pt idx="20">
                  <c:v>29.014800000000001</c:v>
                </c:pt>
                <c:pt idx="21">
                  <c:v>29.267800000000001</c:v>
                </c:pt>
                <c:pt idx="22">
                  <c:v>30.302</c:v>
                </c:pt>
                <c:pt idx="23">
                  <c:v>30.073889999999995</c:v>
                </c:pt>
                <c:pt idx="24">
                  <c:v>29.169</c:v>
                </c:pt>
                <c:pt idx="25">
                  <c:v>27.717000000000002</c:v>
                </c:pt>
                <c:pt idx="26">
                  <c:v>27.810839999999999</c:v>
                </c:pt>
                <c:pt idx="27">
                  <c:v>29.040199999999999</c:v>
                </c:pt>
                <c:pt idx="28">
                  <c:v>27.6035</c:v>
                </c:pt>
                <c:pt idx="29">
                  <c:v>22.790700000000001</c:v>
                </c:pt>
                <c:pt idx="30">
                  <c:v>18.262999999999998</c:v>
                </c:pt>
                <c:pt idx="31">
                  <c:v>14.193999999999999</c:v>
                </c:pt>
                <c:pt idx="32">
                  <c:v>10.614000000000001</c:v>
                </c:pt>
                <c:pt idx="33">
                  <c:v>10.842000000000001</c:v>
                </c:pt>
                <c:pt idx="34">
                  <c:v>13.954000000000001</c:v>
                </c:pt>
                <c:pt idx="35">
                  <c:v>14.651</c:v>
                </c:pt>
                <c:pt idx="36">
                  <c:v>26.608000000000001</c:v>
                </c:pt>
                <c:pt idx="37">
                  <c:v>39.648000000000003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8-4D97-A899-6BA4CAF61E3C}"/>
            </c:ext>
          </c:extLst>
        </c:ser>
        <c:ser>
          <c:idx val="1"/>
          <c:order val="2"/>
          <c:tx>
            <c:strRef>
              <c:f>'Nov 21'!$H$4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21'!$H$5:$H$42</c:f>
              <c:numCache>
                <c:formatCode>#,##0.000</c:formatCode>
                <c:ptCount val="38"/>
                <c:pt idx="0">
                  <c:v>19.367999999999999</c:v>
                </c:pt>
                <c:pt idx="1">
                  <c:v>18.472999999999999</c:v>
                </c:pt>
                <c:pt idx="2">
                  <c:v>18.982659999999999</c:v>
                </c:pt>
                <c:pt idx="3">
                  <c:v>19.226980000000001</c:v>
                </c:pt>
                <c:pt idx="4">
                  <c:v>19.094999999999999</c:v>
                </c:pt>
                <c:pt idx="5">
                  <c:v>18</c:v>
                </c:pt>
                <c:pt idx="6">
                  <c:v>18.559999999999999</c:v>
                </c:pt>
                <c:pt idx="7">
                  <c:v>18.986000000000001</c:v>
                </c:pt>
                <c:pt idx="8">
                  <c:v>18.111000000000001</c:v>
                </c:pt>
                <c:pt idx="9">
                  <c:v>19.239000000000001</c:v>
                </c:pt>
                <c:pt idx="10">
                  <c:v>17.954999999999998</c:v>
                </c:pt>
                <c:pt idx="11">
                  <c:v>12.209</c:v>
                </c:pt>
                <c:pt idx="12">
                  <c:v>9.8949999999999996</c:v>
                </c:pt>
                <c:pt idx="13">
                  <c:v>8.0779999999999994</c:v>
                </c:pt>
                <c:pt idx="14">
                  <c:v>8.2850000000000001</c:v>
                </c:pt>
                <c:pt idx="15">
                  <c:v>9.9779999999999998</c:v>
                </c:pt>
                <c:pt idx="16">
                  <c:v>10.026</c:v>
                </c:pt>
                <c:pt idx="17">
                  <c:v>9.0960000000000001</c:v>
                </c:pt>
                <c:pt idx="18">
                  <c:v>8.9749999999999996</c:v>
                </c:pt>
                <c:pt idx="19">
                  <c:v>9.2289999999999992</c:v>
                </c:pt>
                <c:pt idx="20">
                  <c:v>9.7650000000000006</c:v>
                </c:pt>
                <c:pt idx="21">
                  <c:v>10.084</c:v>
                </c:pt>
                <c:pt idx="22">
                  <c:v>10.031000000000001</c:v>
                </c:pt>
                <c:pt idx="23">
                  <c:v>10.041</c:v>
                </c:pt>
                <c:pt idx="24">
                  <c:v>9.7799999999999994</c:v>
                </c:pt>
                <c:pt idx="25">
                  <c:v>9.7629999999999999</c:v>
                </c:pt>
                <c:pt idx="26">
                  <c:v>9.0335300000000007</c:v>
                </c:pt>
                <c:pt idx="27">
                  <c:v>10.445399999999999</c:v>
                </c:pt>
                <c:pt idx="28">
                  <c:v>10.175000000000001</c:v>
                </c:pt>
                <c:pt idx="29">
                  <c:v>5.6970000000000001</c:v>
                </c:pt>
                <c:pt idx="30">
                  <c:v>0.247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11.343</c:v>
                </c:pt>
                <c:pt idx="37">
                  <c:v>20.977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0-4CA9-A42F-6F1155E46691}"/>
            </c:ext>
          </c:extLst>
        </c:ser>
        <c:ser>
          <c:idx val="0"/>
          <c:order val="3"/>
          <c:tx>
            <c:strRef>
              <c:f>'Nov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x"/>
            <c:size val="8"/>
            <c:spPr>
              <a:noFill/>
              <a:ln w="222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21'!$I$5:$I$42</c:f>
              <c:numCache>
                <c:formatCode>#,##0.000</c:formatCode>
                <c:ptCount val="38"/>
                <c:pt idx="0">
                  <c:v>13.608000000000001</c:v>
                </c:pt>
                <c:pt idx="1">
                  <c:v>13.840999999999999</c:v>
                </c:pt>
                <c:pt idx="2">
                  <c:v>13.042999999999999</c:v>
                </c:pt>
                <c:pt idx="3">
                  <c:v>11.717000000000001</c:v>
                </c:pt>
                <c:pt idx="4">
                  <c:v>13.127000000000001</c:v>
                </c:pt>
                <c:pt idx="5">
                  <c:v>12.869</c:v>
                </c:pt>
                <c:pt idx="6">
                  <c:v>12.606</c:v>
                </c:pt>
                <c:pt idx="7">
                  <c:v>11.55</c:v>
                </c:pt>
                <c:pt idx="8">
                  <c:v>12.614000000000001</c:v>
                </c:pt>
                <c:pt idx="9">
                  <c:v>13.118</c:v>
                </c:pt>
                <c:pt idx="10">
                  <c:v>13.284000000000001</c:v>
                </c:pt>
                <c:pt idx="11">
                  <c:v>13.728999999999999</c:v>
                </c:pt>
                <c:pt idx="12">
                  <c:v>13.558999999999999</c:v>
                </c:pt>
                <c:pt idx="13">
                  <c:v>10.007</c:v>
                </c:pt>
                <c:pt idx="14">
                  <c:v>11.695</c:v>
                </c:pt>
                <c:pt idx="15">
                  <c:v>12.614000000000001</c:v>
                </c:pt>
                <c:pt idx="16">
                  <c:v>12.769</c:v>
                </c:pt>
                <c:pt idx="17">
                  <c:v>12.121</c:v>
                </c:pt>
                <c:pt idx="18">
                  <c:v>13.611000000000001</c:v>
                </c:pt>
                <c:pt idx="19">
                  <c:v>13.356999999999999</c:v>
                </c:pt>
                <c:pt idx="20">
                  <c:v>12.25</c:v>
                </c:pt>
                <c:pt idx="21">
                  <c:v>12.227</c:v>
                </c:pt>
                <c:pt idx="22">
                  <c:v>13.396000000000001</c:v>
                </c:pt>
                <c:pt idx="23">
                  <c:v>13.036</c:v>
                </c:pt>
                <c:pt idx="24">
                  <c:v>12.493</c:v>
                </c:pt>
                <c:pt idx="25">
                  <c:v>11.038</c:v>
                </c:pt>
                <c:pt idx="26">
                  <c:v>10.967000000000001</c:v>
                </c:pt>
                <c:pt idx="27">
                  <c:v>10.637</c:v>
                </c:pt>
                <c:pt idx="28">
                  <c:v>9.4619999999999997</c:v>
                </c:pt>
                <c:pt idx="29">
                  <c:v>9.2509999999999994</c:v>
                </c:pt>
                <c:pt idx="30">
                  <c:v>10.02</c:v>
                </c:pt>
                <c:pt idx="31">
                  <c:v>11.375999999999999</c:v>
                </c:pt>
                <c:pt idx="32">
                  <c:v>10.614000000000001</c:v>
                </c:pt>
                <c:pt idx="33">
                  <c:v>9.5030000000000001</c:v>
                </c:pt>
                <c:pt idx="34">
                  <c:v>10.115</c:v>
                </c:pt>
                <c:pt idx="35">
                  <c:v>10.88</c:v>
                </c:pt>
                <c:pt idx="36">
                  <c:v>10.244999999999999</c:v>
                </c:pt>
                <c:pt idx="37">
                  <c:v>10.287000000000001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CA9-A42F-6F1155E46691}"/>
            </c:ext>
          </c:extLst>
        </c:ser>
        <c:ser>
          <c:idx val="2"/>
          <c:order val="4"/>
          <c:tx>
            <c:strRef>
              <c:f>'Nov 21'!$J$4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8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21'!$J$5:$J$42</c:f>
              <c:numCache>
                <c:formatCode>#,##0.000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3.4889999999999999</c:v>
                </c:pt>
                <c:pt idx="8">
                  <c:v>0</c:v>
                </c:pt>
                <c:pt idx="9">
                  <c:v>0</c:v>
                </c:pt>
                <c:pt idx="10">
                  <c:v>2.077</c:v>
                </c:pt>
                <c:pt idx="11">
                  <c:v>3.8340000000000001</c:v>
                </c:pt>
                <c:pt idx="12">
                  <c:v>2.6059999999999999</c:v>
                </c:pt>
                <c:pt idx="13">
                  <c:v>2.6059999999999999</c:v>
                </c:pt>
                <c:pt idx="14">
                  <c:v>4.774</c:v>
                </c:pt>
                <c:pt idx="15">
                  <c:v>4.7930000000000001</c:v>
                </c:pt>
                <c:pt idx="16">
                  <c:v>4.7889999999999997</c:v>
                </c:pt>
                <c:pt idx="17">
                  <c:v>4.8010000000000002</c:v>
                </c:pt>
                <c:pt idx="18">
                  <c:v>3.8690000000000002</c:v>
                </c:pt>
                <c:pt idx="19">
                  <c:v>3.3565999999999998</c:v>
                </c:pt>
                <c:pt idx="20">
                  <c:v>3.6558000000000002</c:v>
                </c:pt>
                <c:pt idx="21">
                  <c:v>3.6558000000000002</c:v>
                </c:pt>
                <c:pt idx="22">
                  <c:v>3.645</c:v>
                </c:pt>
                <c:pt idx="23">
                  <c:v>3.6974999999999998</c:v>
                </c:pt>
                <c:pt idx="24">
                  <c:v>3.637</c:v>
                </c:pt>
                <c:pt idx="25">
                  <c:v>3.673</c:v>
                </c:pt>
                <c:pt idx="26">
                  <c:v>4.5812999999999997</c:v>
                </c:pt>
                <c:pt idx="27">
                  <c:v>4.6736000000000004</c:v>
                </c:pt>
                <c:pt idx="28">
                  <c:v>4.6779000000000002</c:v>
                </c:pt>
                <c:pt idx="29">
                  <c:v>4.6586999999999996</c:v>
                </c:pt>
                <c:pt idx="30">
                  <c:v>4.6920000000000002</c:v>
                </c:pt>
                <c:pt idx="31">
                  <c:v>2.0529999999999999</c:v>
                </c:pt>
                <c:pt idx="32">
                  <c:v>0</c:v>
                </c:pt>
                <c:pt idx="33">
                  <c:v>1.339</c:v>
                </c:pt>
                <c:pt idx="34">
                  <c:v>3.839</c:v>
                </c:pt>
                <c:pt idx="35">
                  <c:v>3.7709999999999999</c:v>
                </c:pt>
                <c:pt idx="36">
                  <c:v>3.4049999999999998</c:v>
                </c:pt>
                <c:pt idx="37">
                  <c:v>4.8019999999999996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0-4CA9-A42F-6F1155E46691}"/>
            </c:ext>
          </c:extLst>
        </c:ser>
        <c:ser>
          <c:idx val="3"/>
          <c:order val="5"/>
          <c:tx>
            <c:strRef>
              <c:f>'Nov 21'!$K$4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'Nov 21'!$B$5:$B$42</c:f>
              <c:numCache>
                <c:formatCode>d\-mmm\-yy</c:formatCode>
                <c:ptCount val="38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44531</c:v>
                </c:pt>
                <c:pt idx="31">
                  <c:v>44532</c:v>
                </c:pt>
                <c:pt idx="32">
                  <c:v>44533</c:v>
                </c:pt>
                <c:pt idx="33">
                  <c:v>44534</c:v>
                </c:pt>
                <c:pt idx="34">
                  <c:v>44535</c:v>
                </c:pt>
                <c:pt idx="35">
                  <c:v>44536</c:v>
                </c:pt>
                <c:pt idx="36">
                  <c:v>44537</c:v>
                </c:pt>
                <c:pt idx="37">
                  <c:v>44538</c:v>
                </c:pt>
              </c:numCache>
            </c:numRef>
          </c:cat>
          <c:val>
            <c:numRef>
              <c:f>'Nov 21'!$K$5:$K$42</c:f>
              <c:numCache>
                <c:formatCode>#,##0.000</c:formatCode>
                <c:ptCount val="38"/>
                <c:pt idx="0">
                  <c:v>3.4654099999999999</c:v>
                </c:pt>
                <c:pt idx="1">
                  <c:v>3.3839999999999999</c:v>
                </c:pt>
                <c:pt idx="2">
                  <c:v>3.4289000000000001</c:v>
                </c:pt>
                <c:pt idx="3">
                  <c:v>3.4418700000000002</c:v>
                </c:pt>
                <c:pt idx="4">
                  <c:v>3.4289999999999998</c:v>
                </c:pt>
                <c:pt idx="5">
                  <c:v>3.403</c:v>
                </c:pt>
                <c:pt idx="6">
                  <c:v>3.371</c:v>
                </c:pt>
                <c:pt idx="7">
                  <c:v>3.37</c:v>
                </c:pt>
                <c:pt idx="8">
                  <c:v>3.3639999999999999</c:v>
                </c:pt>
                <c:pt idx="9">
                  <c:v>3.36</c:v>
                </c:pt>
                <c:pt idx="10">
                  <c:v>3.36</c:v>
                </c:pt>
                <c:pt idx="11">
                  <c:v>2.9279999999999999</c:v>
                </c:pt>
                <c:pt idx="12">
                  <c:v>3.2589999999999999</c:v>
                </c:pt>
                <c:pt idx="13">
                  <c:v>3.3650000000000002</c:v>
                </c:pt>
                <c:pt idx="14">
                  <c:v>3.4089999999999998</c:v>
                </c:pt>
                <c:pt idx="15">
                  <c:v>3.3159999999999998</c:v>
                </c:pt>
                <c:pt idx="16">
                  <c:v>3.3559999999999999</c:v>
                </c:pt>
                <c:pt idx="17">
                  <c:v>3.1419999999999999</c:v>
                </c:pt>
                <c:pt idx="18">
                  <c:v>3.3380000000000001</c:v>
                </c:pt>
                <c:pt idx="19">
                  <c:v>3.36164</c:v>
                </c:pt>
                <c:pt idx="20">
                  <c:v>3.3439999999999999</c:v>
                </c:pt>
                <c:pt idx="21">
                  <c:v>3.3010000000000002</c:v>
                </c:pt>
                <c:pt idx="22">
                  <c:v>3.23</c:v>
                </c:pt>
                <c:pt idx="23">
                  <c:v>3.2993899999999998</c:v>
                </c:pt>
                <c:pt idx="24">
                  <c:v>3.2589999999999999</c:v>
                </c:pt>
                <c:pt idx="25">
                  <c:v>3.2429999999999999</c:v>
                </c:pt>
                <c:pt idx="26">
                  <c:v>3.2290100000000002</c:v>
                </c:pt>
                <c:pt idx="27">
                  <c:v>3.2841999999999998</c:v>
                </c:pt>
                <c:pt idx="28">
                  <c:v>3.2886000000000002</c:v>
                </c:pt>
                <c:pt idx="29">
                  <c:v>3.1840000000000002</c:v>
                </c:pt>
                <c:pt idx="30">
                  <c:v>3.3039999999999998</c:v>
                </c:pt>
                <c:pt idx="31">
                  <c:v>0.76500000000000001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1.615</c:v>
                </c:pt>
                <c:pt idx="37">
                  <c:v>3.5819999999999999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0-4CA9-A42F-6F1155E46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4144"/>
        <c:axId val="191820616"/>
      </c:lineChart>
      <c:dateAx>
        <c:axId val="1918241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7464538828"/>
          <c:h val="4.0721642435078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294838260442901"/>
          <c:y val="2.567750808600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145845347349"/>
          <c:y val="8.7067563456482755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'Dec 21'!$AK$6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266-46B3-BF67-250B07826811}"/>
                </c:ext>
              </c:extLst>
            </c:dLbl>
            <c:dLbl>
              <c:idx val="1"/>
              <c:layout>
                <c:manualLayout>
                  <c:x val="1.0736197096966121E-3"/>
                  <c:y val="-7.842950902512460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66-46B3-BF67-250B07826811}"/>
                </c:ext>
              </c:extLst>
            </c:dLbl>
            <c:dLbl>
              <c:idx val="4"/>
              <c:layout>
                <c:manualLayout>
                  <c:x val="2.3783785808366528E-2"/>
                  <c:y val="2.94108065956165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66-46B3-BF67-250B07826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'Dec 21'!$AJ$7:$AJ$12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'Dec 21'!$AK$7:$AK$12</c:f>
              <c:numCache>
                <c:formatCode>#,##0.00</c:formatCode>
                <c:ptCount val="6"/>
                <c:pt idx="0">
                  <c:v>21.04</c:v>
                </c:pt>
                <c:pt idx="1">
                  <c:v>15.2</c:v>
                </c:pt>
                <c:pt idx="2">
                  <c:v>8.9</c:v>
                </c:pt>
                <c:pt idx="3">
                  <c:v>3.58</c:v>
                </c:pt>
                <c:pt idx="4">
                  <c:v>48.719999999999992</c:v>
                </c:pt>
                <c:pt idx="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66-46B3-BF67-250B07826811}"/>
            </c:ext>
          </c:extLst>
        </c:ser>
        <c:ser>
          <c:idx val="1"/>
          <c:order val="1"/>
          <c:tx>
            <c:strRef>
              <c:f>'Dec 21'!$AL$6</c:f>
              <c:strCache>
                <c:ptCount val="1"/>
                <c:pt idx="0">
                  <c:v>27-Dec-2021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7.854442633202746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66-46B3-BF67-250B07826811}"/>
                </c:ext>
              </c:extLst>
            </c:dLbl>
            <c:dLbl>
              <c:idx val="1"/>
              <c:layout>
                <c:manualLayout>
                  <c:x val="1.0736197096966513E-3"/>
                  <c:y val="-1.1833376737910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66-46B3-BF67-250B07826811}"/>
                </c:ext>
              </c:extLst>
            </c:dLbl>
            <c:dLbl>
              <c:idx val="2"/>
              <c:layout>
                <c:manualLayout>
                  <c:x val="0"/>
                  <c:y val="-2.36322782837505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266-46B3-BF67-250B07826811}"/>
                </c:ext>
              </c:extLst>
            </c:dLbl>
            <c:dLbl>
              <c:idx val="3"/>
              <c:layout>
                <c:manualLayout>
                  <c:x val="0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66-46B3-BF67-250B07826811}"/>
                </c:ext>
              </c:extLst>
            </c:dLbl>
            <c:dLbl>
              <c:idx val="4"/>
              <c:layout>
                <c:manualLayout>
                  <c:x val="1.0643206413449089E-3"/>
                  <c:y val="-1.170246418423542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266-46B3-BF67-250B07826811}"/>
                </c:ext>
              </c:extLst>
            </c:dLbl>
            <c:dLbl>
              <c:idx val="5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266-46B3-BF67-250B07826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'Dec 21'!$AJ$7:$AJ$12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'Dec 21'!$AL$7:$AL$12</c:f>
              <c:numCache>
                <c:formatCode>#,##0.000</c:formatCode>
                <c:ptCount val="6"/>
                <c:pt idx="0">
                  <c:v>18.013000000000002</c:v>
                </c:pt>
                <c:pt idx="1">
                  <c:v>6.6260000000000003</c:v>
                </c:pt>
                <c:pt idx="2">
                  <c:v>0</c:v>
                </c:pt>
                <c:pt idx="3">
                  <c:v>2.3140000000000001</c:v>
                </c:pt>
                <c:pt idx="4">
                  <c:v>26.953000000000003</c:v>
                </c:pt>
                <c:pt idx="5" formatCode="#,##0.0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66-46B3-BF67-250B07826811}"/>
            </c:ext>
          </c:extLst>
        </c:ser>
        <c:ser>
          <c:idx val="2"/>
          <c:order val="2"/>
          <c:tx>
            <c:strRef>
              <c:f>'Dec 21'!$AM$6</c:f>
              <c:strCache>
                <c:ptCount val="1"/>
                <c:pt idx="0">
                  <c:v>28-Dec-2021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-1.382858965560991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66-46B3-BF67-250B07826811}"/>
                </c:ext>
              </c:extLst>
            </c:dLbl>
            <c:dLbl>
              <c:idx val="1"/>
              <c:layout>
                <c:manualLayout>
                  <c:x val="-3.9700499098820024E-17"/>
                  <c:y val="-3.921475451256121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266-46B3-BF67-250B07826811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266-46B3-BF67-250B07826811}"/>
                </c:ext>
              </c:extLst>
            </c:dLbl>
            <c:dLbl>
              <c:idx val="4"/>
              <c:layout>
                <c:manualLayout>
                  <c:x val="0"/>
                  <c:y val="1.972229456318420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266-46B3-BF67-250B07826811}"/>
                </c:ext>
              </c:extLst>
            </c:dLbl>
            <c:dLbl>
              <c:idx val="5"/>
              <c:layout>
                <c:manualLayout>
                  <c:x val="0"/>
                  <c:y val="-1.74443291463711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266-46B3-BF67-250B07826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'Dec 21'!$AJ$7:$AJ$12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'Dec 21'!$AM$7:$AM$12</c:f>
              <c:numCache>
                <c:formatCode>#,##0.000</c:formatCode>
                <c:ptCount val="6"/>
                <c:pt idx="0">
                  <c:v>18.361999999999998</c:v>
                </c:pt>
                <c:pt idx="1">
                  <c:v>10.265000000000001</c:v>
                </c:pt>
                <c:pt idx="2">
                  <c:v>0</c:v>
                </c:pt>
                <c:pt idx="3">
                  <c:v>2.3490000000000002</c:v>
                </c:pt>
                <c:pt idx="4">
                  <c:v>30.975999999999999</c:v>
                </c:pt>
                <c:pt idx="5" formatCode="#,##0.0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266-46B3-BF67-250B07826811}"/>
            </c:ext>
          </c:extLst>
        </c:ser>
        <c:ser>
          <c:idx val="3"/>
          <c:order val="3"/>
          <c:tx>
            <c:strRef>
              <c:f>'Dec 21'!$AN$6</c:f>
              <c:strCache>
                <c:ptCount val="1"/>
                <c:pt idx="0">
                  <c:v>29-Dec-2021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932967181946625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266-46B3-BF67-250B07826811}"/>
                </c:ext>
              </c:extLst>
            </c:dLbl>
            <c:dLbl>
              <c:idx val="1"/>
              <c:layout>
                <c:manualLayout>
                  <c:x val="0"/>
                  <c:y val="-3.352790075741383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266-46B3-BF67-250B07826811}"/>
                </c:ext>
              </c:extLst>
            </c:dLbl>
            <c:dLbl>
              <c:idx val="2"/>
              <c:layout>
                <c:manualLayout>
                  <c:x val="0"/>
                  <c:y val="-1.57778356505477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266-46B3-BF67-250B07826811}"/>
                </c:ext>
              </c:extLst>
            </c:dLbl>
            <c:dLbl>
              <c:idx val="4"/>
              <c:layout>
                <c:manualLayout>
                  <c:x val="-1.5746240506969626E-16"/>
                  <c:y val="-2.37012286678925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266-46B3-BF67-250B07826811}"/>
                </c:ext>
              </c:extLst>
            </c:dLbl>
            <c:dLbl>
              <c:idx val="5"/>
              <c:layout>
                <c:manualLayout>
                  <c:x val="-1.5475654635488098E-16"/>
                  <c:y val="-1.78060714210310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266-46B3-BF67-250B07826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'Dec 21'!$AJ$7:$AJ$12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'Dec 21'!$AN$7:$AN$12</c:f>
              <c:numCache>
                <c:formatCode>#,##0.000</c:formatCode>
                <c:ptCount val="6"/>
                <c:pt idx="0">
                  <c:v>18.207999999999998</c:v>
                </c:pt>
                <c:pt idx="1">
                  <c:v>11.504</c:v>
                </c:pt>
                <c:pt idx="2">
                  <c:v>0</c:v>
                </c:pt>
                <c:pt idx="3">
                  <c:v>2.355</c:v>
                </c:pt>
                <c:pt idx="4">
                  <c:v>32.066999999999993</c:v>
                </c:pt>
                <c:pt idx="5" formatCode="#,##0.0000">
                  <c:v>4.1040000000000001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266-46B3-BF67-250B07826811}"/>
            </c:ext>
          </c:extLst>
        </c:ser>
        <c:ser>
          <c:idx val="4"/>
          <c:order val="4"/>
          <c:tx>
            <c:strRef>
              <c:f>'Dec 21'!$AO$6</c:f>
              <c:strCache>
                <c:ptCount val="1"/>
                <c:pt idx="0">
                  <c:v>30-Dec-2021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9700499098820024E-17"/>
                  <c:y val="-9.792041603792146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266-46B3-BF67-250B07826811}"/>
                </c:ext>
              </c:extLst>
            </c:dLbl>
            <c:dLbl>
              <c:idx val="1"/>
              <c:layout>
                <c:manualLayout>
                  <c:x val="-3.9365601267424066E-17"/>
                  <c:y val="9.884130742973000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266-46B3-BF67-250B07826811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266-46B3-BF67-250B07826811}"/>
                </c:ext>
              </c:extLst>
            </c:dLbl>
            <c:dLbl>
              <c:idx val="4"/>
              <c:layout>
                <c:manualLayout>
                  <c:x val="1.0844404437785936E-3"/>
                  <c:y val="5.912650733847945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266-46B3-BF67-250B07826811}"/>
                </c:ext>
              </c:extLst>
            </c:dLbl>
            <c:dLbl>
              <c:idx val="5"/>
              <c:layout>
                <c:manualLayout>
                  <c:x val="-1.588019963952801E-16"/>
                  <c:y val="-2.006704648389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266-46B3-BF67-250B07826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'Dec 21'!$AJ$7:$AJ$12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'Dec 21'!$AO$7:$AO$12</c:f>
              <c:numCache>
                <c:formatCode>#,##0.000</c:formatCode>
                <c:ptCount val="6"/>
                <c:pt idx="0">
                  <c:v>18.356000000000002</c:v>
                </c:pt>
                <c:pt idx="1">
                  <c:v>10.332000000000001</c:v>
                </c:pt>
                <c:pt idx="2">
                  <c:v>2.9470000000000001</c:v>
                </c:pt>
                <c:pt idx="3">
                  <c:v>2.3919999999999999</c:v>
                </c:pt>
                <c:pt idx="4">
                  <c:v>34.027000000000001</c:v>
                </c:pt>
                <c:pt idx="5" formatCode="#,##0.0000">
                  <c:v>6.8460000000000001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266-46B3-BF67-250B07826811}"/>
            </c:ext>
          </c:extLst>
        </c:ser>
        <c:ser>
          <c:idx val="5"/>
          <c:order val="5"/>
          <c:tx>
            <c:strRef>
              <c:f>'Dec 21'!$AP$6</c:f>
              <c:strCache>
                <c:ptCount val="1"/>
                <c:pt idx="0">
                  <c:v>31-Dec-2021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8.0597408490494402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266-46B3-BF67-250B07826811}"/>
                </c:ext>
              </c:extLst>
            </c:dLbl>
            <c:dLbl>
              <c:idx val="1"/>
              <c:layout>
                <c:manualLayout>
                  <c:x val="0"/>
                  <c:y val="-1.56857465113668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266-46B3-BF67-250B07826811}"/>
                </c:ext>
              </c:extLst>
            </c:dLbl>
            <c:dLbl>
              <c:idx val="2"/>
              <c:layout>
                <c:manualLayout>
                  <c:x val="0"/>
                  <c:y val="-1.3805606194229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266-46B3-BF67-250B07826811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266-46B3-BF67-250B07826811}"/>
                </c:ext>
              </c:extLst>
            </c:dLbl>
            <c:dLbl>
              <c:idx val="4"/>
              <c:layout>
                <c:manualLayout>
                  <c:x val="0"/>
                  <c:y val="3.968373747176087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266-46B3-BF67-250B07826811}"/>
                </c:ext>
              </c:extLst>
            </c:dLbl>
            <c:dLbl>
              <c:idx val="5"/>
              <c:layout>
                <c:manualLayout>
                  <c:x val="-1.588019963952801E-16"/>
                  <c:y val="7.84295090251224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266-46B3-BF67-250B07826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'Dec 21'!$AJ$7:$AJ$12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'Dec 21'!$AP$7:$AP$12</c:f>
              <c:numCache>
                <c:formatCode>#,##0.000</c:formatCode>
                <c:ptCount val="6"/>
                <c:pt idx="0">
                  <c:v>18.146000000000001</c:v>
                </c:pt>
                <c:pt idx="1">
                  <c:v>6.726</c:v>
                </c:pt>
                <c:pt idx="2">
                  <c:v>4.9989999999999997</c:v>
                </c:pt>
                <c:pt idx="3">
                  <c:v>2.3039999999999998</c:v>
                </c:pt>
                <c:pt idx="4">
                  <c:v>32.174999999999997</c:v>
                </c:pt>
                <c:pt idx="5">
                  <c:v>1.7789999999999999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266-46B3-BF67-250B078268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91822968"/>
        <c:axId val="191821792"/>
      </c:barChart>
      <c:catAx>
        <c:axId val="1918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792"/>
        <c:crosses val="autoZero"/>
        <c:auto val="1"/>
        <c:lblAlgn val="ctr"/>
        <c:lblOffset val="100"/>
        <c:noMultiLvlLbl val="0"/>
      </c:catAx>
      <c:valAx>
        <c:axId val="19182179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5118366896647533E-2"/>
              <c:y val="0.33807827752998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296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2441888370630926"/>
          <c:y val="0.94539854132518442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December 2021</a:t>
            </a:r>
          </a:p>
        </c:rich>
      </c:tx>
      <c:layout>
        <c:manualLayout>
          <c:xMode val="edge"/>
          <c:yMode val="edge"/>
          <c:x val="0.22298760840626958"/>
          <c:y val="2.1821898964775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0"/>
          <c:order val="0"/>
          <c:tx>
            <c:strRef>
              <c:f>'Dec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21'!$I$5:$I$34</c:f>
              <c:numCache>
                <c:formatCode>#,##0.000</c:formatCode>
                <c:ptCount val="30"/>
                <c:pt idx="0">
                  <c:v>10.02</c:v>
                </c:pt>
                <c:pt idx="1">
                  <c:v>11.375999999999999</c:v>
                </c:pt>
                <c:pt idx="2">
                  <c:v>10.614000000000001</c:v>
                </c:pt>
                <c:pt idx="3">
                  <c:v>9.5030000000000001</c:v>
                </c:pt>
                <c:pt idx="4">
                  <c:v>10.115</c:v>
                </c:pt>
                <c:pt idx="5">
                  <c:v>10.88</c:v>
                </c:pt>
                <c:pt idx="6">
                  <c:v>10.244999999999999</c:v>
                </c:pt>
                <c:pt idx="7">
                  <c:v>10.287000000000001</c:v>
                </c:pt>
                <c:pt idx="8">
                  <c:v>6.3280000000000003</c:v>
                </c:pt>
                <c:pt idx="9">
                  <c:v>0</c:v>
                </c:pt>
                <c:pt idx="10">
                  <c:v>9.4749999999999996</c:v>
                </c:pt>
                <c:pt idx="11">
                  <c:v>10.176</c:v>
                </c:pt>
                <c:pt idx="12">
                  <c:v>10.173</c:v>
                </c:pt>
                <c:pt idx="13">
                  <c:v>9.5969999999999995</c:v>
                </c:pt>
                <c:pt idx="14">
                  <c:v>10.199</c:v>
                </c:pt>
                <c:pt idx="15">
                  <c:v>10.127000000000001</c:v>
                </c:pt>
                <c:pt idx="16">
                  <c:v>4.8689999999999998</c:v>
                </c:pt>
                <c:pt idx="17">
                  <c:v>6.6920000000000002</c:v>
                </c:pt>
                <c:pt idx="18">
                  <c:v>9.202</c:v>
                </c:pt>
                <c:pt idx="19">
                  <c:v>8.8209999999999997</c:v>
                </c:pt>
                <c:pt idx="20">
                  <c:v>8.8260000000000005</c:v>
                </c:pt>
                <c:pt idx="21">
                  <c:v>10.362</c:v>
                </c:pt>
                <c:pt idx="22">
                  <c:v>11.182</c:v>
                </c:pt>
                <c:pt idx="23">
                  <c:v>11.882999999999999</c:v>
                </c:pt>
                <c:pt idx="24">
                  <c:v>0</c:v>
                </c:pt>
                <c:pt idx="25">
                  <c:v>2.399</c:v>
                </c:pt>
                <c:pt idx="26">
                  <c:v>6.6260000000000003</c:v>
                </c:pt>
                <c:pt idx="27">
                  <c:v>10.265000000000001</c:v>
                </c:pt>
                <c:pt idx="28">
                  <c:v>11.504</c:v>
                </c:pt>
                <c:pt idx="29">
                  <c:v>10.332000000000001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F-4A03-A6C9-F553C7DBE2EB}"/>
            </c:ext>
          </c:extLst>
        </c:ser>
        <c:ser>
          <c:idx val="1"/>
          <c:order val="1"/>
          <c:tx>
            <c:strRef>
              <c:f>'Dec 21'!$M$4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21'!$M$5:$M$34</c:f>
              <c:numCache>
                <c:formatCode>#,##0.00</c:formatCode>
                <c:ptCount val="30"/>
                <c:pt idx="0">
                  <c:v>15.26</c:v>
                </c:pt>
                <c:pt idx="1">
                  <c:v>1.6180000000000001</c:v>
                </c:pt>
                <c:pt idx="2">
                  <c:v>5.194</c:v>
                </c:pt>
                <c:pt idx="3">
                  <c:v>6.8810000000000002</c:v>
                </c:pt>
                <c:pt idx="4">
                  <c:v>2.2050000000000001</c:v>
                </c:pt>
                <c:pt idx="5">
                  <c:v>6.86</c:v>
                </c:pt>
                <c:pt idx="6">
                  <c:v>8.01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11.07</c:v>
                </c:pt>
                <c:pt idx="16">
                  <c:v>3.165</c:v>
                </c:pt>
                <c:pt idx="17">
                  <c:v>0.28599999999999998</c:v>
                </c:pt>
                <c:pt idx="18">
                  <c:v>11.082000000000001</c:v>
                </c:pt>
                <c:pt idx="19">
                  <c:v>13.712999999999999</c:v>
                </c:pt>
                <c:pt idx="20">
                  <c:v>14.384</c:v>
                </c:pt>
                <c:pt idx="21">
                  <c:v>7.92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4.1040000000000001</c:v>
                </c:pt>
                <c:pt idx="29">
                  <c:v>6.8460000000000001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3F-4A03-A6C9-F553C7DBE2EB}"/>
            </c:ext>
          </c:extLst>
        </c:ser>
        <c:ser>
          <c:idx val="2"/>
          <c:order val="2"/>
          <c:tx>
            <c:strRef>
              <c:f>'Dec 21'!$S$4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21'!$S$5:$S$34</c:f>
              <c:numCache>
                <c:formatCode>#,##0.00</c:formatCode>
                <c:ptCount val="30"/>
                <c:pt idx="0">
                  <c:v>33.6</c:v>
                </c:pt>
                <c:pt idx="1">
                  <c:v>34.58</c:v>
                </c:pt>
                <c:pt idx="2">
                  <c:v>32.409999999999997</c:v>
                </c:pt>
                <c:pt idx="3">
                  <c:v>30.48</c:v>
                </c:pt>
                <c:pt idx="4">
                  <c:v>29.643000000000001</c:v>
                </c:pt>
                <c:pt idx="5">
                  <c:v>30.38</c:v>
                </c:pt>
                <c:pt idx="6">
                  <c:v>30.38</c:v>
                </c:pt>
                <c:pt idx="7">
                  <c:v>30.38</c:v>
                </c:pt>
                <c:pt idx="8">
                  <c:v>19.626999999999999</c:v>
                </c:pt>
                <c:pt idx="9">
                  <c:v>0</c:v>
                </c:pt>
                <c:pt idx="10">
                  <c:v>31.13</c:v>
                </c:pt>
                <c:pt idx="11">
                  <c:v>37.58</c:v>
                </c:pt>
                <c:pt idx="12">
                  <c:v>29.8</c:v>
                </c:pt>
                <c:pt idx="13">
                  <c:v>29.92</c:v>
                </c:pt>
                <c:pt idx="14">
                  <c:v>28.46</c:v>
                </c:pt>
                <c:pt idx="15">
                  <c:v>28.62</c:v>
                </c:pt>
                <c:pt idx="16">
                  <c:v>17.687000000000001</c:v>
                </c:pt>
                <c:pt idx="17">
                  <c:v>16.22</c:v>
                </c:pt>
                <c:pt idx="18">
                  <c:v>16.11</c:v>
                </c:pt>
                <c:pt idx="19">
                  <c:v>14.37</c:v>
                </c:pt>
                <c:pt idx="20">
                  <c:v>16.463000000000001</c:v>
                </c:pt>
                <c:pt idx="21">
                  <c:v>21.74</c:v>
                </c:pt>
                <c:pt idx="22">
                  <c:v>26.54</c:v>
                </c:pt>
                <c:pt idx="23">
                  <c:v>26.54</c:v>
                </c:pt>
                <c:pt idx="24">
                  <c:v>0</c:v>
                </c:pt>
                <c:pt idx="25">
                  <c:v>1.75</c:v>
                </c:pt>
                <c:pt idx="26">
                  <c:v>8.9700000000000006</c:v>
                </c:pt>
                <c:pt idx="27">
                  <c:v>16.79</c:v>
                </c:pt>
                <c:pt idx="28">
                  <c:v>17.559999999999999</c:v>
                </c:pt>
                <c:pt idx="29">
                  <c:v>23.48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3F-4A03-A6C9-F553C7DBE2EB}"/>
            </c:ext>
          </c:extLst>
        </c:ser>
        <c:ser>
          <c:idx val="3"/>
          <c:order val="3"/>
          <c:tx>
            <c:strRef>
              <c:f>'Dec 21'!$AA$4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21'!$AA$5:$AA$34</c:f>
              <c:numCache>
                <c:formatCode>#,##0.00</c:formatCode>
                <c:ptCount val="30"/>
                <c:pt idx="0">
                  <c:v>18.340000000000003</c:v>
                </c:pt>
                <c:pt idx="1">
                  <c:v>32.961999999999996</c:v>
                </c:pt>
                <c:pt idx="2">
                  <c:v>27.215999999999998</c:v>
                </c:pt>
                <c:pt idx="3">
                  <c:v>23.599</c:v>
                </c:pt>
                <c:pt idx="4">
                  <c:v>27.438000000000002</c:v>
                </c:pt>
                <c:pt idx="5">
                  <c:v>23.52</c:v>
                </c:pt>
                <c:pt idx="6">
                  <c:v>22.369999999999997</c:v>
                </c:pt>
                <c:pt idx="7">
                  <c:v>14.661000000000001</c:v>
                </c:pt>
                <c:pt idx="8">
                  <c:v>19.007999999999999</c:v>
                </c:pt>
                <c:pt idx="9">
                  <c:v>21.894000000000002</c:v>
                </c:pt>
                <c:pt idx="10">
                  <c:v>31.13</c:v>
                </c:pt>
                <c:pt idx="11">
                  <c:v>37.58</c:v>
                </c:pt>
                <c:pt idx="12">
                  <c:v>29.8</c:v>
                </c:pt>
                <c:pt idx="13">
                  <c:v>29.92</c:v>
                </c:pt>
                <c:pt idx="14">
                  <c:v>28.46</c:v>
                </c:pt>
                <c:pt idx="15">
                  <c:v>17.55</c:v>
                </c:pt>
                <c:pt idx="16">
                  <c:v>14.522000000000002</c:v>
                </c:pt>
                <c:pt idx="17">
                  <c:v>15.933999999999999</c:v>
                </c:pt>
                <c:pt idx="18">
                  <c:v>5.0279999999999987</c:v>
                </c:pt>
                <c:pt idx="19">
                  <c:v>0.65700000000000003</c:v>
                </c:pt>
                <c:pt idx="20">
                  <c:v>2.0790000000000006</c:v>
                </c:pt>
                <c:pt idx="21">
                  <c:v>13.819999999999999</c:v>
                </c:pt>
                <c:pt idx="22">
                  <c:v>26.54</c:v>
                </c:pt>
                <c:pt idx="23">
                  <c:v>26.54</c:v>
                </c:pt>
                <c:pt idx="24">
                  <c:v>0</c:v>
                </c:pt>
                <c:pt idx="25">
                  <c:v>1.75</c:v>
                </c:pt>
                <c:pt idx="26">
                  <c:v>8.9700000000000006</c:v>
                </c:pt>
                <c:pt idx="27">
                  <c:v>16.79</c:v>
                </c:pt>
                <c:pt idx="28">
                  <c:v>13.456</c:v>
                </c:pt>
                <c:pt idx="29">
                  <c:v>16.634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3F-4A03-A6C9-F553C7DBE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1400"/>
        <c:axId val="191823360"/>
      </c:lineChart>
      <c:dateAx>
        <c:axId val="191821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3360"/>
        <c:crosses val="autoZero"/>
        <c:auto val="1"/>
        <c:lblOffset val="100"/>
        <c:baseTimeUnit val="days"/>
      </c:dateAx>
      <c:valAx>
        <c:axId val="1918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400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7237648707612685"/>
          <c:h val="4.1064016354188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December 2021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0"/>
          <c:order val="0"/>
          <c:tx>
            <c:strRef>
              <c:f>'Dec 21'!$G$4</c:f>
              <c:strCache>
                <c:ptCount val="1"/>
                <c:pt idx="0">
                  <c:v>August 2021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21'!$G$5:$G$34</c:f>
              <c:numCache>
                <c:formatCode>#,##0.000</c:formatCode>
                <c:ptCount val="30"/>
                <c:pt idx="0">
                  <c:v>48.719999999999992</c:v>
                </c:pt>
                <c:pt idx="1">
                  <c:v>48.719999999999992</c:v>
                </c:pt>
                <c:pt idx="2">
                  <c:v>48.719999999999992</c:v>
                </c:pt>
                <c:pt idx="3">
                  <c:v>48.719999999999992</c:v>
                </c:pt>
                <c:pt idx="4">
                  <c:v>48.719999999999992</c:v>
                </c:pt>
                <c:pt idx="5">
                  <c:v>48.719999999999992</c:v>
                </c:pt>
                <c:pt idx="6">
                  <c:v>48.719999999999992</c:v>
                </c:pt>
                <c:pt idx="7">
                  <c:v>48.719999999999992</c:v>
                </c:pt>
                <c:pt idx="8">
                  <c:v>48.719999999999992</c:v>
                </c:pt>
                <c:pt idx="9">
                  <c:v>48.719999999999992</c:v>
                </c:pt>
                <c:pt idx="10">
                  <c:v>48.719999999999992</c:v>
                </c:pt>
                <c:pt idx="11">
                  <c:v>48.719999999999992</c:v>
                </c:pt>
                <c:pt idx="12">
                  <c:v>48.719999999999992</c:v>
                </c:pt>
                <c:pt idx="13">
                  <c:v>48.719999999999992</c:v>
                </c:pt>
                <c:pt idx="14">
                  <c:v>48.719999999999992</c:v>
                </c:pt>
                <c:pt idx="15">
                  <c:v>48.719999999999992</c:v>
                </c:pt>
                <c:pt idx="16">
                  <c:v>48.719999999999992</c:v>
                </c:pt>
                <c:pt idx="17">
                  <c:v>48.719999999999992</c:v>
                </c:pt>
                <c:pt idx="18">
                  <c:v>48.719999999999992</c:v>
                </c:pt>
                <c:pt idx="19">
                  <c:v>48.719999999999992</c:v>
                </c:pt>
                <c:pt idx="20">
                  <c:v>48.719999999999992</c:v>
                </c:pt>
                <c:pt idx="21">
                  <c:v>48.719999999999992</c:v>
                </c:pt>
                <c:pt idx="22">
                  <c:v>48.719999999999992</c:v>
                </c:pt>
                <c:pt idx="23">
                  <c:v>48.719999999999992</c:v>
                </c:pt>
                <c:pt idx="24">
                  <c:v>48.719999999999992</c:v>
                </c:pt>
                <c:pt idx="25">
                  <c:v>48.719999999999992</c:v>
                </c:pt>
                <c:pt idx="26">
                  <c:v>48.719999999999992</c:v>
                </c:pt>
                <c:pt idx="27">
                  <c:v>48.719999999999992</c:v>
                </c:pt>
                <c:pt idx="28">
                  <c:v>48.719999999999992</c:v>
                </c:pt>
                <c:pt idx="29">
                  <c:v>48.719999999999992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0-4DD6-8252-643AEE8A934B}"/>
            </c:ext>
          </c:extLst>
        </c:ser>
        <c:ser>
          <c:idx val="1"/>
          <c:order val="1"/>
          <c:tx>
            <c:strRef>
              <c:f>'Dec 21'!$H$4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21'!$H$5:$H$34</c:f>
              <c:numCache>
                <c:formatCode>#,##0.000</c:formatCode>
                <c:ptCount val="30"/>
                <c:pt idx="0">
                  <c:v>0.247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11.343</c:v>
                </c:pt>
                <c:pt idx="7">
                  <c:v>20.977</c:v>
                </c:pt>
                <c:pt idx="8">
                  <c:v>18.202999999999999</c:v>
                </c:pt>
                <c:pt idx="9">
                  <c:v>18.027999999999999</c:v>
                </c:pt>
                <c:pt idx="10">
                  <c:v>18.027999999999999</c:v>
                </c:pt>
                <c:pt idx="11">
                  <c:v>19.11</c:v>
                </c:pt>
                <c:pt idx="12">
                  <c:v>18.802</c:v>
                </c:pt>
                <c:pt idx="13">
                  <c:v>17.335000000000001</c:v>
                </c:pt>
                <c:pt idx="14">
                  <c:v>17.416</c:v>
                </c:pt>
                <c:pt idx="15">
                  <c:v>4.6479999999999997</c:v>
                </c:pt>
                <c:pt idx="16">
                  <c:v>12.66245</c:v>
                </c:pt>
                <c:pt idx="17">
                  <c:v>18.329999999999998</c:v>
                </c:pt>
                <c:pt idx="18">
                  <c:v>18.533999999999999</c:v>
                </c:pt>
                <c:pt idx="19">
                  <c:v>18.401</c:v>
                </c:pt>
                <c:pt idx="20">
                  <c:v>19.004999999999999</c:v>
                </c:pt>
                <c:pt idx="21">
                  <c:v>18.637</c:v>
                </c:pt>
                <c:pt idx="22">
                  <c:v>18.818999999999999</c:v>
                </c:pt>
                <c:pt idx="23">
                  <c:v>18.446000000000002</c:v>
                </c:pt>
                <c:pt idx="24">
                  <c:v>18.693000000000001</c:v>
                </c:pt>
                <c:pt idx="25">
                  <c:v>18.829999999999998</c:v>
                </c:pt>
                <c:pt idx="26">
                  <c:v>18.013000000000002</c:v>
                </c:pt>
                <c:pt idx="27">
                  <c:v>18.361999999999998</c:v>
                </c:pt>
                <c:pt idx="28">
                  <c:v>18.207999999999998</c:v>
                </c:pt>
                <c:pt idx="29">
                  <c:v>18.356000000000002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60-4DD6-8252-643AEE8A934B}"/>
            </c:ext>
          </c:extLst>
        </c:ser>
        <c:ser>
          <c:idx val="2"/>
          <c:order val="2"/>
          <c:tx>
            <c:strRef>
              <c:f>'Dec 21'!$I$4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21'!$I$5:$I$34</c:f>
              <c:numCache>
                <c:formatCode>#,##0.000</c:formatCode>
                <c:ptCount val="30"/>
                <c:pt idx="0">
                  <c:v>10.02</c:v>
                </c:pt>
                <c:pt idx="1">
                  <c:v>11.375999999999999</c:v>
                </c:pt>
                <c:pt idx="2">
                  <c:v>10.614000000000001</c:v>
                </c:pt>
                <c:pt idx="3">
                  <c:v>9.5030000000000001</c:v>
                </c:pt>
                <c:pt idx="4">
                  <c:v>10.115</c:v>
                </c:pt>
                <c:pt idx="5">
                  <c:v>10.88</c:v>
                </c:pt>
                <c:pt idx="6">
                  <c:v>10.244999999999999</c:v>
                </c:pt>
                <c:pt idx="7">
                  <c:v>10.287000000000001</c:v>
                </c:pt>
                <c:pt idx="8">
                  <c:v>6.3280000000000003</c:v>
                </c:pt>
                <c:pt idx="9">
                  <c:v>0</c:v>
                </c:pt>
                <c:pt idx="10">
                  <c:v>9.4749999999999996</c:v>
                </c:pt>
                <c:pt idx="11">
                  <c:v>10.176</c:v>
                </c:pt>
                <c:pt idx="12">
                  <c:v>10.173</c:v>
                </c:pt>
                <c:pt idx="13">
                  <c:v>9.5969999999999995</c:v>
                </c:pt>
                <c:pt idx="14">
                  <c:v>10.199</c:v>
                </c:pt>
                <c:pt idx="15">
                  <c:v>10.127000000000001</c:v>
                </c:pt>
                <c:pt idx="16">
                  <c:v>4.8689999999999998</c:v>
                </c:pt>
                <c:pt idx="17">
                  <c:v>6.6920000000000002</c:v>
                </c:pt>
                <c:pt idx="18">
                  <c:v>9.202</c:v>
                </c:pt>
                <c:pt idx="19">
                  <c:v>8.8209999999999997</c:v>
                </c:pt>
                <c:pt idx="20">
                  <c:v>8.8260000000000005</c:v>
                </c:pt>
                <c:pt idx="21">
                  <c:v>10.362</c:v>
                </c:pt>
                <c:pt idx="22">
                  <c:v>11.182</c:v>
                </c:pt>
                <c:pt idx="23">
                  <c:v>11.882999999999999</c:v>
                </c:pt>
                <c:pt idx="24">
                  <c:v>0</c:v>
                </c:pt>
                <c:pt idx="25">
                  <c:v>2.399</c:v>
                </c:pt>
                <c:pt idx="26">
                  <c:v>6.6260000000000003</c:v>
                </c:pt>
                <c:pt idx="27">
                  <c:v>10.265000000000001</c:v>
                </c:pt>
                <c:pt idx="28">
                  <c:v>11.504</c:v>
                </c:pt>
                <c:pt idx="29">
                  <c:v>10.332000000000001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60-4DD6-8252-643AEE8A934B}"/>
            </c:ext>
          </c:extLst>
        </c:ser>
        <c:ser>
          <c:idx val="3"/>
          <c:order val="3"/>
          <c:tx>
            <c:strRef>
              <c:f>'Dec 21'!$J$4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21'!$J$5:$J$34</c:f>
              <c:numCache>
                <c:formatCode>#,##0.000</c:formatCode>
                <c:ptCount val="30"/>
                <c:pt idx="0">
                  <c:v>4.6920000000000002</c:v>
                </c:pt>
                <c:pt idx="1">
                  <c:v>2.0529999999999999</c:v>
                </c:pt>
                <c:pt idx="2">
                  <c:v>0</c:v>
                </c:pt>
                <c:pt idx="3">
                  <c:v>1.339</c:v>
                </c:pt>
                <c:pt idx="4">
                  <c:v>3.839</c:v>
                </c:pt>
                <c:pt idx="5">
                  <c:v>3.7709999999999999</c:v>
                </c:pt>
                <c:pt idx="6">
                  <c:v>3.4049999999999998</c:v>
                </c:pt>
                <c:pt idx="7">
                  <c:v>4.8019999999999996</c:v>
                </c:pt>
                <c:pt idx="8">
                  <c:v>4.9390000000000001</c:v>
                </c:pt>
                <c:pt idx="9">
                  <c:v>4.7889999999999997</c:v>
                </c:pt>
                <c:pt idx="10">
                  <c:v>4.6210000000000004</c:v>
                </c:pt>
                <c:pt idx="11">
                  <c:v>3.6949999999999998</c:v>
                </c:pt>
                <c:pt idx="12">
                  <c:v>3.58</c:v>
                </c:pt>
                <c:pt idx="13">
                  <c:v>4.5460000000000003</c:v>
                </c:pt>
                <c:pt idx="14">
                  <c:v>4.6390000000000002</c:v>
                </c:pt>
                <c:pt idx="15">
                  <c:v>4.6150000000000002</c:v>
                </c:pt>
                <c:pt idx="16">
                  <c:v>4.6219999999999999</c:v>
                </c:pt>
                <c:pt idx="17">
                  <c:v>2.5169999999999999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2.9470000000000001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60-4DD6-8252-643AEE8A934B}"/>
            </c:ext>
          </c:extLst>
        </c:ser>
        <c:ser>
          <c:idx val="4"/>
          <c:order val="4"/>
          <c:tx>
            <c:strRef>
              <c:f>'Dec 21'!$K$4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21'!$K$5:$K$34</c:f>
              <c:numCache>
                <c:formatCode>#,##0.000</c:formatCode>
                <c:ptCount val="30"/>
                <c:pt idx="0">
                  <c:v>3.3039999999999998</c:v>
                </c:pt>
                <c:pt idx="1">
                  <c:v>0.76500000000000001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1.615</c:v>
                </c:pt>
                <c:pt idx="7">
                  <c:v>3.5819999999999999</c:v>
                </c:pt>
                <c:pt idx="8">
                  <c:v>3.452</c:v>
                </c:pt>
                <c:pt idx="9">
                  <c:v>3.3759999999999999</c:v>
                </c:pt>
                <c:pt idx="10">
                  <c:v>3.34</c:v>
                </c:pt>
                <c:pt idx="11">
                  <c:v>3.3620000000000001</c:v>
                </c:pt>
                <c:pt idx="12">
                  <c:v>3.339</c:v>
                </c:pt>
                <c:pt idx="13">
                  <c:v>3.2829999999999999</c:v>
                </c:pt>
                <c:pt idx="14">
                  <c:v>3.2989999999999999</c:v>
                </c:pt>
                <c:pt idx="15">
                  <c:v>3.3340000000000001</c:v>
                </c:pt>
                <c:pt idx="16">
                  <c:v>3.28</c:v>
                </c:pt>
                <c:pt idx="17">
                  <c:v>3.2240000000000002</c:v>
                </c:pt>
                <c:pt idx="18">
                  <c:v>2.52</c:v>
                </c:pt>
                <c:pt idx="19">
                  <c:v>2.1960000000000002</c:v>
                </c:pt>
                <c:pt idx="20">
                  <c:v>2.3220000000000001</c:v>
                </c:pt>
                <c:pt idx="21">
                  <c:v>2.319</c:v>
                </c:pt>
                <c:pt idx="22">
                  <c:v>2.331</c:v>
                </c:pt>
                <c:pt idx="23">
                  <c:v>2.36</c:v>
                </c:pt>
                <c:pt idx="24">
                  <c:v>2.3109999999999999</c:v>
                </c:pt>
                <c:pt idx="25">
                  <c:v>2.3250000000000002</c:v>
                </c:pt>
                <c:pt idx="26">
                  <c:v>2.3140000000000001</c:v>
                </c:pt>
                <c:pt idx="27">
                  <c:v>2.3490000000000002</c:v>
                </c:pt>
                <c:pt idx="28">
                  <c:v>2.355</c:v>
                </c:pt>
                <c:pt idx="29">
                  <c:v>2.3919999999999999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60-4DD6-8252-643AEE8A934B}"/>
            </c:ext>
          </c:extLst>
        </c:ser>
        <c:ser>
          <c:idx val="5"/>
          <c:order val="5"/>
          <c:tx>
            <c:strRef>
              <c:f>'Dec 21'!$L$4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'Dec 21'!$B$5:$B$34</c:f>
              <c:numCache>
                <c:formatCode>d\-mmm\-yy</c:formatCode>
                <c:ptCount val="30"/>
                <c:pt idx="0">
                  <c:v>44531</c:v>
                </c:pt>
                <c:pt idx="1">
                  <c:v>44532</c:v>
                </c:pt>
                <c:pt idx="2">
                  <c:v>44533</c:v>
                </c:pt>
                <c:pt idx="3">
                  <c:v>44534</c:v>
                </c:pt>
                <c:pt idx="4">
                  <c:v>44535</c:v>
                </c:pt>
                <c:pt idx="5">
                  <c:v>44536</c:v>
                </c:pt>
                <c:pt idx="6">
                  <c:v>44537</c:v>
                </c:pt>
                <c:pt idx="7">
                  <c:v>44538</c:v>
                </c:pt>
                <c:pt idx="8">
                  <c:v>44539</c:v>
                </c:pt>
                <c:pt idx="9">
                  <c:v>44540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44547</c:v>
                </c:pt>
                <c:pt idx="17">
                  <c:v>44548</c:v>
                </c:pt>
                <c:pt idx="18">
                  <c:v>44549</c:v>
                </c:pt>
                <c:pt idx="19">
                  <c:v>44550</c:v>
                </c:pt>
                <c:pt idx="20">
                  <c:v>44551</c:v>
                </c:pt>
                <c:pt idx="21">
                  <c:v>44552</c:v>
                </c:pt>
                <c:pt idx="22">
                  <c:v>44553</c:v>
                </c:pt>
                <c:pt idx="23">
                  <c:v>44554</c:v>
                </c:pt>
                <c:pt idx="24">
                  <c:v>44555</c:v>
                </c:pt>
                <c:pt idx="25">
                  <c:v>44556</c:v>
                </c:pt>
                <c:pt idx="26">
                  <c:v>44557</c:v>
                </c:pt>
                <c:pt idx="27">
                  <c:v>44558</c:v>
                </c:pt>
                <c:pt idx="28">
                  <c:v>44559</c:v>
                </c:pt>
                <c:pt idx="29">
                  <c:v>44560</c:v>
                </c:pt>
              </c:numCache>
            </c:numRef>
          </c:cat>
          <c:val>
            <c:numRef>
              <c:f>'Dec 21'!$L$5:$L$34</c:f>
              <c:numCache>
                <c:formatCode>#,##0.000</c:formatCode>
                <c:ptCount val="30"/>
                <c:pt idx="0">
                  <c:v>18.262999999999998</c:v>
                </c:pt>
                <c:pt idx="1">
                  <c:v>14.193999999999999</c:v>
                </c:pt>
                <c:pt idx="2">
                  <c:v>10.614000000000001</c:v>
                </c:pt>
                <c:pt idx="3">
                  <c:v>10.842000000000001</c:v>
                </c:pt>
                <c:pt idx="4">
                  <c:v>13.954000000000001</c:v>
                </c:pt>
                <c:pt idx="5">
                  <c:v>14.651</c:v>
                </c:pt>
                <c:pt idx="6">
                  <c:v>26.608000000000001</c:v>
                </c:pt>
                <c:pt idx="7">
                  <c:v>39.648000000000003</c:v>
                </c:pt>
                <c:pt idx="8">
                  <c:v>32.921999999999997</c:v>
                </c:pt>
                <c:pt idx="9">
                  <c:v>26.193000000000001</c:v>
                </c:pt>
                <c:pt idx="10">
                  <c:v>35.463999999999999</c:v>
                </c:pt>
                <c:pt idx="11">
                  <c:v>36.343000000000004</c:v>
                </c:pt>
                <c:pt idx="12">
                  <c:v>35.893999999999998</c:v>
                </c:pt>
                <c:pt idx="13">
                  <c:v>34.761000000000003</c:v>
                </c:pt>
                <c:pt idx="14">
                  <c:v>35.553000000000004</c:v>
                </c:pt>
                <c:pt idx="15">
                  <c:v>22.724</c:v>
                </c:pt>
                <c:pt idx="16">
                  <c:v>25.433450000000001</c:v>
                </c:pt>
                <c:pt idx="17">
                  <c:v>30.762999999999998</c:v>
                </c:pt>
                <c:pt idx="18">
                  <c:v>30.255999999999997</c:v>
                </c:pt>
                <c:pt idx="19">
                  <c:v>29.418000000000003</c:v>
                </c:pt>
                <c:pt idx="20">
                  <c:v>30.152999999999999</c:v>
                </c:pt>
                <c:pt idx="21">
                  <c:v>31.318000000000001</c:v>
                </c:pt>
                <c:pt idx="22">
                  <c:v>32.332000000000001</c:v>
                </c:pt>
                <c:pt idx="23">
                  <c:v>32.689</c:v>
                </c:pt>
                <c:pt idx="24">
                  <c:v>21.004000000000001</c:v>
                </c:pt>
                <c:pt idx="25">
                  <c:v>23.553999999999998</c:v>
                </c:pt>
                <c:pt idx="26">
                  <c:v>26.953000000000003</c:v>
                </c:pt>
                <c:pt idx="27">
                  <c:v>30.975999999999999</c:v>
                </c:pt>
                <c:pt idx="28">
                  <c:v>32.066999999999993</c:v>
                </c:pt>
                <c:pt idx="29">
                  <c:v>34.027000000000001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60-4DD6-8252-643AEE8A9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4144"/>
        <c:axId val="191820616"/>
      </c:lineChart>
      <c:dateAx>
        <c:axId val="1918241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9189151425"/>
          <c:h val="3.7211543256065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507475132492345"/>
          <c:y val="8.40777709182331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87961414064006"/>
          <c:y val="8.6898040963266573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'Jan-22'!$AJ$10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81-4772-9C0F-77FDFEDE782E}"/>
                </c:ext>
              </c:extLst>
            </c:dLbl>
            <c:dLbl>
              <c:idx val="1"/>
              <c:layout>
                <c:manualLayout>
                  <c:x val="1.0482847503669207E-5"/>
                  <c:y val="-4.4155350684398222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81-4772-9C0F-77FDFEDE782E}"/>
                </c:ext>
              </c:extLst>
            </c:dLbl>
            <c:dLbl>
              <c:idx val="4"/>
              <c:layout>
                <c:manualLayout>
                  <c:x val="3.940426642641812E-4"/>
                  <c:y val="3.044755581861594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81-4772-9C0F-77FDFEDE78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'Jan-22'!$AI$11:$AI$16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'Jan-22'!$AJ$11:$AJ$16</c:f>
              <c:numCache>
                <c:formatCode>#,##0.00</c:formatCode>
                <c:ptCount val="6"/>
                <c:pt idx="0">
                  <c:v>20.47</c:v>
                </c:pt>
                <c:pt idx="1">
                  <c:v>15.22</c:v>
                </c:pt>
                <c:pt idx="2">
                  <c:v>5.15</c:v>
                </c:pt>
                <c:pt idx="3">
                  <c:v>3.58</c:v>
                </c:pt>
                <c:pt idx="4">
                  <c:v>44.419999999999995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1-4772-9C0F-77FDFEDE782E}"/>
            </c:ext>
          </c:extLst>
        </c:ser>
        <c:ser>
          <c:idx val="1"/>
          <c:order val="1"/>
          <c:tx>
            <c:strRef>
              <c:f>'Jan-22'!$AK$10</c:f>
              <c:strCache>
                <c:ptCount val="1"/>
                <c:pt idx="0">
                  <c:v>26-Jan-2022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91656978146E-3"/>
                  <c:y val="5.38741900805286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81-4772-9C0F-77FDFEDE782E}"/>
                </c:ext>
              </c:extLst>
            </c:dLbl>
            <c:dLbl>
              <c:idx val="1"/>
              <c:layout>
                <c:manualLayout>
                  <c:x val="1.0736343204016138E-3"/>
                  <c:y val="2.79967846046426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81-4772-9C0F-77FDFEDE782E}"/>
                </c:ext>
              </c:extLst>
            </c:dLbl>
            <c:dLbl>
              <c:idx val="2"/>
              <c:layout>
                <c:manualLayout>
                  <c:x val="0"/>
                  <c:y val="-2.36322782837505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81-4772-9C0F-77FDFEDE782E}"/>
                </c:ext>
              </c:extLst>
            </c:dLbl>
            <c:dLbl>
              <c:idx val="3"/>
              <c:layout>
                <c:manualLayout>
                  <c:x val="0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81-4772-9C0F-77FDFEDE782E}"/>
                </c:ext>
              </c:extLst>
            </c:dLbl>
            <c:dLbl>
              <c:idx val="4"/>
              <c:layout>
                <c:manualLayout>
                  <c:x val="1.1719984782551885E-6"/>
                  <c:y val="-3.194784345888890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681-4772-9C0F-77FDFEDE782E}"/>
                </c:ext>
              </c:extLst>
            </c:dLbl>
            <c:dLbl>
              <c:idx val="5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81-4772-9C0F-77FDFEDE78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'Jan-22'!$AI$11:$AI$16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'Jan-22'!$AK$11:$AK$16</c:f>
              <c:numCache>
                <c:formatCode>#,##0.00</c:formatCode>
                <c:ptCount val="6"/>
                <c:pt idx="0">
                  <c:v>18.459</c:v>
                </c:pt>
                <c:pt idx="1">
                  <c:v>6.5819999999999999</c:v>
                </c:pt>
                <c:pt idx="2">
                  <c:v>4.5510000000000002</c:v>
                </c:pt>
                <c:pt idx="3">
                  <c:v>2.3620000000000001</c:v>
                </c:pt>
                <c:pt idx="4">
                  <c:v>31.954000000000001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81-4772-9C0F-77FDFEDE782E}"/>
            </c:ext>
          </c:extLst>
        </c:ser>
        <c:ser>
          <c:idx val="2"/>
          <c:order val="2"/>
          <c:tx>
            <c:strRef>
              <c:f>'Jan-22'!$AL$10</c:f>
              <c:strCache>
                <c:ptCount val="1"/>
                <c:pt idx="0">
                  <c:v>27-Jan-2022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2.1468871687534059E-5"/>
                  <c:y val="8.37533563311537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81-4772-9C0F-77FDFEDE782E}"/>
                </c:ext>
              </c:extLst>
            </c:dLbl>
            <c:dLbl>
              <c:idx val="1"/>
              <c:layout>
                <c:manualLayout>
                  <c:x val="0"/>
                  <c:y val="-2.36583708482217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681-4772-9C0F-77FDFEDE782E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681-4772-9C0F-77FDFEDE782E}"/>
                </c:ext>
              </c:extLst>
            </c:dLbl>
            <c:dLbl>
              <c:idx val="4"/>
              <c:layout>
                <c:manualLayout>
                  <c:x val="0"/>
                  <c:y val="-3.996845990876762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681-4772-9C0F-77FDFEDE782E}"/>
                </c:ext>
              </c:extLst>
            </c:dLbl>
            <c:dLbl>
              <c:idx val="5"/>
              <c:layout>
                <c:manualLayout>
                  <c:x val="0"/>
                  <c:y val="-1.74443291463711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681-4772-9C0F-77FDFEDE78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'Jan-22'!$AI$11:$AI$16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'Jan-22'!$AL$11:$AL$16</c:f>
              <c:numCache>
                <c:formatCode>#,##0.00</c:formatCode>
                <c:ptCount val="6"/>
                <c:pt idx="0">
                  <c:v>17.937000000000001</c:v>
                </c:pt>
                <c:pt idx="1">
                  <c:v>0</c:v>
                </c:pt>
                <c:pt idx="2">
                  <c:v>4.7140000000000004</c:v>
                </c:pt>
                <c:pt idx="3">
                  <c:v>2.347</c:v>
                </c:pt>
                <c:pt idx="4">
                  <c:v>24.998000000000005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81-4772-9C0F-77FDFEDE782E}"/>
            </c:ext>
          </c:extLst>
        </c:ser>
        <c:ser>
          <c:idx val="3"/>
          <c:order val="3"/>
          <c:tx>
            <c:strRef>
              <c:f>'Jan-22'!$AM$10</c:f>
              <c:strCache>
                <c:ptCount val="1"/>
                <c:pt idx="0">
                  <c:v>28-Jan-2022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932967181946625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681-4772-9C0F-77FDFEDE782E}"/>
                </c:ext>
              </c:extLst>
            </c:dLbl>
            <c:dLbl>
              <c:idx val="1"/>
              <c:layout>
                <c:manualLayout>
                  <c:x val="0"/>
                  <c:y val="-3.352790075741383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681-4772-9C0F-77FDFEDE782E}"/>
                </c:ext>
              </c:extLst>
            </c:dLbl>
            <c:dLbl>
              <c:idx val="2"/>
              <c:layout>
                <c:manualLayout>
                  <c:x val="0"/>
                  <c:y val="-1.57778356505477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681-4772-9C0F-77FDFEDE782E}"/>
                </c:ext>
              </c:extLst>
            </c:dLbl>
            <c:dLbl>
              <c:idx val="4"/>
              <c:layout>
                <c:manualLayout>
                  <c:x val="2.1263400965458859E-3"/>
                  <c:y val="9.697470770634224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681-4772-9C0F-77FDFEDE782E}"/>
                </c:ext>
              </c:extLst>
            </c:dLbl>
            <c:dLbl>
              <c:idx val="5"/>
              <c:layout>
                <c:manualLayout>
                  <c:x val="-1.5475654635488098E-16"/>
                  <c:y val="-1.78060714210310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681-4772-9C0F-77FDFEDE78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'Jan-22'!$AI$11:$AI$16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'Jan-22'!$AM$11:$AM$16</c:f>
              <c:numCache>
                <c:formatCode>#,##0.00</c:formatCode>
                <c:ptCount val="6"/>
                <c:pt idx="0">
                  <c:v>18.398</c:v>
                </c:pt>
                <c:pt idx="1">
                  <c:v>3.75</c:v>
                </c:pt>
                <c:pt idx="2">
                  <c:v>4.601</c:v>
                </c:pt>
                <c:pt idx="3">
                  <c:v>2.3460000000000001</c:v>
                </c:pt>
                <c:pt idx="4">
                  <c:v>29.094999999999999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681-4772-9C0F-77FDFEDE782E}"/>
            </c:ext>
          </c:extLst>
        </c:ser>
        <c:ser>
          <c:idx val="4"/>
          <c:order val="4"/>
          <c:tx>
            <c:strRef>
              <c:f>'Jan-22'!$AN$10</c:f>
              <c:strCache>
                <c:ptCount val="1"/>
                <c:pt idx="0">
                  <c:v>29-Jan-2022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40771298594682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681-4772-9C0F-77FDFEDE782E}"/>
                </c:ext>
              </c:extLst>
            </c:dLbl>
            <c:dLbl>
              <c:idx val="1"/>
              <c:layout>
                <c:manualLayout>
                  <c:x val="1.063170048272982E-3"/>
                  <c:y val="2.48284002242540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681-4772-9C0F-77FDFEDE782E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681-4772-9C0F-77FDFEDE782E}"/>
                </c:ext>
              </c:extLst>
            </c:dLbl>
            <c:dLbl>
              <c:idx val="4"/>
              <c:layout>
                <c:manualLayout>
                  <c:x val="2.1263400965302932E-5"/>
                  <c:y val="-3.35609804236193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681-4772-9C0F-77FDFEDE782E}"/>
                </c:ext>
              </c:extLst>
            </c:dLbl>
            <c:dLbl>
              <c:idx val="5"/>
              <c:layout>
                <c:manualLayout>
                  <c:x val="-1.588019963952801E-16"/>
                  <c:y val="-2.006704648389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681-4772-9C0F-77FDFEDE78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'Jan-22'!$AI$11:$AI$16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'Jan-22'!$AN$11:$AN$16</c:f>
              <c:numCache>
                <c:formatCode>#,##0.00</c:formatCode>
                <c:ptCount val="6"/>
                <c:pt idx="0">
                  <c:v>18.460999999999999</c:v>
                </c:pt>
                <c:pt idx="1">
                  <c:v>4.2949999999999999</c:v>
                </c:pt>
                <c:pt idx="2">
                  <c:v>4.5060000000000002</c:v>
                </c:pt>
                <c:pt idx="3">
                  <c:v>2.3759999999999999</c:v>
                </c:pt>
                <c:pt idx="4">
                  <c:v>29.638000000000002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681-4772-9C0F-77FDFEDE782E}"/>
            </c:ext>
          </c:extLst>
        </c:ser>
        <c:ser>
          <c:idx val="5"/>
          <c:order val="5"/>
          <c:tx>
            <c:strRef>
              <c:f>'Jan-22'!$AO$10</c:f>
              <c:strCache>
                <c:ptCount val="1"/>
                <c:pt idx="0">
                  <c:v>30-Jan-2022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8.0597408490494402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681-4772-9C0F-77FDFEDE782E}"/>
                </c:ext>
              </c:extLst>
            </c:dLbl>
            <c:dLbl>
              <c:idx val="1"/>
              <c:layout>
                <c:manualLayout>
                  <c:x val="0"/>
                  <c:y val="-4.282389105575394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681-4772-9C0F-77FDFEDE782E}"/>
                </c:ext>
              </c:extLst>
            </c:dLbl>
            <c:dLbl>
              <c:idx val="2"/>
              <c:layout>
                <c:manualLayout>
                  <c:x val="0"/>
                  <c:y val="-1.3805606194229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B681-4772-9C0F-77FDFEDE782E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B681-4772-9C0F-77FDFEDE782E}"/>
                </c:ext>
              </c:extLst>
            </c:dLbl>
            <c:dLbl>
              <c:idx val="4"/>
              <c:layout>
                <c:manualLayout>
                  <c:x val="1.0631700482729429E-3"/>
                  <c:y val="2.782000779372049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681-4772-9C0F-77FDFEDE782E}"/>
                </c:ext>
              </c:extLst>
            </c:dLbl>
            <c:dLbl>
              <c:idx val="5"/>
              <c:layout>
                <c:manualLayout>
                  <c:x val="-1.588019963952801E-16"/>
                  <c:y val="7.84295090251224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B681-4772-9C0F-77FDFEDE78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'Jan-22'!$AI$11:$AI$16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'Jan-22'!$AO$11:$AO$16</c:f>
              <c:numCache>
                <c:formatCode>#,##0.00</c:formatCode>
                <c:ptCount val="6"/>
                <c:pt idx="0">
                  <c:v>18.166</c:v>
                </c:pt>
                <c:pt idx="1">
                  <c:v>8.4760000000000009</c:v>
                </c:pt>
                <c:pt idx="2">
                  <c:v>4.5709999999999997</c:v>
                </c:pt>
                <c:pt idx="3">
                  <c:v>2.363</c:v>
                </c:pt>
                <c:pt idx="4">
                  <c:v>33.576000000000001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681-4772-9C0F-77FDFEDE78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91822968"/>
        <c:axId val="191821792"/>
      </c:barChart>
      <c:catAx>
        <c:axId val="1918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792"/>
        <c:crosses val="autoZero"/>
        <c:auto val="1"/>
        <c:lblAlgn val="ctr"/>
        <c:lblOffset val="100"/>
        <c:noMultiLvlLbl val="0"/>
      </c:catAx>
      <c:valAx>
        <c:axId val="19182179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4055191752345337E-2"/>
              <c:y val="0.25913091080463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296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059765481410556"/>
          <c:y val="0.94012527385880318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January 2022</a:t>
            </a:r>
          </a:p>
        </c:rich>
      </c:tx>
      <c:layout>
        <c:manualLayout>
          <c:xMode val="edge"/>
          <c:yMode val="edge"/>
          <c:x val="0.22298760840626958"/>
          <c:y val="2.1821898964775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0"/>
          <c:order val="0"/>
          <c:tx>
            <c:strRef>
              <c:f>'Jan-22'!$I$4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'Jan-22'!$I$5:$I$39</c15:sqref>
                  </c15:fullRef>
                </c:ext>
              </c:extLst>
              <c:f>'Jan-22'!$I$8:$I$39</c:f>
              <c:numCache>
                <c:formatCode>#,##0.000</c:formatCode>
                <c:ptCount val="32"/>
                <c:pt idx="0">
                  <c:v>9.7520000000000007</c:v>
                </c:pt>
                <c:pt idx="1">
                  <c:v>12.808999999999999</c:v>
                </c:pt>
                <c:pt idx="2">
                  <c:v>12.151</c:v>
                </c:pt>
                <c:pt idx="3">
                  <c:v>12.265000000000001</c:v>
                </c:pt>
                <c:pt idx="4">
                  <c:v>12.081</c:v>
                </c:pt>
                <c:pt idx="5">
                  <c:v>12.013999999999999</c:v>
                </c:pt>
                <c:pt idx="6">
                  <c:v>4.5129999999999999</c:v>
                </c:pt>
                <c:pt idx="7">
                  <c:v>4.7009999999999996</c:v>
                </c:pt>
                <c:pt idx="8">
                  <c:v>9.843</c:v>
                </c:pt>
                <c:pt idx="9">
                  <c:v>10.188000000000001</c:v>
                </c:pt>
                <c:pt idx="10">
                  <c:v>11.336</c:v>
                </c:pt>
                <c:pt idx="11">
                  <c:v>11.38</c:v>
                </c:pt>
                <c:pt idx="12">
                  <c:v>11.244</c:v>
                </c:pt>
                <c:pt idx="13">
                  <c:v>10.547000000000001</c:v>
                </c:pt>
                <c:pt idx="14">
                  <c:v>10.872</c:v>
                </c:pt>
                <c:pt idx="15">
                  <c:v>11.167</c:v>
                </c:pt>
                <c:pt idx="16">
                  <c:v>11.109</c:v>
                </c:pt>
                <c:pt idx="17">
                  <c:v>11.138</c:v>
                </c:pt>
                <c:pt idx="18">
                  <c:v>12.852</c:v>
                </c:pt>
                <c:pt idx="19">
                  <c:v>12.907999999999999</c:v>
                </c:pt>
                <c:pt idx="20">
                  <c:v>12.984999999999999</c:v>
                </c:pt>
                <c:pt idx="21">
                  <c:v>12.414999999999999</c:v>
                </c:pt>
                <c:pt idx="22">
                  <c:v>13.994999999999999</c:v>
                </c:pt>
                <c:pt idx="23">
                  <c:v>14.303000000000001</c:v>
                </c:pt>
                <c:pt idx="24">
                  <c:v>13.148</c:v>
                </c:pt>
                <c:pt idx="25">
                  <c:v>13.084</c:v>
                </c:pt>
                <c:pt idx="26">
                  <c:v>6.5819999999999999</c:v>
                </c:pt>
                <c:pt idx="27">
                  <c:v>0</c:v>
                </c:pt>
                <c:pt idx="28">
                  <c:v>3.75</c:v>
                </c:pt>
                <c:pt idx="29">
                  <c:v>4.2949999999999999</c:v>
                </c:pt>
                <c:pt idx="30">
                  <c:v>8.4760000000000009</c:v>
                </c:pt>
                <c:pt idx="31">
                  <c:v>7.726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6-4C67-BD0C-BEA50D87FB48}"/>
            </c:ext>
          </c:extLst>
        </c:ser>
        <c:ser>
          <c:idx val="1"/>
          <c:order val="1"/>
          <c:tx>
            <c:strRef>
              <c:f>'Jan-22'!$M$4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'Jan-22'!$M$5:$M$39</c15:sqref>
                  </c15:fullRef>
                </c:ext>
              </c:extLst>
              <c:f>'Jan-22'!$M$8:$M$39</c:f>
              <c:numCache>
                <c:formatCode>#,##0.000</c:formatCode>
                <c:ptCount val="32"/>
                <c:pt idx="0">
                  <c:v>2.4</c:v>
                </c:pt>
                <c:pt idx="1">
                  <c:v>1.1599999999999999</c:v>
                </c:pt>
                <c:pt idx="2">
                  <c:v>0</c:v>
                </c:pt>
                <c:pt idx="3">
                  <c:v>5.6509999999999998</c:v>
                </c:pt>
                <c:pt idx="4">
                  <c:v>11.779</c:v>
                </c:pt>
                <c:pt idx="5">
                  <c:v>11.237</c:v>
                </c:pt>
                <c:pt idx="6">
                  <c:v>3.169</c:v>
                </c:pt>
                <c:pt idx="7">
                  <c:v>0</c:v>
                </c:pt>
                <c:pt idx="8">
                  <c:v>0</c:v>
                </c:pt>
                <c:pt idx="9">
                  <c:v>2.7330000000000001</c:v>
                </c:pt>
                <c:pt idx="10">
                  <c:v>9.6739999999999995</c:v>
                </c:pt>
                <c:pt idx="11">
                  <c:v>3.0070000000000001</c:v>
                </c:pt>
                <c:pt idx="12">
                  <c:v>3.2010000000000001</c:v>
                </c:pt>
                <c:pt idx="13">
                  <c:v>14.99</c:v>
                </c:pt>
                <c:pt idx="14">
                  <c:v>3.76</c:v>
                </c:pt>
                <c:pt idx="15">
                  <c:v>6.16</c:v>
                </c:pt>
                <c:pt idx="16">
                  <c:v>1.6870000000000001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6-4C67-BD0C-BEA50D87FB48}"/>
            </c:ext>
          </c:extLst>
        </c:ser>
        <c:ser>
          <c:idx val="2"/>
          <c:order val="2"/>
          <c:tx>
            <c:strRef>
              <c:f>'Jan-22'!$S$4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'Jan-22'!$S$5:$S$39</c15:sqref>
                  </c15:fullRef>
                </c:ext>
              </c:extLst>
              <c:f>'Jan-22'!$S$8:$S$39</c:f>
              <c:numCache>
                <c:formatCode>#,##0.00</c:formatCode>
                <c:ptCount val="32"/>
                <c:pt idx="0" formatCode="#,##0.0000">
                  <c:v>29.21</c:v>
                </c:pt>
                <c:pt idx="1">
                  <c:v>39.020000000000003</c:v>
                </c:pt>
                <c:pt idx="2">
                  <c:v>39.020000000000003</c:v>
                </c:pt>
                <c:pt idx="3">
                  <c:v>39.020000000000003</c:v>
                </c:pt>
                <c:pt idx="4">
                  <c:v>39.020000000000003</c:v>
                </c:pt>
                <c:pt idx="5">
                  <c:v>39.020000000000003</c:v>
                </c:pt>
                <c:pt idx="6">
                  <c:v>39.020000000000003</c:v>
                </c:pt>
                <c:pt idx="7">
                  <c:v>10.06</c:v>
                </c:pt>
                <c:pt idx="8">
                  <c:v>22.29</c:v>
                </c:pt>
                <c:pt idx="9">
                  <c:v>25.73</c:v>
                </c:pt>
                <c:pt idx="10">
                  <c:v>27.34</c:v>
                </c:pt>
                <c:pt idx="11">
                  <c:v>30.74</c:v>
                </c:pt>
                <c:pt idx="12">
                  <c:v>29.82</c:v>
                </c:pt>
                <c:pt idx="13">
                  <c:v>30.05</c:v>
                </c:pt>
                <c:pt idx="14">
                  <c:v>31.67</c:v>
                </c:pt>
                <c:pt idx="15">
                  <c:v>30.41</c:v>
                </c:pt>
                <c:pt idx="16">
                  <c:v>28.55</c:v>
                </c:pt>
                <c:pt idx="17">
                  <c:v>28.95</c:v>
                </c:pt>
                <c:pt idx="18">
                  <c:v>35.020000000000003</c:v>
                </c:pt>
                <c:pt idx="19">
                  <c:v>39.020000000000003</c:v>
                </c:pt>
                <c:pt idx="20">
                  <c:v>39.020000000000003</c:v>
                </c:pt>
                <c:pt idx="21">
                  <c:v>39.020000000000003</c:v>
                </c:pt>
                <c:pt idx="22">
                  <c:v>39.020000000000003</c:v>
                </c:pt>
                <c:pt idx="23">
                  <c:v>39.020000000000003</c:v>
                </c:pt>
                <c:pt idx="24">
                  <c:v>39.020000000000003</c:v>
                </c:pt>
                <c:pt idx="25">
                  <c:v>39.020000000000003</c:v>
                </c:pt>
                <c:pt idx="26">
                  <c:v>18.97</c:v>
                </c:pt>
                <c:pt idx="27">
                  <c:v>0</c:v>
                </c:pt>
                <c:pt idx="28">
                  <c:v>7.38</c:v>
                </c:pt>
                <c:pt idx="29">
                  <c:v>11.66</c:v>
                </c:pt>
                <c:pt idx="30">
                  <c:v>20.61</c:v>
                </c:pt>
                <c:pt idx="31">
                  <c:v>17.440000000000001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6-4C67-BD0C-BEA50D87FB48}"/>
            </c:ext>
          </c:extLst>
        </c:ser>
        <c:ser>
          <c:idx val="3"/>
          <c:order val="3"/>
          <c:tx>
            <c:strRef>
              <c:f>'Jan-22'!$AA$4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'Jan-22'!$AA$5:$AA$39</c15:sqref>
                  </c15:fullRef>
                </c:ext>
              </c:extLst>
              <c:f>'Jan-22'!$AA$8:$AA$39</c:f>
              <c:numCache>
                <c:formatCode>#,##0.00</c:formatCode>
                <c:ptCount val="32"/>
                <c:pt idx="0">
                  <c:v>20.61</c:v>
                </c:pt>
                <c:pt idx="1">
                  <c:v>17.440000000000001</c:v>
                </c:pt>
                <c:pt idx="2">
                  <c:v>5.01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12.83</c:v>
                </c:pt>
                <c:pt idx="10">
                  <c:v>15.41</c:v>
                </c:pt>
                <c:pt idx="11">
                  <c:v>19.09</c:v>
                </c:pt>
                <c:pt idx="12">
                  <c:v>21.43</c:v>
                </c:pt>
                <c:pt idx="13">
                  <c:v>26.33</c:v>
                </c:pt>
                <c:pt idx="14">
                  <c:v>32.090000000000003</c:v>
                </c:pt>
                <c:pt idx="15">
                  <c:v>34.72</c:v>
                </c:pt>
                <c:pt idx="16">
                  <c:v>32.54</c:v>
                </c:pt>
                <c:pt idx="17">
                  <c:v>29.85</c:v>
                </c:pt>
                <c:pt idx="18">
                  <c:v>20.69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1.67</c:v>
                </c:pt>
                <c:pt idx="23">
                  <c:v>4.6399999999999997</c:v>
                </c:pt>
                <c:pt idx="24">
                  <c:v>7.03</c:v>
                </c:pt>
                <c:pt idx="25">
                  <c:v>0</c:v>
                </c:pt>
                <c:pt idx="26">
                  <c:v>3.67</c:v>
                </c:pt>
                <c:pt idx="27">
                  <c:v>7.03</c:v>
                </c:pt>
                <c:pt idx="28">
                  <c:v>7.03</c:v>
                </c:pt>
                <c:pt idx="29">
                  <c:v>18.190000000000001</c:v>
                </c:pt>
                <c:pt idx="30">
                  <c:v>18.78</c:v>
                </c:pt>
                <c:pt idx="31">
                  <c:v>18.78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6-4C67-BD0C-BEA50D87F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1400"/>
        <c:axId val="191823360"/>
      </c:lineChart>
      <c:dateAx>
        <c:axId val="191821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3360"/>
        <c:crosses val="autoZero"/>
        <c:auto val="1"/>
        <c:lblOffset val="100"/>
        <c:baseTimeUnit val="days"/>
      </c:dateAx>
      <c:valAx>
        <c:axId val="1918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400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7237648707612685"/>
          <c:h val="4.1064016354188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January 2022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0"/>
          <c:order val="0"/>
          <c:tx>
            <c:strRef>
              <c:f>'Jan-22'!$G$4</c:f>
              <c:strCache>
                <c:ptCount val="1"/>
                <c:pt idx="0">
                  <c:v>January 2022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'Jan-22'!$G$5:$G$39</c15:sqref>
                  </c15:fullRef>
                </c:ext>
              </c:extLst>
              <c:f>'Jan-22'!$G$8:$G$39</c:f>
              <c:numCache>
                <c:formatCode>#,##0.000</c:formatCode>
                <c:ptCount val="32"/>
                <c:pt idx="0">
                  <c:v>44.419999999999995</c:v>
                </c:pt>
                <c:pt idx="1">
                  <c:v>44.419999999999995</c:v>
                </c:pt>
                <c:pt idx="2">
                  <c:v>44.419999999999995</c:v>
                </c:pt>
                <c:pt idx="3">
                  <c:v>44.419999999999995</c:v>
                </c:pt>
                <c:pt idx="4">
                  <c:v>44.419999999999995</c:v>
                </c:pt>
                <c:pt idx="5">
                  <c:v>44.419999999999995</c:v>
                </c:pt>
                <c:pt idx="6">
                  <c:v>44.419999999999995</c:v>
                </c:pt>
                <c:pt idx="7">
                  <c:v>44.419999999999995</c:v>
                </c:pt>
                <c:pt idx="8">
                  <c:v>44.419999999999995</c:v>
                </c:pt>
                <c:pt idx="9">
                  <c:v>44.419999999999995</c:v>
                </c:pt>
                <c:pt idx="10">
                  <c:v>44.419999999999995</c:v>
                </c:pt>
                <c:pt idx="11">
                  <c:v>44.419999999999995</c:v>
                </c:pt>
                <c:pt idx="12">
                  <c:v>44.419999999999995</c:v>
                </c:pt>
                <c:pt idx="13">
                  <c:v>44.419999999999995</c:v>
                </c:pt>
                <c:pt idx="14">
                  <c:v>44.419999999999995</c:v>
                </c:pt>
                <c:pt idx="15">
                  <c:v>44.419999999999995</c:v>
                </c:pt>
                <c:pt idx="16">
                  <c:v>44.419999999999995</c:v>
                </c:pt>
                <c:pt idx="17">
                  <c:v>44.419999999999995</c:v>
                </c:pt>
                <c:pt idx="18">
                  <c:v>44.419999999999995</c:v>
                </c:pt>
                <c:pt idx="19">
                  <c:v>44.419999999999995</c:v>
                </c:pt>
                <c:pt idx="20">
                  <c:v>44.419999999999995</c:v>
                </c:pt>
                <c:pt idx="21">
                  <c:v>44.419999999999995</c:v>
                </c:pt>
                <c:pt idx="22">
                  <c:v>44.419999999999995</c:v>
                </c:pt>
                <c:pt idx="23">
                  <c:v>44.419999999999995</c:v>
                </c:pt>
                <c:pt idx="24">
                  <c:v>44.419999999999995</c:v>
                </c:pt>
                <c:pt idx="25">
                  <c:v>44.419999999999995</c:v>
                </c:pt>
                <c:pt idx="26">
                  <c:v>44.419999999999995</c:v>
                </c:pt>
                <c:pt idx="27">
                  <c:v>44.419999999999995</c:v>
                </c:pt>
                <c:pt idx="28">
                  <c:v>44.419999999999995</c:v>
                </c:pt>
                <c:pt idx="29">
                  <c:v>44.419999999999995</c:v>
                </c:pt>
                <c:pt idx="30">
                  <c:v>44.419999999999995</c:v>
                </c:pt>
                <c:pt idx="31">
                  <c:v>44.419999999999995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D-47FE-9D66-F6AB3A02F7AD}"/>
            </c:ext>
          </c:extLst>
        </c:ser>
        <c:ser>
          <c:idx val="1"/>
          <c:order val="1"/>
          <c:tx>
            <c:strRef>
              <c:f>'Jan-22'!$H$4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'Jan-22'!$H$5:$H$39</c15:sqref>
                  </c15:fullRef>
                </c:ext>
              </c:extLst>
              <c:f>'Jan-22'!$H$8:$H$39</c:f>
              <c:numCache>
                <c:formatCode>#,##0.000</c:formatCode>
                <c:ptCount val="32"/>
                <c:pt idx="0">
                  <c:v>18.329000000000001</c:v>
                </c:pt>
                <c:pt idx="1">
                  <c:v>18.873000000000001</c:v>
                </c:pt>
                <c:pt idx="2">
                  <c:v>18.710999999999999</c:v>
                </c:pt>
                <c:pt idx="3">
                  <c:v>18.268000000000001</c:v>
                </c:pt>
                <c:pt idx="4">
                  <c:v>18.638999999999999</c:v>
                </c:pt>
                <c:pt idx="5">
                  <c:v>18.617000000000001</c:v>
                </c:pt>
                <c:pt idx="6">
                  <c:v>18.637</c:v>
                </c:pt>
                <c:pt idx="7">
                  <c:v>18.106999999999999</c:v>
                </c:pt>
                <c:pt idx="8">
                  <c:v>18.494</c:v>
                </c:pt>
                <c:pt idx="9">
                  <c:v>18.571999999999999</c:v>
                </c:pt>
                <c:pt idx="10">
                  <c:v>18.291</c:v>
                </c:pt>
                <c:pt idx="11">
                  <c:v>18.683</c:v>
                </c:pt>
                <c:pt idx="12">
                  <c:v>18.545000000000002</c:v>
                </c:pt>
                <c:pt idx="13">
                  <c:v>18.632999999999999</c:v>
                </c:pt>
                <c:pt idx="14">
                  <c:v>18.806999999999999</c:v>
                </c:pt>
                <c:pt idx="15">
                  <c:v>18.541</c:v>
                </c:pt>
                <c:pt idx="16">
                  <c:v>17.946999999999999</c:v>
                </c:pt>
                <c:pt idx="17">
                  <c:v>16.446999999999999</c:v>
                </c:pt>
                <c:pt idx="18">
                  <c:v>16.105</c:v>
                </c:pt>
                <c:pt idx="19">
                  <c:v>15.454000000000001</c:v>
                </c:pt>
                <c:pt idx="20">
                  <c:v>10.855</c:v>
                </c:pt>
                <c:pt idx="21">
                  <c:v>13.442</c:v>
                </c:pt>
                <c:pt idx="22">
                  <c:v>14.821999999999999</c:v>
                </c:pt>
                <c:pt idx="23">
                  <c:v>16.007999999999999</c:v>
                </c:pt>
                <c:pt idx="24">
                  <c:v>17.448</c:v>
                </c:pt>
                <c:pt idx="25">
                  <c:v>18.878</c:v>
                </c:pt>
                <c:pt idx="26">
                  <c:v>18.459</c:v>
                </c:pt>
                <c:pt idx="27">
                  <c:v>17.937000000000001</c:v>
                </c:pt>
                <c:pt idx="28">
                  <c:v>18.398</c:v>
                </c:pt>
                <c:pt idx="29">
                  <c:v>18.460999999999999</c:v>
                </c:pt>
                <c:pt idx="30">
                  <c:v>18.166</c:v>
                </c:pt>
                <c:pt idx="31">
                  <c:v>17.564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D-47FE-9D66-F6AB3A02F7AD}"/>
            </c:ext>
          </c:extLst>
        </c:ser>
        <c:ser>
          <c:idx val="2"/>
          <c:order val="2"/>
          <c:tx>
            <c:strRef>
              <c:f>'Jan-22'!$I$4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'Jan-22'!$I$5:$I$39</c15:sqref>
                  </c15:fullRef>
                </c:ext>
              </c:extLst>
              <c:f>'Jan-22'!$I$8:$I$39</c:f>
              <c:numCache>
                <c:formatCode>#,##0.000</c:formatCode>
                <c:ptCount val="32"/>
                <c:pt idx="0">
                  <c:v>9.7520000000000007</c:v>
                </c:pt>
                <c:pt idx="1">
                  <c:v>12.808999999999999</c:v>
                </c:pt>
                <c:pt idx="2">
                  <c:v>12.151</c:v>
                </c:pt>
                <c:pt idx="3">
                  <c:v>12.265000000000001</c:v>
                </c:pt>
                <c:pt idx="4">
                  <c:v>12.081</c:v>
                </c:pt>
                <c:pt idx="5">
                  <c:v>12.013999999999999</c:v>
                </c:pt>
                <c:pt idx="6">
                  <c:v>4.5129999999999999</c:v>
                </c:pt>
                <c:pt idx="7">
                  <c:v>4.7009999999999996</c:v>
                </c:pt>
                <c:pt idx="8">
                  <c:v>9.843</c:v>
                </c:pt>
                <c:pt idx="9">
                  <c:v>10.188000000000001</c:v>
                </c:pt>
                <c:pt idx="10">
                  <c:v>11.336</c:v>
                </c:pt>
                <c:pt idx="11">
                  <c:v>11.38</c:v>
                </c:pt>
                <c:pt idx="12">
                  <c:v>11.244</c:v>
                </c:pt>
                <c:pt idx="13">
                  <c:v>10.547000000000001</c:v>
                </c:pt>
                <c:pt idx="14">
                  <c:v>10.872</c:v>
                </c:pt>
                <c:pt idx="15">
                  <c:v>11.167</c:v>
                </c:pt>
                <c:pt idx="16">
                  <c:v>11.109</c:v>
                </c:pt>
                <c:pt idx="17">
                  <c:v>11.138</c:v>
                </c:pt>
                <c:pt idx="18">
                  <c:v>12.852</c:v>
                </c:pt>
                <c:pt idx="19">
                  <c:v>12.907999999999999</c:v>
                </c:pt>
                <c:pt idx="20">
                  <c:v>12.984999999999999</c:v>
                </c:pt>
                <c:pt idx="21">
                  <c:v>12.414999999999999</c:v>
                </c:pt>
                <c:pt idx="22">
                  <c:v>13.994999999999999</c:v>
                </c:pt>
                <c:pt idx="23">
                  <c:v>14.303000000000001</c:v>
                </c:pt>
                <c:pt idx="24">
                  <c:v>13.148</c:v>
                </c:pt>
                <c:pt idx="25">
                  <c:v>13.084</c:v>
                </c:pt>
                <c:pt idx="26">
                  <c:v>6.5819999999999999</c:v>
                </c:pt>
                <c:pt idx="27">
                  <c:v>0</c:v>
                </c:pt>
                <c:pt idx="28">
                  <c:v>3.75</c:v>
                </c:pt>
                <c:pt idx="29">
                  <c:v>4.2949999999999999</c:v>
                </c:pt>
                <c:pt idx="30">
                  <c:v>8.4760000000000009</c:v>
                </c:pt>
                <c:pt idx="31">
                  <c:v>7.726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7D-47FE-9D66-F6AB3A02F7AD}"/>
            </c:ext>
          </c:extLst>
        </c:ser>
        <c:ser>
          <c:idx val="3"/>
          <c:order val="3"/>
          <c:tx>
            <c:strRef>
              <c:f>'Jan-22'!$J$4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810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7030A0"/>
              </a:solidFill>
              <a:ln w="9525">
                <a:solidFill>
                  <a:srgbClr val="7030A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'Jan-22'!$J$5:$J$39</c15:sqref>
                  </c15:fullRef>
                </c:ext>
              </c:extLst>
              <c:f>'Jan-22'!$J$8:$J$39</c:f>
              <c:numCache>
                <c:formatCode>#,##0.000</c:formatCode>
                <c:ptCount val="32"/>
                <c:pt idx="0">
                  <c:v>4.7919999999999998</c:v>
                </c:pt>
                <c:pt idx="1">
                  <c:v>4.2939999999999996</c:v>
                </c:pt>
                <c:pt idx="2">
                  <c:v>4.8920000000000003</c:v>
                </c:pt>
                <c:pt idx="3">
                  <c:v>4.657</c:v>
                </c:pt>
                <c:pt idx="4">
                  <c:v>4.6479999999999997</c:v>
                </c:pt>
                <c:pt idx="5">
                  <c:v>4.6420000000000003</c:v>
                </c:pt>
                <c:pt idx="6">
                  <c:v>4.625</c:v>
                </c:pt>
                <c:pt idx="7">
                  <c:v>4.6500000000000004</c:v>
                </c:pt>
                <c:pt idx="8">
                  <c:v>4.6289999999999996</c:v>
                </c:pt>
                <c:pt idx="9">
                  <c:v>4.6280000000000001</c:v>
                </c:pt>
                <c:pt idx="10">
                  <c:v>4.633</c:v>
                </c:pt>
                <c:pt idx="11">
                  <c:v>4.5999999999999996</c:v>
                </c:pt>
                <c:pt idx="12">
                  <c:v>4.6269999999999998</c:v>
                </c:pt>
                <c:pt idx="13">
                  <c:v>4.5940000000000003</c:v>
                </c:pt>
                <c:pt idx="14">
                  <c:v>4.6120000000000001</c:v>
                </c:pt>
                <c:pt idx="15">
                  <c:v>4.5979999999999999</c:v>
                </c:pt>
                <c:pt idx="16">
                  <c:v>4.5940000000000003</c:v>
                </c:pt>
                <c:pt idx="17">
                  <c:v>4.5960000000000001</c:v>
                </c:pt>
                <c:pt idx="18">
                  <c:v>4.6059999999999999</c:v>
                </c:pt>
                <c:pt idx="19">
                  <c:v>4.59</c:v>
                </c:pt>
                <c:pt idx="20">
                  <c:v>4.6109999999999998</c:v>
                </c:pt>
                <c:pt idx="21">
                  <c:v>4.319</c:v>
                </c:pt>
                <c:pt idx="22">
                  <c:v>4.5220000000000002</c:v>
                </c:pt>
                <c:pt idx="23">
                  <c:v>4.5540000000000003</c:v>
                </c:pt>
                <c:pt idx="24">
                  <c:v>4.55</c:v>
                </c:pt>
                <c:pt idx="25">
                  <c:v>4.5469999999999997</c:v>
                </c:pt>
                <c:pt idx="26">
                  <c:v>4.5510000000000002</c:v>
                </c:pt>
                <c:pt idx="27">
                  <c:v>4.7140000000000004</c:v>
                </c:pt>
                <c:pt idx="28">
                  <c:v>4.601</c:v>
                </c:pt>
                <c:pt idx="29">
                  <c:v>4.5060000000000002</c:v>
                </c:pt>
                <c:pt idx="30">
                  <c:v>4.5709999999999997</c:v>
                </c:pt>
                <c:pt idx="31">
                  <c:v>4.5629999999999997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7D-47FE-9D66-F6AB3A02F7AD}"/>
            </c:ext>
          </c:extLst>
        </c:ser>
        <c:ser>
          <c:idx val="4"/>
          <c:order val="4"/>
          <c:tx>
            <c:strRef>
              <c:f>'Jan-22'!$K$4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'Jan-22'!$K$5:$K$39</c15:sqref>
                  </c15:fullRef>
                </c:ext>
              </c:extLst>
              <c:f>'Jan-22'!$K$8:$K$39</c:f>
              <c:numCache>
                <c:formatCode>#,##0.000</c:formatCode>
                <c:ptCount val="32"/>
                <c:pt idx="0">
                  <c:v>2.2869999999999999</c:v>
                </c:pt>
                <c:pt idx="1">
                  <c:v>2.2799999999999998</c:v>
                </c:pt>
                <c:pt idx="2">
                  <c:v>2.278</c:v>
                </c:pt>
                <c:pt idx="3">
                  <c:v>2.262</c:v>
                </c:pt>
                <c:pt idx="4">
                  <c:v>2.3029999999999999</c:v>
                </c:pt>
                <c:pt idx="5">
                  <c:v>2.2789999999999999</c:v>
                </c:pt>
                <c:pt idx="6">
                  <c:v>1.532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0.57099999999999995</c:v>
                </c:pt>
                <c:pt idx="12">
                  <c:v>0</c:v>
                </c:pt>
                <c:pt idx="13">
                  <c:v>0.314</c:v>
                </c:pt>
                <c:pt idx="14">
                  <c:v>0</c:v>
                </c:pt>
                <c:pt idx="15">
                  <c:v>1.4039999999999999</c:v>
                </c:pt>
                <c:pt idx="16">
                  <c:v>2.1930000000000001</c:v>
                </c:pt>
                <c:pt idx="17">
                  <c:v>2.302</c:v>
                </c:pt>
                <c:pt idx="18">
                  <c:v>2.4369999999999998</c:v>
                </c:pt>
                <c:pt idx="19">
                  <c:v>2.3199999999999998</c:v>
                </c:pt>
                <c:pt idx="20">
                  <c:v>2.278</c:v>
                </c:pt>
                <c:pt idx="21">
                  <c:v>2.2519999999999998</c:v>
                </c:pt>
                <c:pt idx="22">
                  <c:v>2.395</c:v>
                </c:pt>
                <c:pt idx="23">
                  <c:v>2.339</c:v>
                </c:pt>
                <c:pt idx="24">
                  <c:v>2.419</c:v>
                </c:pt>
                <c:pt idx="25">
                  <c:v>2.37</c:v>
                </c:pt>
                <c:pt idx="26">
                  <c:v>2.3620000000000001</c:v>
                </c:pt>
                <c:pt idx="27">
                  <c:v>2.347</c:v>
                </c:pt>
                <c:pt idx="28">
                  <c:v>2.3460000000000001</c:v>
                </c:pt>
                <c:pt idx="29">
                  <c:v>2.3759999999999999</c:v>
                </c:pt>
                <c:pt idx="30">
                  <c:v>2.363</c:v>
                </c:pt>
                <c:pt idx="31">
                  <c:v>2.3170000000000002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7D-47FE-9D66-F6AB3A02F7AD}"/>
            </c:ext>
          </c:extLst>
        </c:ser>
        <c:ser>
          <c:idx val="5"/>
          <c:order val="5"/>
          <c:tx>
            <c:strRef>
              <c:f>'Jan-22'!$L$4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57"/>
            <c:marker>
              <c:symbol val="diamond"/>
              <c:size val="9"/>
              <c:spPr>
                <a:solidFill>
                  <a:srgbClr val="00B050"/>
                </a:solidFill>
                <a:ln w="9525">
                  <a:solidFill>
                    <a:schemeClr val="accent6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DE9-46F5-9CCF-185505E4F58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'Jan-22'!$B$8:$B$39</c:f>
              <c:numCache>
                <c:formatCode>d\-mmm\-yy</c:formatCode>
                <c:ptCount val="32"/>
                <c:pt idx="0">
                  <c:v>44561</c:v>
                </c:pt>
                <c:pt idx="1">
                  <c:v>44562</c:v>
                </c:pt>
                <c:pt idx="2">
                  <c:v>44563</c:v>
                </c:pt>
                <c:pt idx="3">
                  <c:v>44564</c:v>
                </c:pt>
                <c:pt idx="4">
                  <c:v>44565</c:v>
                </c:pt>
                <c:pt idx="5">
                  <c:v>44566</c:v>
                </c:pt>
                <c:pt idx="6">
                  <c:v>44567</c:v>
                </c:pt>
                <c:pt idx="7">
                  <c:v>44568</c:v>
                </c:pt>
                <c:pt idx="8">
                  <c:v>44569</c:v>
                </c:pt>
                <c:pt idx="9">
                  <c:v>44570</c:v>
                </c:pt>
                <c:pt idx="10">
                  <c:v>44571</c:v>
                </c:pt>
                <c:pt idx="11">
                  <c:v>44572</c:v>
                </c:pt>
                <c:pt idx="12">
                  <c:v>44573</c:v>
                </c:pt>
                <c:pt idx="13">
                  <c:v>44574</c:v>
                </c:pt>
                <c:pt idx="14">
                  <c:v>44575</c:v>
                </c:pt>
                <c:pt idx="15">
                  <c:v>44576</c:v>
                </c:pt>
                <c:pt idx="16">
                  <c:v>44577</c:v>
                </c:pt>
                <c:pt idx="17">
                  <c:v>44578</c:v>
                </c:pt>
                <c:pt idx="18">
                  <c:v>44579</c:v>
                </c:pt>
                <c:pt idx="19">
                  <c:v>44580</c:v>
                </c:pt>
                <c:pt idx="20">
                  <c:v>44581</c:v>
                </c:pt>
                <c:pt idx="21">
                  <c:v>44582</c:v>
                </c:pt>
                <c:pt idx="22">
                  <c:v>44583</c:v>
                </c:pt>
                <c:pt idx="23">
                  <c:v>44584</c:v>
                </c:pt>
                <c:pt idx="24">
                  <c:v>44585</c:v>
                </c:pt>
                <c:pt idx="25">
                  <c:v>44586</c:v>
                </c:pt>
                <c:pt idx="26">
                  <c:v>44587</c:v>
                </c:pt>
                <c:pt idx="27">
                  <c:v>44588</c:v>
                </c:pt>
                <c:pt idx="28">
                  <c:v>44589</c:v>
                </c:pt>
                <c:pt idx="29">
                  <c:v>44590</c:v>
                </c:pt>
                <c:pt idx="30">
                  <c:v>44591</c:v>
                </c:pt>
                <c:pt idx="31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'Jan-22'!$L$5:$L$39</c15:sqref>
                  </c15:fullRef>
                </c:ext>
              </c:extLst>
              <c:f>'Jan-22'!$L$8:$L$39</c:f>
              <c:numCache>
                <c:formatCode>#,##0.000</c:formatCode>
                <c:ptCount val="32"/>
                <c:pt idx="0">
                  <c:v>35.160000000000004</c:v>
                </c:pt>
                <c:pt idx="1">
                  <c:v>38.256</c:v>
                </c:pt>
                <c:pt idx="2">
                  <c:v>38.031999999999996</c:v>
                </c:pt>
                <c:pt idx="3">
                  <c:v>37.451999999999998</c:v>
                </c:pt>
                <c:pt idx="4">
                  <c:v>37.670999999999992</c:v>
                </c:pt>
                <c:pt idx="5">
                  <c:v>37.552000000000007</c:v>
                </c:pt>
                <c:pt idx="6">
                  <c:v>29.306999999999999</c:v>
                </c:pt>
                <c:pt idx="7">
                  <c:v>27.457999999999998</c:v>
                </c:pt>
                <c:pt idx="8">
                  <c:v>32.966000000000001</c:v>
                </c:pt>
                <c:pt idx="9">
                  <c:v>33.387999999999998</c:v>
                </c:pt>
                <c:pt idx="10">
                  <c:v>34.260000000000005</c:v>
                </c:pt>
                <c:pt idx="11">
                  <c:v>35.234000000000002</c:v>
                </c:pt>
                <c:pt idx="12">
                  <c:v>34.416000000000004</c:v>
                </c:pt>
                <c:pt idx="13">
                  <c:v>34.088000000000001</c:v>
                </c:pt>
                <c:pt idx="14">
                  <c:v>34.290999999999997</c:v>
                </c:pt>
                <c:pt idx="15">
                  <c:v>35.709999999999994</c:v>
                </c:pt>
                <c:pt idx="16">
                  <c:v>35.842999999999996</c:v>
                </c:pt>
                <c:pt idx="17">
                  <c:v>34.482999999999997</c:v>
                </c:pt>
                <c:pt idx="18">
                  <c:v>36</c:v>
                </c:pt>
                <c:pt idx="19">
                  <c:v>35.271999999999998</c:v>
                </c:pt>
                <c:pt idx="20">
                  <c:v>30.728999999999999</c:v>
                </c:pt>
                <c:pt idx="21">
                  <c:v>32.427999999999997</c:v>
                </c:pt>
                <c:pt idx="22">
                  <c:v>35.734000000000002</c:v>
                </c:pt>
                <c:pt idx="23">
                  <c:v>37.204000000000001</c:v>
                </c:pt>
                <c:pt idx="24">
                  <c:v>37.564999999999998</c:v>
                </c:pt>
                <c:pt idx="25">
                  <c:v>38.878999999999998</c:v>
                </c:pt>
                <c:pt idx="26">
                  <c:v>31.954000000000001</c:v>
                </c:pt>
                <c:pt idx="27">
                  <c:v>24.998000000000005</c:v>
                </c:pt>
                <c:pt idx="28">
                  <c:v>29.094999999999999</c:v>
                </c:pt>
                <c:pt idx="29">
                  <c:v>29.638000000000002</c:v>
                </c:pt>
                <c:pt idx="30">
                  <c:v>33.576000000000001</c:v>
                </c:pt>
                <c:pt idx="31">
                  <c:v>32.17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7D-47FE-9D66-F6AB3A02F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4144"/>
        <c:axId val="191820616"/>
      </c:lineChart>
      <c:dateAx>
        <c:axId val="1918241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9189151425"/>
          <c:h val="3.7211543256065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OML-42 January 2022 Production Performance per Field</a:t>
            </a:r>
          </a:p>
        </c:rich>
      </c:tx>
      <c:layout>
        <c:manualLayout>
          <c:xMode val="edge"/>
          <c:yMode val="edge"/>
          <c:x val="0.30805875413767425"/>
          <c:y val="2.3867105232818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'Jan-22'!$H$4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'Jan-22'!$B$9:$B$39</c:f>
              <c:numCache>
                <c:formatCode>d\-mmm\-yy</c:formatCode>
                <c:ptCount val="31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'Jan-22'!$H$5:$H$39</c15:sqref>
                  </c15:fullRef>
                </c:ext>
              </c:extLst>
              <c:f>'Jan-22'!$H$9:$H$39</c:f>
              <c:numCache>
                <c:formatCode>#,##0.000</c:formatCode>
                <c:ptCount val="31"/>
                <c:pt idx="0">
                  <c:v>18.873000000000001</c:v>
                </c:pt>
                <c:pt idx="1">
                  <c:v>18.710999999999999</c:v>
                </c:pt>
                <c:pt idx="2">
                  <c:v>18.268000000000001</c:v>
                </c:pt>
                <c:pt idx="3">
                  <c:v>18.638999999999999</c:v>
                </c:pt>
                <c:pt idx="4">
                  <c:v>18.617000000000001</c:v>
                </c:pt>
                <c:pt idx="5">
                  <c:v>18.637</c:v>
                </c:pt>
                <c:pt idx="6">
                  <c:v>18.106999999999999</c:v>
                </c:pt>
                <c:pt idx="7">
                  <c:v>18.494</c:v>
                </c:pt>
                <c:pt idx="8">
                  <c:v>18.571999999999999</c:v>
                </c:pt>
                <c:pt idx="9">
                  <c:v>18.291</c:v>
                </c:pt>
                <c:pt idx="10">
                  <c:v>18.683</c:v>
                </c:pt>
                <c:pt idx="11">
                  <c:v>18.545000000000002</c:v>
                </c:pt>
                <c:pt idx="12">
                  <c:v>18.632999999999999</c:v>
                </c:pt>
                <c:pt idx="13">
                  <c:v>18.806999999999999</c:v>
                </c:pt>
                <c:pt idx="14">
                  <c:v>18.541</c:v>
                </c:pt>
                <c:pt idx="15">
                  <c:v>17.946999999999999</c:v>
                </c:pt>
                <c:pt idx="16">
                  <c:v>16.446999999999999</c:v>
                </c:pt>
                <c:pt idx="17">
                  <c:v>16.105</c:v>
                </c:pt>
                <c:pt idx="18">
                  <c:v>15.454000000000001</c:v>
                </c:pt>
                <c:pt idx="19">
                  <c:v>10.855</c:v>
                </c:pt>
                <c:pt idx="20">
                  <c:v>13.442</c:v>
                </c:pt>
                <c:pt idx="21">
                  <c:v>14.821999999999999</c:v>
                </c:pt>
                <c:pt idx="22">
                  <c:v>16.007999999999999</c:v>
                </c:pt>
                <c:pt idx="23">
                  <c:v>17.448</c:v>
                </c:pt>
                <c:pt idx="24">
                  <c:v>18.878</c:v>
                </c:pt>
                <c:pt idx="25">
                  <c:v>18.459</c:v>
                </c:pt>
                <c:pt idx="26">
                  <c:v>17.937000000000001</c:v>
                </c:pt>
                <c:pt idx="27">
                  <c:v>18.398</c:v>
                </c:pt>
                <c:pt idx="28">
                  <c:v>18.460999999999999</c:v>
                </c:pt>
                <c:pt idx="29">
                  <c:v>18.166</c:v>
                </c:pt>
                <c:pt idx="30">
                  <c:v>17.564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32-90B6-BB19B8E16568}"/>
            </c:ext>
          </c:extLst>
        </c:ser>
        <c:ser>
          <c:idx val="2"/>
          <c:order val="2"/>
          <c:tx>
            <c:strRef>
              <c:f>'Jan-22'!$I$4</c:f>
              <c:strCache>
                <c:ptCount val="1"/>
                <c:pt idx="0">
                  <c:v>Odidi (Mbopd)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'Jan-22'!$B$9:$B$39</c:f>
              <c:numCache>
                <c:formatCode>d\-mmm\-yy</c:formatCode>
                <c:ptCount val="31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'Jan-22'!$I$5:$I$39</c15:sqref>
                  </c15:fullRef>
                </c:ext>
              </c:extLst>
              <c:f>'Jan-22'!$I$9:$I$39</c:f>
              <c:numCache>
                <c:formatCode>#,##0.000</c:formatCode>
                <c:ptCount val="31"/>
                <c:pt idx="0">
                  <c:v>12.808999999999999</c:v>
                </c:pt>
                <c:pt idx="1">
                  <c:v>12.151</c:v>
                </c:pt>
                <c:pt idx="2">
                  <c:v>12.265000000000001</c:v>
                </c:pt>
                <c:pt idx="3">
                  <c:v>12.081</c:v>
                </c:pt>
                <c:pt idx="4">
                  <c:v>12.013999999999999</c:v>
                </c:pt>
                <c:pt idx="5">
                  <c:v>4.5129999999999999</c:v>
                </c:pt>
                <c:pt idx="6">
                  <c:v>4.7009999999999996</c:v>
                </c:pt>
                <c:pt idx="7">
                  <c:v>9.843</c:v>
                </c:pt>
                <c:pt idx="8">
                  <c:v>10.188000000000001</c:v>
                </c:pt>
                <c:pt idx="9">
                  <c:v>11.336</c:v>
                </c:pt>
                <c:pt idx="10">
                  <c:v>11.38</c:v>
                </c:pt>
                <c:pt idx="11">
                  <c:v>11.244</c:v>
                </c:pt>
                <c:pt idx="12">
                  <c:v>10.547000000000001</c:v>
                </c:pt>
                <c:pt idx="13">
                  <c:v>10.872</c:v>
                </c:pt>
                <c:pt idx="14">
                  <c:v>11.167</c:v>
                </c:pt>
                <c:pt idx="15">
                  <c:v>11.109</c:v>
                </c:pt>
                <c:pt idx="16">
                  <c:v>11.138</c:v>
                </c:pt>
                <c:pt idx="17">
                  <c:v>12.852</c:v>
                </c:pt>
                <c:pt idx="18">
                  <c:v>12.907999999999999</c:v>
                </c:pt>
                <c:pt idx="19">
                  <c:v>12.984999999999999</c:v>
                </c:pt>
                <c:pt idx="20">
                  <c:v>12.414999999999999</c:v>
                </c:pt>
                <c:pt idx="21">
                  <c:v>13.994999999999999</c:v>
                </c:pt>
                <c:pt idx="22">
                  <c:v>14.303000000000001</c:v>
                </c:pt>
                <c:pt idx="23">
                  <c:v>13.148</c:v>
                </c:pt>
                <c:pt idx="24">
                  <c:v>13.084</c:v>
                </c:pt>
                <c:pt idx="25">
                  <c:v>6.5819999999999999</c:v>
                </c:pt>
                <c:pt idx="26">
                  <c:v>0</c:v>
                </c:pt>
                <c:pt idx="27">
                  <c:v>3.75</c:v>
                </c:pt>
                <c:pt idx="28">
                  <c:v>4.2949999999999999</c:v>
                </c:pt>
                <c:pt idx="29">
                  <c:v>8.4760000000000009</c:v>
                </c:pt>
                <c:pt idx="30">
                  <c:v>7.726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06-4D32-90B6-BB19B8E16568}"/>
            </c:ext>
          </c:extLst>
        </c:ser>
        <c:ser>
          <c:idx val="3"/>
          <c:order val="3"/>
          <c:tx>
            <c:strRef>
              <c:f>'Jan-22'!$J$4</c:f>
              <c:strCache>
                <c:ptCount val="1"/>
                <c:pt idx="0">
                  <c:v>Batan (Mbopd)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'Jan-22'!$B$9:$B$39</c:f>
              <c:numCache>
                <c:formatCode>d\-mmm\-yy</c:formatCode>
                <c:ptCount val="31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'Jan-22'!$J$5:$J$39</c15:sqref>
                  </c15:fullRef>
                </c:ext>
              </c:extLst>
              <c:f>'Jan-22'!$J$9:$J$39</c:f>
              <c:numCache>
                <c:formatCode>#,##0.000</c:formatCode>
                <c:ptCount val="31"/>
                <c:pt idx="0">
                  <c:v>4.2939999999999996</c:v>
                </c:pt>
                <c:pt idx="1">
                  <c:v>4.8920000000000003</c:v>
                </c:pt>
                <c:pt idx="2">
                  <c:v>4.657</c:v>
                </c:pt>
                <c:pt idx="3">
                  <c:v>4.6479999999999997</c:v>
                </c:pt>
                <c:pt idx="4">
                  <c:v>4.6420000000000003</c:v>
                </c:pt>
                <c:pt idx="5">
                  <c:v>4.625</c:v>
                </c:pt>
                <c:pt idx="6">
                  <c:v>4.6500000000000004</c:v>
                </c:pt>
                <c:pt idx="7">
                  <c:v>4.6289999999999996</c:v>
                </c:pt>
                <c:pt idx="8">
                  <c:v>4.6280000000000001</c:v>
                </c:pt>
                <c:pt idx="9">
                  <c:v>4.633</c:v>
                </c:pt>
                <c:pt idx="10">
                  <c:v>4.5999999999999996</c:v>
                </c:pt>
                <c:pt idx="11">
                  <c:v>4.6269999999999998</c:v>
                </c:pt>
                <c:pt idx="12">
                  <c:v>4.5940000000000003</c:v>
                </c:pt>
                <c:pt idx="13">
                  <c:v>4.6120000000000001</c:v>
                </c:pt>
                <c:pt idx="14">
                  <c:v>4.5979999999999999</c:v>
                </c:pt>
                <c:pt idx="15">
                  <c:v>4.5940000000000003</c:v>
                </c:pt>
                <c:pt idx="16">
                  <c:v>4.5960000000000001</c:v>
                </c:pt>
                <c:pt idx="17">
                  <c:v>4.6059999999999999</c:v>
                </c:pt>
                <c:pt idx="18">
                  <c:v>4.59</c:v>
                </c:pt>
                <c:pt idx="19">
                  <c:v>4.6109999999999998</c:v>
                </c:pt>
                <c:pt idx="20">
                  <c:v>4.319</c:v>
                </c:pt>
                <c:pt idx="21">
                  <c:v>4.5220000000000002</c:v>
                </c:pt>
                <c:pt idx="22">
                  <c:v>4.5540000000000003</c:v>
                </c:pt>
                <c:pt idx="23">
                  <c:v>4.55</c:v>
                </c:pt>
                <c:pt idx="24">
                  <c:v>4.5469999999999997</c:v>
                </c:pt>
                <c:pt idx="25">
                  <c:v>4.5510000000000002</c:v>
                </c:pt>
                <c:pt idx="26">
                  <c:v>4.7140000000000004</c:v>
                </c:pt>
                <c:pt idx="27">
                  <c:v>4.601</c:v>
                </c:pt>
                <c:pt idx="28">
                  <c:v>4.5060000000000002</c:v>
                </c:pt>
                <c:pt idx="29">
                  <c:v>4.5709999999999997</c:v>
                </c:pt>
                <c:pt idx="30">
                  <c:v>4.5629999999999997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06-4D32-90B6-BB19B8E16568}"/>
            </c:ext>
          </c:extLst>
        </c:ser>
        <c:ser>
          <c:idx val="4"/>
          <c:order val="4"/>
          <c:tx>
            <c:strRef>
              <c:f>'Jan-22'!$K$4</c:f>
              <c:strCache>
                <c:ptCount val="1"/>
                <c:pt idx="0">
                  <c:v>Egwa (Mbopd)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'Jan-22'!$B$9:$B$39</c:f>
              <c:numCache>
                <c:formatCode>d\-mmm\-yy</c:formatCode>
                <c:ptCount val="31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'Jan-22'!$K$5:$K$39</c15:sqref>
                  </c15:fullRef>
                </c:ext>
              </c:extLst>
              <c:f>'Jan-22'!$K$9:$K$39</c:f>
              <c:numCache>
                <c:formatCode>#,##0.000</c:formatCode>
                <c:ptCount val="31"/>
                <c:pt idx="0">
                  <c:v>2.2799999999999998</c:v>
                </c:pt>
                <c:pt idx="1">
                  <c:v>2.278</c:v>
                </c:pt>
                <c:pt idx="2">
                  <c:v>2.262</c:v>
                </c:pt>
                <c:pt idx="3">
                  <c:v>2.3029999999999999</c:v>
                </c:pt>
                <c:pt idx="4">
                  <c:v>2.2789999999999999</c:v>
                </c:pt>
                <c:pt idx="5">
                  <c:v>1.532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0.57099999999999995</c:v>
                </c:pt>
                <c:pt idx="11">
                  <c:v>0</c:v>
                </c:pt>
                <c:pt idx="12">
                  <c:v>0.314</c:v>
                </c:pt>
                <c:pt idx="13">
                  <c:v>0</c:v>
                </c:pt>
                <c:pt idx="14">
                  <c:v>1.4039999999999999</c:v>
                </c:pt>
                <c:pt idx="15">
                  <c:v>2.1930000000000001</c:v>
                </c:pt>
                <c:pt idx="16">
                  <c:v>2.302</c:v>
                </c:pt>
                <c:pt idx="17">
                  <c:v>2.4369999999999998</c:v>
                </c:pt>
                <c:pt idx="18">
                  <c:v>2.3199999999999998</c:v>
                </c:pt>
                <c:pt idx="19">
                  <c:v>2.278</c:v>
                </c:pt>
                <c:pt idx="20">
                  <c:v>2.2519999999999998</c:v>
                </c:pt>
                <c:pt idx="21">
                  <c:v>2.395</c:v>
                </c:pt>
                <c:pt idx="22">
                  <c:v>2.339</c:v>
                </c:pt>
                <c:pt idx="23">
                  <c:v>2.419</c:v>
                </c:pt>
                <c:pt idx="24">
                  <c:v>2.37</c:v>
                </c:pt>
                <c:pt idx="25">
                  <c:v>2.3620000000000001</c:v>
                </c:pt>
                <c:pt idx="26">
                  <c:v>2.347</c:v>
                </c:pt>
                <c:pt idx="27">
                  <c:v>2.3460000000000001</c:v>
                </c:pt>
                <c:pt idx="28">
                  <c:v>2.3759999999999999</c:v>
                </c:pt>
                <c:pt idx="29">
                  <c:v>2.363</c:v>
                </c:pt>
                <c:pt idx="30">
                  <c:v>2.3170000000000002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06-4D32-90B6-BB19B8E16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24144"/>
        <c:axId val="191820616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'Jan-22'!$L$4</c15:sqref>
                        </c15:formulaRef>
                      </c:ext>
                    </c:extLst>
                    <c:strCache>
                      <c:ptCount val="1"/>
                      <c:pt idx="0">
                        <c:v>Total Daily Prod (Mbopd)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Pt>
                  <c:idx val="56"/>
                  <c:invertIfNegative val="0"/>
                  <c:bubble3D val="0"/>
                  <c:extLst>
                    <c:ext xmlns:c16="http://schemas.microsoft.com/office/drawing/2014/chart" uri="{C3380CC4-5D6E-409C-BE32-E72D297353CC}">
                      <c16:uniqueId val="{00000006-1006-4D32-90B6-BB19B8E16568}"/>
                    </c:ext>
                  </c:extLst>
                </c:dPt>
                <c:cat>
                  <c:numRef>
                    <c:extLst>
                      <c:ext uri="{02D57815-91ED-43cb-92C2-25804820EDAC}">
                        <c15:fullRef>
                          <c15:sqref>'Jan-22'!$B$5:$B$39</c15:sqref>
                        </c15:fullRef>
                        <c15:formulaRef>
                          <c15:sqref>'Jan-22'!$B$9:$B$39</c15:sqref>
                        </c15:formulaRef>
                      </c:ext>
                    </c:extLst>
                    <c:numCache>
                      <c:formatCode>d\-mmm\-yy</c:formatCode>
                      <c:ptCount val="31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'Jan-22'!$L$5:$L$39</c15:sqref>
                        </c15:fullRef>
                        <c15:formulaRef>
                          <c15:sqref>'Jan-22'!$L$9:$L$39</c15:sqref>
                        </c15:formulaRef>
                      </c:ext>
                    </c:extLst>
                    <c:numCache>
                      <c:formatCode>#,##0.000</c:formatCode>
                      <c:ptCount val="31"/>
                      <c:pt idx="0">
                        <c:v>38.256</c:v>
                      </c:pt>
                      <c:pt idx="1">
                        <c:v>38.031999999999996</c:v>
                      </c:pt>
                      <c:pt idx="2">
                        <c:v>37.451999999999998</c:v>
                      </c:pt>
                      <c:pt idx="3">
                        <c:v>37.670999999999992</c:v>
                      </c:pt>
                      <c:pt idx="4">
                        <c:v>37.552000000000007</c:v>
                      </c:pt>
                      <c:pt idx="5">
                        <c:v>29.306999999999999</c:v>
                      </c:pt>
                      <c:pt idx="6">
                        <c:v>27.457999999999998</c:v>
                      </c:pt>
                      <c:pt idx="7">
                        <c:v>32.966000000000001</c:v>
                      </c:pt>
                      <c:pt idx="8">
                        <c:v>33.387999999999998</c:v>
                      </c:pt>
                      <c:pt idx="9">
                        <c:v>34.260000000000005</c:v>
                      </c:pt>
                      <c:pt idx="10">
                        <c:v>35.234000000000002</c:v>
                      </c:pt>
                      <c:pt idx="11">
                        <c:v>34.416000000000004</c:v>
                      </c:pt>
                      <c:pt idx="12">
                        <c:v>34.088000000000001</c:v>
                      </c:pt>
                      <c:pt idx="13">
                        <c:v>34.290999999999997</c:v>
                      </c:pt>
                      <c:pt idx="14">
                        <c:v>35.709999999999994</c:v>
                      </c:pt>
                      <c:pt idx="15">
                        <c:v>35.842999999999996</c:v>
                      </c:pt>
                      <c:pt idx="16">
                        <c:v>34.482999999999997</c:v>
                      </c:pt>
                      <c:pt idx="17">
                        <c:v>36</c:v>
                      </c:pt>
                      <c:pt idx="18">
                        <c:v>35.271999999999998</c:v>
                      </c:pt>
                      <c:pt idx="19">
                        <c:v>30.728999999999999</c:v>
                      </c:pt>
                      <c:pt idx="20">
                        <c:v>32.427999999999997</c:v>
                      </c:pt>
                      <c:pt idx="21">
                        <c:v>35.734000000000002</c:v>
                      </c:pt>
                      <c:pt idx="22">
                        <c:v>37.204000000000001</c:v>
                      </c:pt>
                      <c:pt idx="23">
                        <c:v>37.564999999999998</c:v>
                      </c:pt>
                      <c:pt idx="24">
                        <c:v>38.878999999999998</c:v>
                      </c:pt>
                      <c:pt idx="25">
                        <c:v>31.954000000000001</c:v>
                      </c:pt>
                      <c:pt idx="26">
                        <c:v>24.998000000000005</c:v>
                      </c:pt>
                      <c:pt idx="27">
                        <c:v>29.094999999999999</c:v>
                      </c:pt>
                      <c:pt idx="28">
                        <c:v>29.638000000000002</c:v>
                      </c:pt>
                      <c:pt idx="29">
                        <c:v>33.576000000000001</c:v>
                      </c:pt>
                      <c:pt idx="30">
                        <c:v>32.17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1006-4D32-90B6-BB19B8E1656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'Jan-22'!$G$4</c:f>
              <c:strCache>
                <c:ptCount val="1"/>
                <c:pt idx="0">
                  <c:v>January 2022 Prod Target (Mbopd)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'Jan-22'!$B$5:$B$39</c15:sqref>
                  </c15:fullRef>
                </c:ext>
              </c:extLst>
              <c:f>'Jan-22'!$B$9:$B$39</c:f>
              <c:numCache>
                <c:formatCode>d\-mmm\-yy</c:formatCode>
                <c:ptCount val="31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'Jan-22'!$G$5:$G$39</c15:sqref>
                  </c15:fullRef>
                </c:ext>
              </c:extLst>
              <c:f>'Jan-22'!$G$9:$G$39</c:f>
              <c:numCache>
                <c:formatCode>#,##0.000</c:formatCode>
                <c:ptCount val="31"/>
                <c:pt idx="0">
                  <c:v>44.419999999999995</c:v>
                </c:pt>
                <c:pt idx="1">
                  <c:v>44.419999999999995</c:v>
                </c:pt>
                <c:pt idx="2">
                  <c:v>44.419999999999995</c:v>
                </c:pt>
                <c:pt idx="3">
                  <c:v>44.419999999999995</c:v>
                </c:pt>
                <c:pt idx="4">
                  <c:v>44.419999999999995</c:v>
                </c:pt>
                <c:pt idx="5">
                  <c:v>44.419999999999995</c:v>
                </c:pt>
                <c:pt idx="6">
                  <c:v>44.419999999999995</c:v>
                </c:pt>
                <c:pt idx="7">
                  <c:v>44.419999999999995</c:v>
                </c:pt>
                <c:pt idx="8">
                  <c:v>44.419999999999995</c:v>
                </c:pt>
                <c:pt idx="9">
                  <c:v>44.419999999999995</c:v>
                </c:pt>
                <c:pt idx="10">
                  <c:v>44.419999999999995</c:v>
                </c:pt>
                <c:pt idx="11">
                  <c:v>44.419999999999995</c:v>
                </c:pt>
                <c:pt idx="12">
                  <c:v>44.419999999999995</c:v>
                </c:pt>
                <c:pt idx="13">
                  <c:v>44.419999999999995</c:v>
                </c:pt>
                <c:pt idx="14">
                  <c:v>44.419999999999995</c:v>
                </c:pt>
                <c:pt idx="15">
                  <c:v>44.419999999999995</c:v>
                </c:pt>
                <c:pt idx="16">
                  <c:v>44.419999999999995</c:v>
                </c:pt>
                <c:pt idx="17">
                  <c:v>44.419999999999995</c:v>
                </c:pt>
                <c:pt idx="18">
                  <c:v>44.419999999999995</c:v>
                </c:pt>
                <c:pt idx="19">
                  <c:v>44.419999999999995</c:v>
                </c:pt>
                <c:pt idx="20">
                  <c:v>44.419999999999995</c:v>
                </c:pt>
                <c:pt idx="21">
                  <c:v>44.419999999999995</c:v>
                </c:pt>
                <c:pt idx="22">
                  <c:v>44.419999999999995</c:v>
                </c:pt>
                <c:pt idx="23">
                  <c:v>44.419999999999995</c:v>
                </c:pt>
                <c:pt idx="24">
                  <c:v>44.419999999999995</c:v>
                </c:pt>
                <c:pt idx="25">
                  <c:v>44.419999999999995</c:v>
                </c:pt>
                <c:pt idx="26">
                  <c:v>44.419999999999995</c:v>
                </c:pt>
                <c:pt idx="27">
                  <c:v>44.419999999999995</c:v>
                </c:pt>
                <c:pt idx="28">
                  <c:v>44.419999999999995</c:v>
                </c:pt>
                <c:pt idx="29">
                  <c:v>44.419999999999995</c:v>
                </c:pt>
                <c:pt idx="30">
                  <c:v>44.419999999999995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6-4D32-90B6-BB19B8E16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116752"/>
        <c:axId val="1313105104"/>
      </c:lineChart>
      <c:dateAx>
        <c:axId val="1918241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valAx>
        <c:axId val="1313105104"/>
        <c:scaling>
          <c:orientation val="minMax"/>
        </c:scaling>
        <c:delete val="1"/>
        <c:axPos val="r"/>
        <c:numFmt formatCode="#,##0.000" sourceLinked="1"/>
        <c:majorTickMark val="none"/>
        <c:minorTickMark val="none"/>
        <c:tickLblPos val="nextTo"/>
        <c:crossAx val="1313116752"/>
        <c:crosses val="max"/>
        <c:crossBetween val="between"/>
      </c:valAx>
      <c:dateAx>
        <c:axId val="131311675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313105104"/>
        <c:crosses val="autoZero"/>
        <c:auto val="1"/>
        <c:lblOffset val="100"/>
        <c:baseTimeUnit val="days"/>
      </c:dateAx>
      <c:spPr>
        <a:solidFill>
          <a:schemeClr val="lt1"/>
        </a:solidFill>
        <a:ln w="12700" cap="flat" cmpd="sng" algn="ctr">
          <a:solidFill>
            <a:schemeClr val="accent3"/>
          </a:solidFill>
          <a:prstDash val="solid"/>
          <a:miter lim="800000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507475132492345"/>
          <c:y val="8.40777709182331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87961414064006"/>
          <c:y val="8.6898040963266573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'Feb-22 '!$AJ$10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805-4461-B699-86D5C9201378}"/>
                </c:ext>
              </c:extLst>
            </c:dLbl>
            <c:dLbl>
              <c:idx val="1"/>
              <c:layout>
                <c:manualLayout>
                  <c:x val="1.0482847503669207E-5"/>
                  <c:y val="-4.4155350684398222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05-4461-B699-86D5C9201378}"/>
                </c:ext>
              </c:extLst>
            </c:dLbl>
            <c:dLbl>
              <c:idx val="4"/>
              <c:layout>
                <c:manualLayout>
                  <c:x val="3.940426642641812E-4"/>
                  <c:y val="3.044755581861594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05-4461-B699-86D5C92013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'Feb-22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'Feb-22 '!$AJ$11:$AJ$16</c:f>
              <c:numCache>
                <c:formatCode>#,##0.00</c:formatCode>
                <c:ptCount val="6"/>
                <c:pt idx="0">
                  <c:v>20.47</c:v>
                </c:pt>
                <c:pt idx="1">
                  <c:v>15.22</c:v>
                </c:pt>
                <c:pt idx="2">
                  <c:v>5.15</c:v>
                </c:pt>
                <c:pt idx="3">
                  <c:v>3.58</c:v>
                </c:pt>
                <c:pt idx="4">
                  <c:v>44.419999999999995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05-4461-B699-86D5C9201378}"/>
            </c:ext>
          </c:extLst>
        </c:ser>
        <c:ser>
          <c:idx val="1"/>
          <c:order val="1"/>
          <c:tx>
            <c:strRef>
              <c:f>'Feb-22 '!$AK$10</c:f>
              <c:strCache>
                <c:ptCount val="1"/>
                <c:pt idx="0">
                  <c:v>4-Mar-2022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15896786367249E-3"/>
                  <c:y val="-1.08006785522568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05-4461-B699-86D5C9201378}"/>
                </c:ext>
              </c:extLst>
            </c:dLbl>
            <c:dLbl>
              <c:idx val="1"/>
              <c:layout>
                <c:manualLayout>
                  <c:x val="1.0736343204016138E-3"/>
                  <c:y val="2.79967846046426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05-4461-B699-86D5C9201378}"/>
                </c:ext>
              </c:extLst>
            </c:dLbl>
            <c:dLbl>
              <c:idx val="2"/>
              <c:layout>
                <c:manualLayout>
                  <c:x val="0"/>
                  <c:y val="-2.36322782837505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05-4461-B699-86D5C9201378}"/>
                </c:ext>
              </c:extLst>
            </c:dLbl>
            <c:dLbl>
              <c:idx val="3"/>
              <c:layout>
                <c:manualLayout>
                  <c:x val="0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05-4461-B699-86D5C9201378}"/>
                </c:ext>
              </c:extLst>
            </c:dLbl>
            <c:dLbl>
              <c:idx val="4"/>
              <c:layout>
                <c:manualLayout>
                  <c:x val="1.1929611203745489E-6"/>
                  <c:y val="5.053451650238256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805-4461-B699-86D5C9201378}"/>
                </c:ext>
              </c:extLst>
            </c:dLbl>
            <c:dLbl>
              <c:idx val="5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05-4461-B699-86D5C92013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'Feb-22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'Feb-22 '!$AK$11:$AK$16</c:f>
              <c:numCache>
                <c:formatCode>#,##0.00</c:formatCode>
                <c:ptCount val="6"/>
                <c:pt idx="0">
                  <c:v>0</c:v>
                </c:pt>
                <c:pt idx="1">
                  <c:v>9.1159999999999997</c:v>
                </c:pt>
                <c:pt idx="2">
                  <c:v>0</c:v>
                </c:pt>
                <c:pt idx="3">
                  <c:v>2.2509999999999999</c:v>
                </c:pt>
                <c:pt idx="4">
                  <c:v>11.366999999999999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05-4461-B699-86D5C9201378}"/>
            </c:ext>
          </c:extLst>
        </c:ser>
        <c:ser>
          <c:idx val="2"/>
          <c:order val="2"/>
          <c:tx>
            <c:strRef>
              <c:f>'Feb-22 '!$AL$10</c:f>
              <c:strCache>
                <c:ptCount val="1"/>
                <c:pt idx="0">
                  <c:v>5-Mar-2022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2.1468871687534059E-5"/>
                  <c:y val="8.37533563311537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05-4461-B699-86D5C9201378}"/>
                </c:ext>
              </c:extLst>
            </c:dLbl>
            <c:dLbl>
              <c:idx val="1"/>
              <c:layout>
                <c:manualLayout>
                  <c:x val="0"/>
                  <c:y val="-2.36583708482217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805-4461-B699-86D5C9201378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805-4461-B699-86D5C9201378}"/>
                </c:ext>
              </c:extLst>
            </c:dLbl>
            <c:dLbl>
              <c:idx val="4"/>
              <c:layout>
                <c:manualLayout>
                  <c:x val="-2.1643723183938242E-3"/>
                  <c:y val="-1.22173639745273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805-4461-B699-86D5C9201378}"/>
                </c:ext>
              </c:extLst>
            </c:dLbl>
            <c:dLbl>
              <c:idx val="5"/>
              <c:layout>
                <c:manualLayout>
                  <c:x val="0"/>
                  <c:y val="-1.74443291463711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805-4461-B699-86D5C92013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'Feb-22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'Feb-22 '!$AL$11:$AL$16</c:f>
              <c:numCache>
                <c:formatCode>#,##0.00</c:formatCode>
                <c:ptCount val="6"/>
                <c:pt idx="0">
                  <c:v>0</c:v>
                </c:pt>
                <c:pt idx="1">
                  <c:v>5.1360000000000001</c:v>
                </c:pt>
                <c:pt idx="2">
                  <c:v>0</c:v>
                </c:pt>
                <c:pt idx="3">
                  <c:v>2.2250000000000001</c:v>
                </c:pt>
                <c:pt idx="4">
                  <c:v>7.3610000000000007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805-4461-B699-86D5C9201378}"/>
            </c:ext>
          </c:extLst>
        </c:ser>
        <c:ser>
          <c:idx val="3"/>
          <c:order val="3"/>
          <c:tx>
            <c:strRef>
              <c:f>'Feb-22 '!$AM$10</c:f>
              <c:strCache>
                <c:ptCount val="1"/>
                <c:pt idx="0">
                  <c:v>6-Mar-2022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22550572756084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805-4461-B699-86D5C9201378}"/>
                </c:ext>
              </c:extLst>
            </c:dLbl>
            <c:dLbl>
              <c:idx val="1"/>
              <c:layout>
                <c:manualLayout>
                  <c:x val="-3.9679700787263952E-17"/>
                  <c:y val="-5.776908100454371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805-4461-B699-86D5C9201378}"/>
                </c:ext>
              </c:extLst>
            </c:dLbl>
            <c:dLbl>
              <c:idx val="2"/>
              <c:layout>
                <c:manualLayout>
                  <c:x val="0"/>
                  <c:y val="-1.57778356505477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805-4461-B699-86D5C9201378}"/>
                </c:ext>
              </c:extLst>
            </c:dLbl>
            <c:dLbl>
              <c:idx val="4"/>
              <c:layout>
                <c:manualLayout>
                  <c:x val="2.1263400965458859E-3"/>
                  <c:y val="9.697470770634224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805-4461-B699-86D5C9201378}"/>
                </c:ext>
              </c:extLst>
            </c:dLbl>
            <c:dLbl>
              <c:idx val="5"/>
              <c:layout>
                <c:manualLayout>
                  <c:x val="-1.5475654635488098E-16"/>
                  <c:y val="-1.78060714210310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805-4461-B699-86D5C92013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'Feb-22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'Feb-22 '!$AM$11:$AM$16</c:f>
              <c:numCache>
                <c:formatCode>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2.226</c:v>
                </c:pt>
                <c:pt idx="4">
                  <c:v>2.226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805-4461-B699-86D5C9201378}"/>
            </c:ext>
          </c:extLst>
        </c:ser>
        <c:ser>
          <c:idx val="4"/>
          <c:order val="4"/>
          <c:tx>
            <c:strRef>
              <c:f>'Feb-22 '!$AN$10</c:f>
              <c:strCache>
                <c:ptCount val="1"/>
                <c:pt idx="0">
                  <c:v>7-Mar-2022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6533534655621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805-4461-B699-86D5C9201378}"/>
                </c:ext>
              </c:extLst>
            </c:dLbl>
            <c:dLbl>
              <c:idx val="1"/>
              <c:layout>
                <c:manualLayout>
                  <c:x val="1.063170048272982E-3"/>
                  <c:y val="2.48284002242540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805-4461-B699-86D5C9201378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805-4461-B699-86D5C9201378}"/>
                </c:ext>
              </c:extLst>
            </c:dLbl>
            <c:dLbl>
              <c:idx val="4"/>
              <c:layout>
                <c:manualLayout>
                  <c:x val="2.1263400965302932E-5"/>
                  <c:y val="-3.35609804236193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805-4461-B699-86D5C9201378}"/>
                </c:ext>
              </c:extLst>
            </c:dLbl>
            <c:dLbl>
              <c:idx val="5"/>
              <c:layout>
                <c:manualLayout>
                  <c:x val="-1.588019963952801E-16"/>
                  <c:y val="-2.006704648389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805-4461-B699-86D5C92013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'Feb-22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'Feb-22 '!$AN$11:$AN$16</c:f>
              <c:numCache>
                <c:formatCode>#,##0.00</c:formatCode>
                <c:ptCount val="6"/>
                <c:pt idx="0">
                  <c:v>8.4139999999999997</c:v>
                </c:pt>
                <c:pt idx="1">
                  <c:v>0</c:v>
                </c:pt>
                <c:pt idx="2">
                  <c:v>0</c:v>
                </c:pt>
                <c:pt idx="3">
                  <c:v>2.2360000000000002</c:v>
                </c:pt>
                <c:pt idx="4">
                  <c:v>10.65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05-4461-B699-86D5C9201378}"/>
            </c:ext>
          </c:extLst>
        </c:ser>
        <c:ser>
          <c:idx val="5"/>
          <c:order val="5"/>
          <c:tx>
            <c:strRef>
              <c:f>'Feb-22 '!$AO$10</c:f>
              <c:strCache>
                <c:ptCount val="1"/>
                <c:pt idx="0">
                  <c:v>8-Mar-2022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827533924283653E-3"/>
                  <c:y val="8.0597408490494402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805-4461-B699-86D5C9201378}"/>
                </c:ext>
              </c:extLst>
            </c:dLbl>
            <c:dLbl>
              <c:idx val="1"/>
              <c:layout>
                <c:manualLayout>
                  <c:x val="-1.0821861591969121E-3"/>
                  <c:y val="-1.738553436718600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805-4461-B699-86D5C9201378}"/>
                </c:ext>
              </c:extLst>
            </c:dLbl>
            <c:dLbl>
              <c:idx val="2"/>
              <c:layout>
                <c:manualLayout>
                  <c:x val="0"/>
                  <c:y val="-1.3805606194229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805-4461-B699-86D5C9201378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805-4461-B699-86D5C9201378}"/>
                </c:ext>
              </c:extLst>
            </c:dLbl>
            <c:dLbl>
              <c:idx val="4"/>
              <c:layout>
                <c:manualLayout>
                  <c:x val="1.0631700482729429E-3"/>
                  <c:y val="2.782000779372049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805-4461-B699-86D5C9201378}"/>
                </c:ext>
              </c:extLst>
            </c:dLbl>
            <c:dLbl>
              <c:idx val="5"/>
              <c:layout>
                <c:manualLayout>
                  <c:x val="-1.588019963952801E-16"/>
                  <c:y val="7.84295090251224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805-4461-B699-86D5C92013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'Feb-22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'Feb-22 '!$AO$11:$AO$16</c:f>
              <c:numCache>
                <c:formatCode>#,##0.00</c:formatCode>
                <c:ptCount val="6"/>
                <c:pt idx="0">
                  <c:v>8.41</c:v>
                </c:pt>
                <c:pt idx="1">
                  <c:v>0</c:v>
                </c:pt>
                <c:pt idx="2">
                  <c:v>0</c:v>
                </c:pt>
                <c:pt idx="3">
                  <c:v>2.2690000000000001</c:v>
                </c:pt>
                <c:pt idx="4">
                  <c:v>10.679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05-4461-B699-86D5C92013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91822968"/>
        <c:axId val="191821792"/>
      </c:barChart>
      <c:catAx>
        <c:axId val="1918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792"/>
        <c:crosses val="autoZero"/>
        <c:auto val="1"/>
        <c:lblAlgn val="ctr"/>
        <c:lblOffset val="100"/>
        <c:noMultiLvlLbl val="0"/>
      </c:catAx>
      <c:valAx>
        <c:axId val="19182179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4055191752345337E-2"/>
              <c:y val="0.25913091080463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296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059765481410556"/>
          <c:y val="0.94012527385880318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Febuary 2022</a:t>
            </a:r>
          </a:p>
        </c:rich>
      </c:tx>
      <c:layout>
        <c:manualLayout>
          <c:xMode val="edge"/>
          <c:yMode val="edge"/>
          <c:x val="0.22298760840626958"/>
          <c:y val="2.1821898964775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0"/>
          <c:order val="0"/>
          <c:tx>
            <c:strRef>
              <c:f>'Feb-22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'!$I$5:$I$44</c15:sqref>
                  </c15:fullRef>
                </c:ext>
              </c:extLst>
              <c:f>'Feb-22 '!$I$8:$I$44</c:f>
              <c:numCache>
                <c:formatCode>#,##0.000</c:formatCode>
                <c:ptCount val="37"/>
                <c:pt idx="0">
                  <c:v>8.4760000000000009</c:v>
                </c:pt>
                <c:pt idx="1">
                  <c:v>7.726</c:v>
                </c:pt>
                <c:pt idx="2">
                  <c:v>2.8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3.2730000000000001</c:v>
                </c:pt>
                <c:pt idx="9">
                  <c:v>6.6710000000000003</c:v>
                </c:pt>
                <c:pt idx="10">
                  <c:v>7.28</c:v>
                </c:pt>
                <c:pt idx="11">
                  <c:v>8.359</c:v>
                </c:pt>
                <c:pt idx="12">
                  <c:v>9.4489999999999998</c:v>
                </c:pt>
                <c:pt idx="13">
                  <c:v>11.102</c:v>
                </c:pt>
                <c:pt idx="14">
                  <c:v>10.026</c:v>
                </c:pt>
                <c:pt idx="15">
                  <c:v>12.457000000000001</c:v>
                </c:pt>
                <c:pt idx="16">
                  <c:v>11.353999999999999</c:v>
                </c:pt>
                <c:pt idx="17">
                  <c:v>12.06</c:v>
                </c:pt>
                <c:pt idx="18">
                  <c:v>7.2830000000000004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2.891</c:v>
                </c:pt>
                <c:pt idx="23">
                  <c:v>5.01</c:v>
                </c:pt>
                <c:pt idx="24">
                  <c:v>4.2699999999999996</c:v>
                </c:pt>
                <c:pt idx="25">
                  <c:v>0</c:v>
                </c:pt>
                <c:pt idx="26">
                  <c:v>2.4750000000000001</c:v>
                </c:pt>
                <c:pt idx="27">
                  <c:v>4.2359999999999998</c:v>
                </c:pt>
                <c:pt idx="28">
                  <c:v>4.4459999999999997</c:v>
                </c:pt>
                <c:pt idx="29">
                  <c:v>9.1620000000000008</c:v>
                </c:pt>
                <c:pt idx="30">
                  <c:v>9.1159999999999997</c:v>
                </c:pt>
                <c:pt idx="31">
                  <c:v>9.1159999999999997</c:v>
                </c:pt>
                <c:pt idx="32">
                  <c:v>5.3159999999999998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7-4D1E-8390-3FEF0716BB2D}"/>
            </c:ext>
          </c:extLst>
        </c:ser>
        <c:ser>
          <c:idx val="1"/>
          <c:order val="1"/>
          <c:tx>
            <c:strRef>
              <c:f>'Feb-22 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'!$M$5:$M$44</c15:sqref>
                  </c15:fullRef>
                </c:ext>
              </c:extLst>
              <c:f>'Feb-22 '!$M$8:$M$44</c:f>
              <c:numCache>
                <c:formatCode>#,##0.000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7-4D1E-8390-3FEF0716BB2D}"/>
            </c:ext>
          </c:extLst>
        </c:ser>
        <c:ser>
          <c:idx val="2"/>
          <c:order val="2"/>
          <c:tx>
            <c:strRef>
              <c:f>'Feb-22 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'!$S$5:$S$44</c15:sqref>
                  </c15:fullRef>
                </c:ext>
              </c:extLst>
              <c:f>'Feb-22 '!$S$8:$S$44</c:f>
              <c:numCache>
                <c:formatCode>#,##0.00</c:formatCode>
                <c:ptCount val="37"/>
                <c:pt idx="0">
                  <c:v>20.61</c:v>
                </c:pt>
                <c:pt idx="1">
                  <c:v>17.440000000000001</c:v>
                </c:pt>
                <c:pt idx="2">
                  <c:v>5.01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12.83</c:v>
                </c:pt>
                <c:pt idx="10">
                  <c:v>15.41</c:v>
                </c:pt>
                <c:pt idx="11">
                  <c:v>19.09</c:v>
                </c:pt>
                <c:pt idx="12">
                  <c:v>21.43</c:v>
                </c:pt>
                <c:pt idx="13">
                  <c:v>26.33</c:v>
                </c:pt>
                <c:pt idx="14">
                  <c:v>32.090000000000003</c:v>
                </c:pt>
                <c:pt idx="15">
                  <c:v>34.72</c:v>
                </c:pt>
                <c:pt idx="16">
                  <c:v>32.54</c:v>
                </c:pt>
                <c:pt idx="17">
                  <c:v>29.85</c:v>
                </c:pt>
                <c:pt idx="18">
                  <c:v>20.69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1.67</c:v>
                </c:pt>
                <c:pt idx="23">
                  <c:v>4.6399999999999997</c:v>
                </c:pt>
                <c:pt idx="24">
                  <c:v>7.03</c:v>
                </c:pt>
                <c:pt idx="25">
                  <c:v>0</c:v>
                </c:pt>
                <c:pt idx="26">
                  <c:v>3.67</c:v>
                </c:pt>
                <c:pt idx="27">
                  <c:v>7.03</c:v>
                </c:pt>
                <c:pt idx="28">
                  <c:v>7.03</c:v>
                </c:pt>
                <c:pt idx="29">
                  <c:v>18.190000000000001</c:v>
                </c:pt>
                <c:pt idx="30">
                  <c:v>18.78</c:v>
                </c:pt>
                <c:pt idx="31">
                  <c:v>18.78</c:v>
                </c:pt>
                <c:pt idx="32">
                  <c:v>7.15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47-4D1E-8390-3FEF0716BB2D}"/>
            </c:ext>
          </c:extLst>
        </c:ser>
        <c:ser>
          <c:idx val="3"/>
          <c:order val="3"/>
          <c:tx>
            <c:strRef>
              <c:f>'Feb-22 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'!$AA$5:$AA$44</c15:sqref>
                  </c15:fullRef>
                </c:ext>
              </c:extLst>
              <c:f>'Feb-22 '!$AA$8:$AA$44</c:f>
              <c:numCache>
                <c:formatCode>#,##0.00</c:formatCode>
                <c:ptCount val="37"/>
                <c:pt idx="0">
                  <c:v>20.61</c:v>
                </c:pt>
                <c:pt idx="1">
                  <c:v>17.440000000000001</c:v>
                </c:pt>
                <c:pt idx="2">
                  <c:v>5.01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12.83</c:v>
                </c:pt>
                <c:pt idx="10">
                  <c:v>15.41</c:v>
                </c:pt>
                <c:pt idx="11">
                  <c:v>19.09</c:v>
                </c:pt>
                <c:pt idx="12">
                  <c:v>21.43</c:v>
                </c:pt>
                <c:pt idx="13">
                  <c:v>26.33</c:v>
                </c:pt>
                <c:pt idx="14">
                  <c:v>32.090000000000003</c:v>
                </c:pt>
                <c:pt idx="15">
                  <c:v>34.72</c:v>
                </c:pt>
                <c:pt idx="16">
                  <c:v>32.54</c:v>
                </c:pt>
                <c:pt idx="17">
                  <c:v>29.85</c:v>
                </c:pt>
                <c:pt idx="18">
                  <c:v>20.69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1.67</c:v>
                </c:pt>
                <c:pt idx="23">
                  <c:v>4.6399999999999997</c:v>
                </c:pt>
                <c:pt idx="24">
                  <c:v>7.03</c:v>
                </c:pt>
                <c:pt idx="25">
                  <c:v>0</c:v>
                </c:pt>
                <c:pt idx="26">
                  <c:v>3.67</c:v>
                </c:pt>
                <c:pt idx="27">
                  <c:v>7.03</c:v>
                </c:pt>
                <c:pt idx="28">
                  <c:v>7.03</c:v>
                </c:pt>
                <c:pt idx="29">
                  <c:v>18.190000000000001</c:v>
                </c:pt>
                <c:pt idx="30">
                  <c:v>18.78</c:v>
                </c:pt>
                <c:pt idx="31">
                  <c:v>18.78</c:v>
                </c:pt>
                <c:pt idx="32">
                  <c:v>7.15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47-4D1E-8390-3FEF0716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1400"/>
        <c:axId val="191823360"/>
      </c:lineChart>
      <c:dateAx>
        <c:axId val="191821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3360"/>
        <c:crosses val="autoZero"/>
        <c:auto val="1"/>
        <c:lblOffset val="100"/>
        <c:baseTimeUnit val="days"/>
      </c:dateAx>
      <c:valAx>
        <c:axId val="1918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400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7237648707612685"/>
          <c:h val="4.1064016354188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Febuary 2022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0"/>
          <c:order val="0"/>
          <c:tx>
            <c:strRef>
              <c:f>'Feb-22 '!$G$4</c:f>
              <c:strCache>
                <c:ptCount val="1"/>
                <c:pt idx="0">
                  <c:v>February 2022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'!$G$5:$G$44</c15:sqref>
                  </c15:fullRef>
                </c:ext>
              </c:extLst>
              <c:f>'Feb-22 '!$G$8:$G$44</c:f>
              <c:numCache>
                <c:formatCode>#,##0.000</c:formatCode>
                <c:ptCount val="37"/>
                <c:pt idx="0">
                  <c:v>44.419999999999995</c:v>
                </c:pt>
                <c:pt idx="1">
                  <c:v>44.419999999999995</c:v>
                </c:pt>
                <c:pt idx="2">
                  <c:v>44.419999999999995</c:v>
                </c:pt>
                <c:pt idx="3">
                  <c:v>44.419999999999995</c:v>
                </c:pt>
                <c:pt idx="4">
                  <c:v>44.419999999999995</c:v>
                </c:pt>
                <c:pt idx="5">
                  <c:v>44.419999999999995</c:v>
                </c:pt>
                <c:pt idx="6">
                  <c:v>44.419999999999995</c:v>
                </c:pt>
                <c:pt idx="7">
                  <c:v>44.419999999999995</c:v>
                </c:pt>
                <c:pt idx="8">
                  <c:v>44.419999999999995</c:v>
                </c:pt>
                <c:pt idx="9">
                  <c:v>44.419999999999995</c:v>
                </c:pt>
                <c:pt idx="10">
                  <c:v>44.419999999999995</c:v>
                </c:pt>
                <c:pt idx="11">
                  <c:v>44.419999999999995</c:v>
                </c:pt>
                <c:pt idx="12">
                  <c:v>44.419999999999995</c:v>
                </c:pt>
                <c:pt idx="13">
                  <c:v>44.419999999999995</c:v>
                </c:pt>
                <c:pt idx="14">
                  <c:v>44.419999999999995</c:v>
                </c:pt>
                <c:pt idx="15">
                  <c:v>44.419999999999995</c:v>
                </c:pt>
                <c:pt idx="16">
                  <c:v>44.419999999999995</c:v>
                </c:pt>
                <c:pt idx="17">
                  <c:v>44.419999999999995</c:v>
                </c:pt>
                <c:pt idx="18">
                  <c:v>44.419999999999995</c:v>
                </c:pt>
                <c:pt idx="19">
                  <c:v>44.419999999999995</c:v>
                </c:pt>
                <c:pt idx="20">
                  <c:v>44.419999999999995</c:v>
                </c:pt>
                <c:pt idx="21">
                  <c:v>44.419999999999995</c:v>
                </c:pt>
                <c:pt idx="22">
                  <c:v>44.419999999999995</c:v>
                </c:pt>
                <c:pt idx="23">
                  <c:v>44.419999999999995</c:v>
                </c:pt>
                <c:pt idx="24">
                  <c:v>44.419999999999995</c:v>
                </c:pt>
                <c:pt idx="25">
                  <c:v>44.419999999999995</c:v>
                </c:pt>
                <c:pt idx="26">
                  <c:v>44.419999999999995</c:v>
                </c:pt>
                <c:pt idx="27">
                  <c:v>44.419999999999995</c:v>
                </c:pt>
                <c:pt idx="28">
                  <c:v>44.419999999999995</c:v>
                </c:pt>
                <c:pt idx="29">
                  <c:v>44.419999999999995</c:v>
                </c:pt>
                <c:pt idx="30">
                  <c:v>44.419999999999995</c:v>
                </c:pt>
                <c:pt idx="31">
                  <c:v>44.419999999999995</c:v>
                </c:pt>
                <c:pt idx="32">
                  <c:v>44.419999999999995</c:v>
                </c:pt>
                <c:pt idx="33">
                  <c:v>44.419999999999995</c:v>
                </c:pt>
                <c:pt idx="34">
                  <c:v>44.419999999999995</c:v>
                </c:pt>
                <c:pt idx="35">
                  <c:v>44.419999999999995</c:v>
                </c:pt>
                <c:pt idx="36">
                  <c:v>44.419999999999995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1-4818-80D3-0E063A2EB13A}"/>
            </c:ext>
          </c:extLst>
        </c:ser>
        <c:ser>
          <c:idx val="1"/>
          <c:order val="1"/>
          <c:tx>
            <c:strRef>
              <c:f>'Feb-22 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'!$H$5:$H$44</c15:sqref>
                  </c15:fullRef>
                </c:ext>
              </c:extLst>
              <c:f>'Feb-22 '!$H$8:$H$44</c:f>
              <c:numCache>
                <c:formatCode>#,##0.000</c:formatCode>
                <c:ptCount val="37"/>
                <c:pt idx="0">
                  <c:v>18.166</c:v>
                </c:pt>
                <c:pt idx="1">
                  <c:v>17.564</c:v>
                </c:pt>
                <c:pt idx="2">
                  <c:v>17.562999999999999</c:v>
                </c:pt>
                <c:pt idx="3">
                  <c:v>17.317</c:v>
                </c:pt>
                <c:pt idx="4">
                  <c:v>17.809000000000001</c:v>
                </c:pt>
                <c:pt idx="5">
                  <c:v>17.079000000000001</c:v>
                </c:pt>
                <c:pt idx="6">
                  <c:v>19.164999999999999</c:v>
                </c:pt>
                <c:pt idx="7">
                  <c:v>16.59</c:v>
                </c:pt>
                <c:pt idx="8">
                  <c:v>16.655000000000001</c:v>
                </c:pt>
                <c:pt idx="9">
                  <c:v>14.234</c:v>
                </c:pt>
                <c:pt idx="10">
                  <c:v>8.6769999999999996</c:v>
                </c:pt>
                <c:pt idx="11">
                  <c:v>8.5299999999999994</c:v>
                </c:pt>
                <c:pt idx="12">
                  <c:v>8.6460000000000008</c:v>
                </c:pt>
                <c:pt idx="13">
                  <c:v>9.3859999999999992</c:v>
                </c:pt>
                <c:pt idx="14">
                  <c:v>8.9789999999999992</c:v>
                </c:pt>
                <c:pt idx="15">
                  <c:v>8.9429999999999996</c:v>
                </c:pt>
                <c:pt idx="16">
                  <c:v>8.9570000000000007</c:v>
                </c:pt>
                <c:pt idx="17">
                  <c:v>9.4459999999999997</c:v>
                </c:pt>
                <c:pt idx="18">
                  <c:v>15.260999999999999</c:v>
                </c:pt>
                <c:pt idx="19">
                  <c:v>20.140999999999998</c:v>
                </c:pt>
                <c:pt idx="20">
                  <c:v>19.241</c:v>
                </c:pt>
                <c:pt idx="21">
                  <c:v>18.141999999999999</c:v>
                </c:pt>
                <c:pt idx="22">
                  <c:v>17.356000000000002</c:v>
                </c:pt>
                <c:pt idx="23">
                  <c:v>18.277999999999999</c:v>
                </c:pt>
                <c:pt idx="24">
                  <c:v>19.231999999999999</c:v>
                </c:pt>
                <c:pt idx="25">
                  <c:v>18.46</c:v>
                </c:pt>
                <c:pt idx="26">
                  <c:v>18.911000000000001</c:v>
                </c:pt>
                <c:pt idx="27">
                  <c:v>19.061</c:v>
                </c:pt>
                <c:pt idx="28">
                  <c:v>19.411000000000001</c:v>
                </c:pt>
                <c:pt idx="29">
                  <c:v>7.6029999999999998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8.4139999999999997</c:v>
                </c:pt>
                <c:pt idx="35">
                  <c:v>8.4139999999999997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B1-4818-80D3-0E063A2EB13A}"/>
            </c:ext>
          </c:extLst>
        </c:ser>
        <c:ser>
          <c:idx val="2"/>
          <c:order val="2"/>
          <c:tx>
            <c:strRef>
              <c:f>'Feb-22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'!$I$5:$I$44</c15:sqref>
                  </c15:fullRef>
                </c:ext>
              </c:extLst>
              <c:f>'Feb-22 '!$I$8:$I$44</c:f>
              <c:numCache>
                <c:formatCode>#,##0.000</c:formatCode>
                <c:ptCount val="37"/>
                <c:pt idx="0">
                  <c:v>8.4760000000000009</c:v>
                </c:pt>
                <c:pt idx="1">
                  <c:v>7.726</c:v>
                </c:pt>
                <c:pt idx="2">
                  <c:v>2.8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3.2730000000000001</c:v>
                </c:pt>
                <c:pt idx="9">
                  <c:v>6.6710000000000003</c:v>
                </c:pt>
                <c:pt idx="10">
                  <c:v>7.28</c:v>
                </c:pt>
                <c:pt idx="11">
                  <c:v>8.359</c:v>
                </c:pt>
                <c:pt idx="12">
                  <c:v>9.4489999999999998</c:v>
                </c:pt>
                <c:pt idx="13">
                  <c:v>11.102</c:v>
                </c:pt>
                <c:pt idx="14">
                  <c:v>10.026</c:v>
                </c:pt>
                <c:pt idx="15">
                  <c:v>12.457000000000001</c:v>
                </c:pt>
                <c:pt idx="16">
                  <c:v>11.353999999999999</c:v>
                </c:pt>
                <c:pt idx="17">
                  <c:v>12.06</c:v>
                </c:pt>
                <c:pt idx="18">
                  <c:v>7.2830000000000004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2.891</c:v>
                </c:pt>
                <c:pt idx="23">
                  <c:v>5.01</c:v>
                </c:pt>
                <c:pt idx="24">
                  <c:v>4.2699999999999996</c:v>
                </c:pt>
                <c:pt idx="25">
                  <c:v>0</c:v>
                </c:pt>
                <c:pt idx="26">
                  <c:v>2.4750000000000001</c:v>
                </c:pt>
                <c:pt idx="27">
                  <c:v>4.2359999999999998</c:v>
                </c:pt>
                <c:pt idx="28">
                  <c:v>4.4459999999999997</c:v>
                </c:pt>
                <c:pt idx="29">
                  <c:v>9.1620000000000008</c:v>
                </c:pt>
                <c:pt idx="30">
                  <c:v>9.1159999999999997</c:v>
                </c:pt>
                <c:pt idx="31">
                  <c:v>9.1159999999999997</c:v>
                </c:pt>
                <c:pt idx="32">
                  <c:v>5.3159999999999998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B1-4818-80D3-0E063A2EB13A}"/>
            </c:ext>
          </c:extLst>
        </c:ser>
        <c:ser>
          <c:idx val="3"/>
          <c:order val="3"/>
          <c:tx>
            <c:strRef>
              <c:f>'Feb-22 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810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7030A0"/>
              </a:solidFill>
              <a:ln w="9525">
                <a:solidFill>
                  <a:srgbClr val="7030A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'!$J$5:$J$44</c15:sqref>
                  </c15:fullRef>
                </c:ext>
              </c:extLst>
              <c:f>'Feb-22 '!$J$8:$J$44</c:f>
              <c:numCache>
                <c:formatCode>#,##0.000</c:formatCode>
                <c:ptCount val="37"/>
                <c:pt idx="0">
                  <c:v>4.5709999999999997</c:v>
                </c:pt>
                <c:pt idx="1">
                  <c:v>4.5629999999999997</c:v>
                </c:pt>
                <c:pt idx="2">
                  <c:v>4.593</c:v>
                </c:pt>
                <c:pt idx="3">
                  <c:v>4.5839999999999996</c:v>
                </c:pt>
                <c:pt idx="4">
                  <c:v>4.5830000000000002</c:v>
                </c:pt>
                <c:pt idx="5">
                  <c:v>4.5869999999999997</c:v>
                </c:pt>
                <c:pt idx="6">
                  <c:v>4.5890000000000004</c:v>
                </c:pt>
                <c:pt idx="7">
                  <c:v>4.5869999999999997</c:v>
                </c:pt>
                <c:pt idx="8">
                  <c:v>4.5389999999999997</c:v>
                </c:pt>
                <c:pt idx="9">
                  <c:v>0.19800000000000001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2.2839999999999998</c:v>
                </c:pt>
                <c:pt idx="17">
                  <c:v>4.0110000000000001</c:v>
                </c:pt>
                <c:pt idx="18">
                  <c:v>4.5810000000000004</c:v>
                </c:pt>
                <c:pt idx="19">
                  <c:v>4.5640000000000001</c:v>
                </c:pt>
                <c:pt idx="20">
                  <c:v>4.5549999999999997</c:v>
                </c:pt>
                <c:pt idx="21">
                  <c:v>4.5540000000000003</c:v>
                </c:pt>
                <c:pt idx="22">
                  <c:v>4.5540000000000003</c:v>
                </c:pt>
                <c:pt idx="23">
                  <c:v>4.5259999999999998</c:v>
                </c:pt>
                <c:pt idx="24">
                  <c:v>4.5709999999999997</c:v>
                </c:pt>
                <c:pt idx="25">
                  <c:v>4.569</c:v>
                </c:pt>
                <c:pt idx="26">
                  <c:v>2.2730000000000001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B1-4818-80D3-0E063A2EB13A}"/>
            </c:ext>
          </c:extLst>
        </c:ser>
        <c:ser>
          <c:idx val="4"/>
          <c:order val="4"/>
          <c:tx>
            <c:strRef>
              <c:f>'Feb-22 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'!$K$5:$K$44</c15:sqref>
                  </c15:fullRef>
                </c:ext>
              </c:extLst>
              <c:f>'Feb-22 '!$K$8:$K$44</c:f>
              <c:numCache>
                <c:formatCode>#,##0.000</c:formatCode>
                <c:ptCount val="37"/>
                <c:pt idx="0">
                  <c:v>2.363</c:v>
                </c:pt>
                <c:pt idx="1">
                  <c:v>2.3170000000000002</c:v>
                </c:pt>
                <c:pt idx="2">
                  <c:v>2.3260000000000001</c:v>
                </c:pt>
                <c:pt idx="3">
                  <c:v>2.3759999999999999</c:v>
                </c:pt>
                <c:pt idx="4">
                  <c:v>2.2770000000000001</c:v>
                </c:pt>
                <c:pt idx="5">
                  <c:v>2.371</c:v>
                </c:pt>
                <c:pt idx="6">
                  <c:v>2.4220000000000002</c:v>
                </c:pt>
                <c:pt idx="7">
                  <c:v>2.407</c:v>
                </c:pt>
                <c:pt idx="8">
                  <c:v>2.4049999999999998</c:v>
                </c:pt>
                <c:pt idx="9">
                  <c:v>2.3980000000000001</c:v>
                </c:pt>
                <c:pt idx="10">
                  <c:v>2.4009999999999998</c:v>
                </c:pt>
                <c:pt idx="11">
                  <c:v>2.375</c:v>
                </c:pt>
                <c:pt idx="12">
                  <c:v>2.3610000000000002</c:v>
                </c:pt>
                <c:pt idx="13">
                  <c:v>2.3940000000000001</c:v>
                </c:pt>
                <c:pt idx="14">
                  <c:v>2.359</c:v>
                </c:pt>
                <c:pt idx="15">
                  <c:v>2.355</c:v>
                </c:pt>
                <c:pt idx="16">
                  <c:v>1.915</c:v>
                </c:pt>
                <c:pt idx="17">
                  <c:v>2.3450000000000002</c:v>
                </c:pt>
                <c:pt idx="18">
                  <c:v>2.3780000000000001</c:v>
                </c:pt>
                <c:pt idx="19">
                  <c:v>2.3690000000000002</c:v>
                </c:pt>
                <c:pt idx="20">
                  <c:v>2.375</c:v>
                </c:pt>
                <c:pt idx="21">
                  <c:v>2.359</c:v>
                </c:pt>
                <c:pt idx="22">
                  <c:v>2.3620000000000001</c:v>
                </c:pt>
                <c:pt idx="23">
                  <c:v>2.2589999999999999</c:v>
                </c:pt>
                <c:pt idx="24">
                  <c:v>0</c:v>
                </c:pt>
                <c:pt idx="25">
                  <c:v>0</c:v>
                </c:pt>
                <c:pt idx="26">
                  <c:v>1.21</c:v>
                </c:pt>
                <c:pt idx="27">
                  <c:v>2.415</c:v>
                </c:pt>
                <c:pt idx="28">
                  <c:v>2.3410000000000002</c:v>
                </c:pt>
                <c:pt idx="29">
                  <c:v>2.266</c:v>
                </c:pt>
                <c:pt idx="30">
                  <c:v>2.2480000000000002</c:v>
                </c:pt>
                <c:pt idx="31">
                  <c:v>2.2509999999999999</c:v>
                </c:pt>
                <c:pt idx="32">
                  <c:v>2.2250000000000001</c:v>
                </c:pt>
                <c:pt idx="33">
                  <c:v>2.226</c:v>
                </c:pt>
                <c:pt idx="34">
                  <c:v>2.2360000000000002</c:v>
                </c:pt>
                <c:pt idx="35">
                  <c:v>2.2690000000000001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B1-4818-80D3-0E063A2EB13A}"/>
            </c:ext>
          </c:extLst>
        </c:ser>
        <c:ser>
          <c:idx val="5"/>
          <c:order val="5"/>
          <c:tx>
            <c:strRef>
              <c:f>'Feb-22 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57"/>
            <c:marker>
              <c:symbol val="diamond"/>
              <c:size val="9"/>
              <c:spPr>
                <a:solidFill>
                  <a:srgbClr val="00B050"/>
                </a:solidFill>
                <a:ln w="9525">
                  <a:solidFill>
                    <a:schemeClr val="accent6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DB1-4818-80D3-0E063A2EB13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'Feb-22 '!$B$8:$B$44</c:f>
              <c:numCache>
                <c:formatCode>d\-mmm\-yy</c:formatCode>
                <c:ptCount val="37"/>
                <c:pt idx="0">
                  <c:v>44592</c:v>
                </c:pt>
                <c:pt idx="1">
                  <c:v>44592</c:v>
                </c:pt>
                <c:pt idx="2">
                  <c:v>44593</c:v>
                </c:pt>
                <c:pt idx="3">
                  <c:v>44594</c:v>
                </c:pt>
                <c:pt idx="4">
                  <c:v>44595</c:v>
                </c:pt>
                <c:pt idx="5">
                  <c:v>44596</c:v>
                </c:pt>
                <c:pt idx="6">
                  <c:v>44597</c:v>
                </c:pt>
                <c:pt idx="7">
                  <c:v>44598</c:v>
                </c:pt>
                <c:pt idx="8">
                  <c:v>44599</c:v>
                </c:pt>
                <c:pt idx="9">
                  <c:v>44600</c:v>
                </c:pt>
                <c:pt idx="10">
                  <c:v>44601</c:v>
                </c:pt>
                <c:pt idx="11">
                  <c:v>44602</c:v>
                </c:pt>
                <c:pt idx="12">
                  <c:v>44603</c:v>
                </c:pt>
                <c:pt idx="13">
                  <c:v>44604</c:v>
                </c:pt>
                <c:pt idx="14">
                  <c:v>44605</c:v>
                </c:pt>
                <c:pt idx="15">
                  <c:v>44606</c:v>
                </c:pt>
                <c:pt idx="16">
                  <c:v>44607</c:v>
                </c:pt>
                <c:pt idx="17">
                  <c:v>44608</c:v>
                </c:pt>
                <c:pt idx="18">
                  <c:v>44609</c:v>
                </c:pt>
                <c:pt idx="19">
                  <c:v>44610</c:v>
                </c:pt>
                <c:pt idx="20">
                  <c:v>44611</c:v>
                </c:pt>
                <c:pt idx="21">
                  <c:v>44612</c:v>
                </c:pt>
                <c:pt idx="22">
                  <c:v>44613</c:v>
                </c:pt>
                <c:pt idx="23">
                  <c:v>44614</c:v>
                </c:pt>
                <c:pt idx="24">
                  <c:v>44615</c:v>
                </c:pt>
                <c:pt idx="25">
                  <c:v>44616</c:v>
                </c:pt>
                <c:pt idx="26">
                  <c:v>44617</c:v>
                </c:pt>
                <c:pt idx="27">
                  <c:v>44618</c:v>
                </c:pt>
                <c:pt idx="28">
                  <c:v>44619</c:v>
                </c:pt>
                <c:pt idx="29">
                  <c:v>44620</c:v>
                </c:pt>
                <c:pt idx="30">
                  <c:v>44621</c:v>
                </c:pt>
                <c:pt idx="31">
                  <c:v>44622</c:v>
                </c:pt>
                <c:pt idx="32">
                  <c:v>44623</c:v>
                </c:pt>
                <c:pt idx="33">
                  <c:v>44624</c:v>
                </c:pt>
                <c:pt idx="34">
                  <c:v>44625</c:v>
                </c:pt>
                <c:pt idx="35">
                  <c:v>44626</c:v>
                </c:pt>
                <c:pt idx="36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'!$L$5:$L$44</c15:sqref>
                  </c15:fullRef>
                </c:ext>
              </c:extLst>
              <c:f>'Feb-22 '!$L$8:$L$44</c:f>
              <c:numCache>
                <c:formatCode>#,##0.000</c:formatCode>
                <c:ptCount val="37"/>
                <c:pt idx="0">
                  <c:v>33.576000000000001</c:v>
                </c:pt>
                <c:pt idx="1">
                  <c:v>32.17</c:v>
                </c:pt>
                <c:pt idx="2">
                  <c:v>27.282</c:v>
                </c:pt>
                <c:pt idx="3">
                  <c:v>24.277000000000001</c:v>
                </c:pt>
                <c:pt idx="4">
                  <c:v>24.669000000000004</c:v>
                </c:pt>
                <c:pt idx="5">
                  <c:v>24.036999999999999</c:v>
                </c:pt>
                <c:pt idx="6">
                  <c:v>26.175999999999998</c:v>
                </c:pt>
                <c:pt idx="7">
                  <c:v>23.584</c:v>
                </c:pt>
                <c:pt idx="8">
                  <c:v>26.872</c:v>
                </c:pt>
                <c:pt idx="9">
                  <c:v>23.501000000000001</c:v>
                </c:pt>
                <c:pt idx="10">
                  <c:v>18.358000000000001</c:v>
                </c:pt>
                <c:pt idx="11">
                  <c:v>19.263999999999999</c:v>
                </c:pt>
                <c:pt idx="12">
                  <c:v>20.456</c:v>
                </c:pt>
                <c:pt idx="13">
                  <c:v>22.881999999999998</c:v>
                </c:pt>
                <c:pt idx="14">
                  <c:v>21.363999999999997</c:v>
                </c:pt>
                <c:pt idx="15">
                  <c:v>23.754999999999999</c:v>
                </c:pt>
                <c:pt idx="16">
                  <c:v>24.509999999999998</c:v>
                </c:pt>
                <c:pt idx="17">
                  <c:v>27.861999999999998</c:v>
                </c:pt>
                <c:pt idx="18">
                  <c:v>29.503</c:v>
                </c:pt>
                <c:pt idx="19">
                  <c:v>27.073999999999998</c:v>
                </c:pt>
                <c:pt idx="20">
                  <c:v>26.170999999999999</c:v>
                </c:pt>
                <c:pt idx="21">
                  <c:v>25.055</c:v>
                </c:pt>
                <c:pt idx="22">
                  <c:v>27.163000000000004</c:v>
                </c:pt>
                <c:pt idx="23">
                  <c:v>30.072999999999997</c:v>
                </c:pt>
                <c:pt idx="24">
                  <c:v>28.073</c:v>
                </c:pt>
                <c:pt idx="25">
                  <c:v>23.029</c:v>
                </c:pt>
                <c:pt idx="26">
                  <c:v>24.869000000000003</c:v>
                </c:pt>
                <c:pt idx="27">
                  <c:v>25.712</c:v>
                </c:pt>
                <c:pt idx="28">
                  <c:v>26.198</c:v>
                </c:pt>
                <c:pt idx="29">
                  <c:v>19.030999999999999</c:v>
                </c:pt>
                <c:pt idx="30">
                  <c:v>11.364000000000001</c:v>
                </c:pt>
                <c:pt idx="31">
                  <c:v>11.366999999999999</c:v>
                </c:pt>
                <c:pt idx="32">
                  <c:v>7.5410000000000004</c:v>
                </c:pt>
                <c:pt idx="33">
                  <c:v>2.226</c:v>
                </c:pt>
                <c:pt idx="34">
                  <c:v>10.65</c:v>
                </c:pt>
                <c:pt idx="35">
                  <c:v>10.683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B1-4818-80D3-0E063A2E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4144"/>
        <c:axId val="191820616"/>
      </c:lineChart>
      <c:dateAx>
        <c:axId val="1918241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9189151425"/>
          <c:h val="3.7211543256065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</a:rPr>
              <a:t>OML-42 Febuary 2022 Production Performance per Field</a:t>
            </a:r>
          </a:p>
        </c:rich>
      </c:tx>
      <c:layout>
        <c:manualLayout>
          <c:xMode val="edge"/>
          <c:yMode val="edge"/>
          <c:x val="0.32698688964224171"/>
          <c:y val="1.52155961218446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189070340859642E-2"/>
          <c:y val="8.2533986060835243E-2"/>
          <c:w val="0.88047289644129412"/>
          <c:h val="0.75116629131529378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'Feb-22 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('Feb-22 '!$B$10:$B$37,'Feb-22 '!$B$44)</c:f>
              <c:numCache>
                <c:formatCode>d\-mmm\-yy</c:formatCode>
                <c:ptCount val="29"/>
                <c:pt idx="0">
                  <c:v>44593</c:v>
                </c:pt>
                <c:pt idx="1">
                  <c:v>44594</c:v>
                </c:pt>
                <c:pt idx="2">
                  <c:v>44595</c:v>
                </c:pt>
                <c:pt idx="3">
                  <c:v>44596</c:v>
                </c:pt>
                <c:pt idx="4">
                  <c:v>44597</c:v>
                </c:pt>
                <c:pt idx="5">
                  <c:v>44598</c:v>
                </c:pt>
                <c:pt idx="6">
                  <c:v>44599</c:v>
                </c:pt>
                <c:pt idx="7">
                  <c:v>44600</c:v>
                </c:pt>
                <c:pt idx="8">
                  <c:v>44601</c:v>
                </c:pt>
                <c:pt idx="9">
                  <c:v>44602</c:v>
                </c:pt>
                <c:pt idx="10">
                  <c:v>44603</c:v>
                </c:pt>
                <c:pt idx="11">
                  <c:v>44604</c:v>
                </c:pt>
                <c:pt idx="12">
                  <c:v>44605</c:v>
                </c:pt>
                <c:pt idx="13">
                  <c:v>44606</c:v>
                </c:pt>
                <c:pt idx="14">
                  <c:v>44607</c:v>
                </c:pt>
                <c:pt idx="15">
                  <c:v>44608</c:v>
                </c:pt>
                <c:pt idx="16">
                  <c:v>44609</c:v>
                </c:pt>
                <c:pt idx="17">
                  <c:v>44610</c:v>
                </c:pt>
                <c:pt idx="18">
                  <c:v>44611</c:v>
                </c:pt>
                <c:pt idx="19">
                  <c:v>44612</c:v>
                </c:pt>
                <c:pt idx="20">
                  <c:v>44613</c:v>
                </c:pt>
                <c:pt idx="21">
                  <c:v>44614</c:v>
                </c:pt>
                <c:pt idx="22">
                  <c:v>44615</c:v>
                </c:pt>
                <c:pt idx="23">
                  <c:v>44616</c:v>
                </c:pt>
                <c:pt idx="24">
                  <c:v>44617</c:v>
                </c:pt>
                <c:pt idx="25">
                  <c:v>44618</c:v>
                </c:pt>
                <c:pt idx="26">
                  <c:v>44619</c:v>
                </c:pt>
                <c:pt idx="27">
                  <c:v>44620</c:v>
                </c:pt>
                <c:pt idx="28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'!$H$5:$H$44</c15:sqref>
                  </c15:fullRef>
                </c:ext>
              </c:extLst>
              <c:f>('Feb-22 '!$H$10:$H$37,'Feb-22 '!$H$44)</c:f>
              <c:numCache>
                <c:formatCode>#,##0.000</c:formatCode>
                <c:ptCount val="29"/>
                <c:pt idx="0">
                  <c:v>17.562999999999999</c:v>
                </c:pt>
                <c:pt idx="1">
                  <c:v>17.317</c:v>
                </c:pt>
                <c:pt idx="2">
                  <c:v>17.809000000000001</c:v>
                </c:pt>
                <c:pt idx="3">
                  <c:v>17.079000000000001</c:v>
                </c:pt>
                <c:pt idx="4">
                  <c:v>19.164999999999999</c:v>
                </c:pt>
                <c:pt idx="5">
                  <c:v>16.59</c:v>
                </c:pt>
                <c:pt idx="6">
                  <c:v>16.655000000000001</c:v>
                </c:pt>
                <c:pt idx="7">
                  <c:v>14.234</c:v>
                </c:pt>
                <c:pt idx="8">
                  <c:v>8.6769999999999996</c:v>
                </c:pt>
                <c:pt idx="9">
                  <c:v>8.5299999999999994</c:v>
                </c:pt>
                <c:pt idx="10">
                  <c:v>8.6460000000000008</c:v>
                </c:pt>
                <c:pt idx="11">
                  <c:v>9.3859999999999992</c:v>
                </c:pt>
                <c:pt idx="12">
                  <c:v>8.9789999999999992</c:v>
                </c:pt>
                <c:pt idx="13">
                  <c:v>8.9429999999999996</c:v>
                </c:pt>
                <c:pt idx="14">
                  <c:v>8.9570000000000007</c:v>
                </c:pt>
                <c:pt idx="15">
                  <c:v>9.4459999999999997</c:v>
                </c:pt>
                <c:pt idx="16">
                  <c:v>15.260999999999999</c:v>
                </c:pt>
                <c:pt idx="17">
                  <c:v>20.140999999999998</c:v>
                </c:pt>
                <c:pt idx="18">
                  <c:v>19.241</c:v>
                </c:pt>
                <c:pt idx="19">
                  <c:v>18.141999999999999</c:v>
                </c:pt>
                <c:pt idx="20">
                  <c:v>17.356000000000002</c:v>
                </c:pt>
                <c:pt idx="21">
                  <c:v>18.277999999999999</c:v>
                </c:pt>
                <c:pt idx="22">
                  <c:v>19.231999999999999</c:v>
                </c:pt>
                <c:pt idx="23">
                  <c:v>18.46</c:v>
                </c:pt>
                <c:pt idx="24">
                  <c:v>18.911000000000001</c:v>
                </c:pt>
                <c:pt idx="25">
                  <c:v>19.061</c:v>
                </c:pt>
                <c:pt idx="26">
                  <c:v>19.411000000000001</c:v>
                </c:pt>
                <c:pt idx="27">
                  <c:v>7.6029999999999998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1-44ED-B3EC-18D145924C7A}"/>
            </c:ext>
          </c:extLst>
        </c:ser>
        <c:ser>
          <c:idx val="2"/>
          <c:order val="2"/>
          <c:tx>
            <c:strRef>
              <c:f>'Feb-22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('Feb-22 '!$B$10:$B$37,'Feb-22 '!$B$44)</c:f>
              <c:numCache>
                <c:formatCode>d\-mmm\-yy</c:formatCode>
                <c:ptCount val="29"/>
                <c:pt idx="0">
                  <c:v>44593</c:v>
                </c:pt>
                <c:pt idx="1">
                  <c:v>44594</c:v>
                </c:pt>
                <c:pt idx="2">
                  <c:v>44595</c:v>
                </c:pt>
                <c:pt idx="3">
                  <c:v>44596</c:v>
                </c:pt>
                <c:pt idx="4">
                  <c:v>44597</c:v>
                </c:pt>
                <c:pt idx="5">
                  <c:v>44598</c:v>
                </c:pt>
                <c:pt idx="6">
                  <c:v>44599</c:v>
                </c:pt>
                <c:pt idx="7">
                  <c:v>44600</c:v>
                </c:pt>
                <c:pt idx="8">
                  <c:v>44601</c:v>
                </c:pt>
                <c:pt idx="9">
                  <c:v>44602</c:v>
                </c:pt>
                <c:pt idx="10">
                  <c:v>44603</c:v>
                </c:pt>
                <c:pt idx="11">
                  <c:v>44604</c:v>
                </c:pt>
                <c:pt idx="12">
                  <c:v>44605</c:v>
                </c:pt>
                <c:pt idx="13">
                  <c:v>44606</c:v>
                </c:pt>
                <c:pt idx="14">
                  <c:v>44607</c:v>
                </c:pt>
                <c:pt idx="15">
                  <c:v>44608</c:v>
                </c:pt>
                <c:pt idx="16">
                  <c:v>44609</c:v>
                </c:pt>
                <c:pt idx="17">
                  <c:v>44610</c:v>
                </c:pt>
                <c:pt idx="18">
                  <c:v>44611</c:v>
                </c:pt>
                <c:pt idx="19">
                  <c:v>44612</c:v>
                </c:pt>
                <c:pt idx="20">
                  <c:v>44613</c:v>
                </c:pt>
                <c:pt idx="21">
                  <c:v>44614</c:v>
                </c:pt>
                <c:pt idx="22">
                  <c:v>44615</c:v>
                </c:pt>
                <c:pt idx="23">
                  <c:v>44616</c:v>
                </c:pt>
                <c:pt idx="24">
                  <c:v>44617</c:v>
                </c:pt>
                <c:pt idx="25">
                  <c:v>44618</c:v>
                </c:pt>
                <c:pt idx="26">
                  <c:v>44619</c:v>
                </c:pt>
                <c:pt idx="27">
                  <c:v>44620</c:v>
                </c:pt>
                <c:pt idx="28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'!$I$5:$I$44</c15:sqref>
                  </c15:fullRef>
                </c:ext>
              </c:extLst>
              <c:f>('Feb-22 '!$I$10:$I$37,'Feb-22 '!$I$44)</c:f>
              <c:numCache>
                <c:formatCode>#,##0.000</c:formatCode>
                <c:ptCount val="29"/>
                <c:pt idx="0">
                  <c:v>2.8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3.2730000000000001</c:v>
                </c:pt>
                <c:pt idx="7">
                  <c:v>6.6710000000000003</c:v>
                </c:pt>
                <c:pt idx="8">
                  <c:v>7.28</c:v>
                </c:pt>
                <c:pt idx="9">
                  <c:v>8.359</c:v>
                </c:pt>
                <c:pt idx="10">
                  <c:v>9.4489999999999998</c:v>
                </c:pt>
                <c:pt idx="11">
                  <c:v>11.102</c:v>
                </c:pt>
                <c:pt idx="12">
                  <c:v>10.026</c:v>
                </c:pt>
                <c:pt idx="13">
                  <c:v>12.457000000000001</c:v>
                </c:pt>
                <c:pt idx="14">
                  <c:v>11.353999999999999</c:v>
                </c:pt>
                <c:pt idx="15">
                  <c:v>12.06</c:v>
                </c:pt>
                <c:pt idx="16">
                  <c:v>7.2830000000000004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2.891</c:v>
                </c:pt>
                <c:pt idx="21">
                  <c:v>5.01</c:v>
                </c:pt>
                <c:pt idx="22">
                  <c:v>4.2699999999999996</c:v>
                </c:pt>
                <c:pt idx="23">
                  <c:v>0</c:v>
                </c:pt>
                <c:pt idx="24">
                  <c:v>2.4750000000000001</c:v>
                </c:pt>
                <c:pt idx="25">
                  <c:v>4.2359999999999998</c:v>
                </c:pt>
                <c:pt idx="26">
                  <c:v>4.4459999999999997</c:v>
                </c:pt>
                <c:pt idx="27">
                  <c:v>9.1620000000000008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1-44ED-B3EC-18D145924C7A}"/>
            </c:ext>
          </c:extLst>
        </c:ser>
        <c:ser>
          <c:idx val="3"/>
          <c:order val="3"/>
          <c:tx>
            <c:strRef>
              <c:f>'Feb-22 '!$J$4</c:f>
              <c:strCache>
                <c:ptCount val="1"/>
                <c:pt idx="0">
                  <c:v>Batan (Mbopd)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('Feb-22 '!$B$10:$B$37,'Feb-22 '!$B$44)</c:f>
              <c:numCache>
                <c:formatCode>d\-mmm\-yy</c:formatCode>
                <c:ptCount val="29"/>
                <c:pt idx="0">
                  <c:v>44593</c:v>
                </c:pt>
                <c:pt idx="1">
                  <c:v>44594</c:v>
                </c:pt>
                <c:pt idx="2">
                  <c:v>44595</c:v>
                </c:pt>
                <c:pt idx="3">
                  <c:v>44596</c:v>
                </c:pt>
                <c:pt idx="4">
                  <c:v>44597</c:v>
                </c:pt>
                <c:pt idx="5">
                  <c:v>44598</c:v>
                </c:pt>
                <c:pt idx="6">
                  <c:v>44599</c:v>
                </c:pt>
                <c:pt idx="7">
                  <c:v>44600</c:v>
                </c:pt>
                <c:pt idx="8">
                  <c:v>44601</c:v>
                </c:pt>
                <c:pt idx="9">
                  <c:v>44602</c:v>
                </c:pt>
                <c:pt idx="10">
                  <c:v>44603</c:v>
                </c:pt>
                <c:pt idx="11">
                  <c:v>44604</c:v>
                </c:pt>
                <c:pt idx="12">
                  <c:v>44605</c:v>
                </c:pt>
                <c:pt idx="13">
                  <c:v>44606</c:v>
                </c:pt>
                <c:pt idx="14">
                  <c:v>44607</c:v>
                </c:pt>
                <c:pt idx="15">
                  <c:v>44608</c:v>
                </c:pt>
                <c:pt idx="16">
                  <c:v>44609</c:v>
                </c:pt>
                <c:pt idx="17">
                  <c:v>44610</c:v>
                </c:pt>
                <c:pt idx="18">
                  <c:v>44611</c:v>
                </c:pt>
                <c:pt idx="19">
                  <c:v>44612</c:v>
                </c:pt>
                <c:pt idx="20">
                  <c:v>44613</c:v>
                </c:pt>
                <c:pt idx="21">
                  <c:v>44614</c:v>
                </c:pt>
                <c:pt idx="22">
                  <c:v>44615</c:v>
                </c:pt>
                <c:pt idx="23">
                  <c:v>44616</c:v>
                </c:pt>
                <c:pt idx="24">
                  <c:v>44617</c:v>
                </c:pt>
                <c:pt idx="25">
                  <c:v>44618</c:v>
                </c:pt>
                <c:pt idx="26">
                  <c:v>44619</c:v>
                </c:pt>
                <c:pt idx="27">
                  <c:v>44620</c:v>
                </c:pt>
                <c:pt idx="28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'!$J$5:$J$44</c15:sqref>
                  </c15:fullRef>
                </c:ext>
              </c:extLst>
              <c:f>('Feb-22 '!$J$10:$J$37,'Feb-22 '!$J$44)</c:f>
              <c:numCache>
                <c:formatCode>#,##0.000</c:formatCode>
                <c:ptCount val="29"/>
                <c:pt idx="0">
                  <c:v>4.593</c:v>
                </c:pt>
                <c:pt idx="1">
                  <c:v>4.5839999999999996</c:v>
                </c:pt>
                <c:pt idx="2">
                  <c:v>4.5830000000000002</c:v>
                </c:pt>
                <c:pt idx="3">
                  <c:v>4.5869999999999997</c:v>
                </c:pt>
                <c:pt idx="4">
                  <c:v>4.5890000000000004</c:v>
                </c:pt>
                <c:pt idx="5">
                  <c:v>4.5869999999999997</c:v>
                </c:pt>
                <c:pt idx="6">
                  <c:v>4.5389999999999997</c:v>
                </c:pt>
                <c:pt idx="7">
                  <c:v>0.19800000000000001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2.2839999999999998</c:v>
                </c:pt>
                <c:pt idx="15">
                  <c:v>4.0110000000000001</c:v>
                </c:pt>
                <c:pt idx="16">
                  <c:v>4.5810000000000004</c:v>
                </c:pt>
                <c:pt idx="17">
                  <c:v>4.5640000000000001</c:v>
                </c:pt>
                <c:pt idx="18">
                  <c:v>4.5549999999999997</c:v>
                </c:pt>
                <c:pt idx="19">
                  <c:v>4.5540000000000003</c:v>
                </c:pt>
                <c:pt idx="20">
                  <c:v>4.5540000000000003</c:v>
                </c:pt>
                <c:pt idx="21">
                  <c:v>4.5259999999999998</c:v>
                </c:pt>
                <c:pt idx="22">
                  <c:v>4.5709999999999997</c:v>
                </c:pt>
                <c:pt idx="23">
                  <c:v>4.569</c:v>
                </c:pt>
                <c:pt idx="24">
                  <c:v>2.2730000000000001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1-44ED-B3EC-18D145924C7A}"/>
            </c:ext>
          </c:extLst>
        </c:ser>
        <c:ser>
          <c:idx val="4"/>
          <c:order val="4"/>
          <c:tx>
            <c:strRef>
              <c:f>'Feb-22 '!$K$4</c:f>
              <c:strCache>
                <c:ptCount val="1"/>
                <c:pt idx="0">
                  <c:v>Egwa (Mbopd)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('Feb-22 '!$B$10:$B$37,'Feb-22 '!$B$44)</c:f>
              <c:numCache>
                <c:formatCode>d\-mmm\-yy</c:formatCode>
                <c:ptCount val="29"/>
                <c:pt idx="0">
                  <c:v>44593</c:v>
                </c:pt>
                <c:pt idx="1">
                  <c:v>44594</c:v>
                </c:pt>
                <c:pt idx="2">
                  <c:v>44595</c:v>
                </c:pt>
                <c:pt idx="3">
                  <c:v>44596</c:v>
                </c:pt>
                <c:pt idx="4">
                  <c:v>44597</c:v>
                </c:pt>
                <c:pt idx="5">
                  <c:v>44598</c:v>
                </c:pt>
                <c:pt idx="6">
                  <c:v>44599</c:v>
                </c:pt>
                <c:pt idx="7">
                  <c:v>44600</c:v>
                </c:pt>
                <c:pt idx="8">
                  <c:v>44601</c:v>
                </c:pt>
                <c:pt idx="9">
                  <c:v>44602</c:v>
                </c:pt>
                <c:pt idx="10">
                  <c:v>44603</c:v>
                </c:pt>
                <c:pt idx="11">
                  <c:v>44604</c:v>
                </c:pt>
                <c:pt idx="12">
                  <c:v>44605</c:v>
                </c:pt>
                <c:pt idx="13">
                  <c:v>44606</c:v>
                </c:pt>
                <c:pt idx="14">
                  <c:v>44607</c:v>
                </c:pt>
                <c:pt idx="15">
                  <c:v>44608</c:v>
                </c:pt>
                <c:pt idx="16">
                  <c:v>44609</c:v>
                </c:pt>
                <c:pt idx="17">
                  <c:v>44610</c:v>
                </c:pt>
                <c:pt idx="18">
                  <c:v>44611</c:v>
                </c:pt>
                <c:pt idx="19">
                  <c:v>44612</c:v>
                </c:pt>
                <c:pt idx="20">
                  <c:v>44613</c:v>
                </c:pt>
                <c:pt idx="21">
                  <c:v>44614</c:v>
                </c:pt>
                <c:pt idx="22">
                  <c:v>44615</c:v>
                </c:pt>
                <c:pt idx="23">
                  <c:v>44616</c:v>
                </c:pt>
                <c:pt idx="24">
                  <c:v>44617</c:v>
                </c:pt>
                <c:pt idx="25">
                  <c:v>44618</c:v>
                </c:pt>
                <c:pt idx="26">
                  <c:v>44619</c:v>
                </c:pt>
                <c:pt idx="27">
                  <c:v>44620</c:v>
                </c:pt>
                <c:pt idx="28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'!$K$5:$K$44</c15:sqref>
                  </c15:fullRef>
                </c:ext>
              </c:extLst>
              <c:f>('Feb-22 '!$K$10:$K$37,'Feb-22 '!$K$44)</c:f>
              <c:numCache>
                <c:formatCode>#,##0.000</c:formatCode>
                <c:ptCount val="29"/>
                <c:pt idx="0">
                  <c:v>2.3260000000000001</c:v>
                </c:pt>
                <c:pt idx="1">
                  <c:v>2.3759999999999999</c:v>
                </c:pt>
                <c:pt idx="2">
                  <c:v>2.2770000000000001</c:v>
                </c:pt>
                <c:pt idx="3">
                  <c:v>2.371</c:v>
                </c:pt>
                <c:pt idx="4">
                  <c:v>2.4220000000000002</c:v>
                </c:pt>
                <c:pt idx="5">
                  <c:v>2.407</c:v>
                </c:pt>
                <c:pt idx="6">
                  <c:v>2.4049999999999998</c:v>
                </c:pt>
                <c:pt idx="7">
                  <c:v>2.3980000000000001</c:v>
                </c:pt>
                <c:pt idx="8">
                  <c:v>2.4009999999999998</c:v>
                </c:pt>
                <c:pt idx="9">
                  <c:v>2.375</c:v>
                </c:pt>
                <c:pt idx="10">
                  <c:v>2.3610000000000002</c:v>
                </c:pt>
                <c:pt idx="11">
                  <c:v>2.3940000000000001</c:v>
                </c:pt>
                <c:pt idx="12">
                  <c:v>2.359</c:v>
                </c:pt>
                <c:pt idx="13">
                  <c:v>2.355</c:v>
                </c:pt>
                <c:pt idx="14">
                  <c:v>1.915</c:v>
                </c:pt>
                <c:pt idx="15">
                  <c:v>2.3450000000000002</c:v>
                </c:pt>
                <c:pt idx="16">
                  <c:v>2.3780000000000001</c:v>
                </c:pt>
                <c:pt idx="17">
                  <c:v>2.3690000000000002</c:v>
                </c:pt>
                <c:pt idx="18">
                  <c:v>2.375</c:v>
                </c:pt>
                <c:pt idx="19">
                  <c:v>2.359</c:v>
                </c:pt>
                <c:pt idx="20">
                  <c:v>2.3620000000000001</c:v>
                </c:pt>
                <c:pt idx="21">
                  <c:v>2.2589999999999999</c:v>
                </c:pt>
                <c:pt idx="22">
                  <c:v>0</c:v>
                </c:pt>
                <c:pt idx="23">
                  <c:v>0</c:v>
                </c:pt>
                <c:pt idx="24">
                  <c:v>1.21</c:v>
                </c:pt>
                <c:pt idx="25">
                  <c:v>2.415</c:v>
                </c:pt>
                <c:pt idx="26">
                  <c:v>2.3410000000000002</c:v>
                </c:pt>
                <c:pt idx="27">
                  <c:v>2.266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01-44ED-B3EC-18D14592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24144"/>
        <c:axId val="191820616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'Feb-22 '!$L$4</c15:sqref>
                        </c15:formulaRef>
                      </c:ext>
                    </c:extLst>
                    <c:strCache>
                      <c:ptCount val="1"/>
                      <c:pt idx="0">
                        <c:v>Total Daily Prod (Mbopd)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solidFill>
                      <a:schemeClr val="accent5"/>
                    </a:solidFill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'Feb-22 '!$B$5:$B$44</c15:sqref>
                        </c15:fullRef>
                        <c15:formulaRef>
                          <c15:sqref>('Feb-22 '!$B$10:$B$37,'Feb-22 '!$B$44)</c15:sqref>
                        </c15:formulaRef>
                      </c:ext>
                    </c:extLst>
                    <c:numCache>
                      <c:formatCode>d\-mmm\-yy</c:formatCode>
                      <c:ptCount val="29"/>
                      <c:pt idx="0">
                        <c:v>44593</c:v>
                      </c:pt>
                      <c:pt idx="1">
                        <c:v>44594</c:v>
                      </c:pt>
                      <c:pt idx="2">
                        <c:v>44595</c:v>
                      </c:pt>
                      <c:pt idx="3">
                        <c:v>44596</c:v>
                      </c:pt>
                      <c:pt idx="4">
                        <c:v>44597</c:v>
                      </c:pt>
                      <c:pt idx="5">
                        <c:v>44598</c:v>
                      </c:pt>
                      <c:pt idx="6">
                        <c:v>44599</c:v>
                      </c:pt>
                      <c:pt idx="7">
                        <c:v>44600</c:v>
                      </c:pt>
                      <c:pt idx="8">
                        <c:v>44601</c:v>
                      </c:pt>
                      <c:pt idx="9">
                        <c:v>44602</c:v>
                      </c:pt>
                      <c:pt idx="10">
                        <c:v>44603</c:v>
                      </c:pt>
                      <c:pt idx="11">
                        <c:v>44604</c:v>
                      </c:pt>
                      <c:pt idx="12">
                        <c:v>44605</c:v>
                      </c:pt>
                      <c:pt idx="13">
                        <c:v>44606</c:v>
                      </c:pt>
                      <c:pt idx="14">
                        <c:v>44607</c:v>
                      </c:pt>
                      <c:pt idx="15">
                        <c:v>44608</c:v>
                      </c:pt>
                      <c:pt idx="16">
                        <c:v>44609</c:v>
                      </c:pt>
                      <c:pt idx="17">
                        <c:v>44610</c:v>
                      </c:pt>
                      <c:pt idx="18">
                        <c:v>44611</c:v>
                      </c:pt>
                      <c:pt idx="19">
                        <c:v>44612</c:v>
                      </c:pt>
                      <c:pt idx="20">
                        <c:v>44613</c:v>
                      </c:pt>
                      <c:pt idx="21">
                        <c:v>44614</c:v>
                      </c:pt>
                      <c:pt idx="22">
                        <c:v>44615</c:v>
                      </c:pt>
                      <c:pt idx="23">
                        <c:v>44616</c:v>
                      </c:pt>
                      <c:pt idx="24">
                        <c:v>44617</c:v>
                      </c:pt>
                      <c:pt idx="25">
                        <c:v>44618</c:v>
                      </c:pt>
                      <c:pt idx="26">
                        <c:v>44619</c:v>
                      </c:pt>
                      <c:pt idx="27">
                        <c:v>44620</c:v>
                      </c:pt>
                      <c:pt idx="28">
                        <c:v>44627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'Feb-22 '!$L$5:$L$44</c15:sqref>
                        </c15:fullRef>
                        <c15:formulaRef>
                          <c15:sqref>('Feb-22 '!$L$10:$L$37,'Feb-22 '!$L$44)</c15:sqref>
                        </c15:formulaRef>
                      </c:ext>
                    </c:extLst>
                    <c:numCache>
                      <c:formatCode>#,##0.000</c:formatCode>
                      <c:ptCount val="29"/>
                      <c:pt idx="0">
                        <c:v>27.282</c:v>
                      </c:pt>
                      <c:pt idx="1">
                        <c:v>24.277000000000001</c:v>
                      </c:pt>
                      <c:pt idx="2">
                        <c:v>24.669000000000004</c:v>
                      </c:pt>
                      <c:pt idx="3">
                        <c:v>24.036999999999999</c:v>
                      </c:pt>
                      <c:pt idx="4">
                        <c:v>26.175999999999998</c:v>
                      </c:pt>
                      <c:pt idx="5">
                        <c:v>23.584</c:v>
                      </c:pt>
                      <c:pt idx="6">
                        <c:v>26.872</c:v>
                      </c:pt>
                      <c:pt idx="7">
                        <c:v>23.501000000000001</c:v>
                      </c:pt>
                      <c:pt idx="8">
                        <c:v>18.358000000000001</c:v>
                      </c:pt>
                      <c:pt idx="9">
                        <c:v>19.263999999999999</c:v>
                      </c:pt>
                      <c:pt idx="10">
                        <c:v>20.456</c:v>
                      </c:pt>
                      <c:pt idx="11">
                        <c:v>22.881999999999998</c:v>
                      </c:pt>
                      <c:pt idx="12">
                        <c:v>21.363999999999997</c:v>
                      </c:pt>
                      <c:pt idx="13">
                        <c:v>23.754999999999999</c:v>
                      </c:pt>
                      <c:pt idx="14">
                        <c:v>24.509999999999998</c:v>
                      </c:pt>
                      <c:pt idx="15">
                        <c:v>27.861999999999998</c:v>
                      </c:pt>
                      <c:pt idx="16">
                        <c:v>29.503</c:v>
                      </c:pt>
                      <c:pt idx="17">
                        <c:v>27.073999999999998</c:v>
                      </c:pt>
                      <c:pt idx="18">
                        <c:v>26.170999999999999</c:v>
                      </c:pt>
                      <c:pt idx="19">
                        <c:v>25.055</c:v>
                      </c:pt>
                      <c:pt idx="20">
                        <c:v>27.163000000000004</c:v>
                      </c:pt>
                      <c:pt idx="21">
                        <c:v>30.072999999999997</c:v>
                      </c:pt>
                      <c:pt idx="22">
                        <c:v>28.073</c:v>
                      </c:pt>
                      <c:pt idx="23">
                        <c:v>23.029</c:v>
                      </c:pt>
                      <c:pt idx="24">
                        <c:v>24.869000000000003</c:v>
                      </c:pt>
                      <c:pt idx="25">
                        <c:v>25.712</c:v>
                      </c:pt>
                      <c:pt idx="26">
                        <c:v>26.198</c:v>
                      </c:pt>
                      <c:pt idx="27">
                        <c:v>19.030999999999999</c:v>
                      </c:pt>
                      <c:pt idx="2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A3A5-4757-AE3F-ABBA406EA77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'Feb-22 '!$G$4</c:f>
              <c:strCache>
                <c:ptCount val="1"/>
                <c:pt idx="0">
                  <c:v>February 2022 Prod Target (Mbopd)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'Feb-22 '!$B$5:$B$44</c15:sqref>
                  </c15:fullRef>
                </c:ext>
              </c:extLst>
              <c:f>('Feb-22 '!$B$10:$B$37,'Feb-22 '!$B$44)</c:f>
              <c:numCache>
                <c:formatCode>d\-mmm\-yy</c:formatCode>
                <c:ptCount val="29"/>
                <c:pt idx="0">
                  <c:v>44593</c:v>
                </c:pt>
                <c:pt idx="1">
                  <c:v>44594</c:v>
                </c:pt>
                <c:pt idx="2">
                  <c:v>44595</c:v>
                </c:pt>
                <c:pt idx="3">
                  <c:v>44596</c:v>
                </c:pt>
                <c:pt idx="4">
                  <c:v>44597</c:v>
                </c:pt>
                <c:pt idx="5">
                  <c:v>44598</c:v>
                </c:pt>
                <c:pt idx="6">
                  <c:v>44599</c:v>
                </c:pt>
                <c:pt idx="7">
                  <c:v>44600</c:v>
                </c:pt>
                <c:pt idx="8">
                  <c:v>44601</c:v>
                </c:pt>
                <c:pt idx="9">
                  <c:v>44602</c:v>
                </c:pt>
                <c:pt idx="10">
                  <c:v>44603</c:v>
                </c:pt>
                <c:pt idx="11">
                  <c:v>44604</c:v>
                </c:pt>
                <c:pt idx="12">
                  <c:v>44605</c:v>
                </c:pt>
                <c:pt idx="13">
                  <c:v>44606</c:v>
                </c:pt>
                <c:pt idx="14">
                  <c:v>44607</c:v>
                </c:pt>
                <c:pt idx="15">
                  <c:v>44608</c:v>
                </c:pt>
                <c:pt idx="16">
                  <c:v>44609</c:v>
                </c:pt>
                <c:pt idx="17">
                  <c:v>44610</c:v>
                </c:pt>
                <c:pt idx="18">
                  <c:v>44611</c:v>
                </c:pt>
                <c:pt idx="19">
                  <c:v>44612</c:v>
                </c:pt>
                <c:pt idx="20">
                  <c:v>44613</c:v>
                </c:pt>
                <c:pt idx="21">
                  <c:v>44614</c:v>
                </c:pt>
                <c:pt idx="22">
                  <c:v>44615</c:v>
                </c:pt>
                <c:pt idx="23">
                  <c:v>44616</c:v>
                </c:pt>
                <c:pt idx="24">
                  <c:v>44617</c:v>
                </c:pt>
                <c:pt idx="25">
                  <c:v>44618</c:v>
                </c:pt>
                <c:pt idx="26">
                  <c:v>44619</c:v>
                </c:pt>
                <c:pt idx="27">
                  <c:v>44620</c:v>
                </c:pt>
                <c:pt idx="28">
                  <c:v>44627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'Feb-22 '!$G$5:$G$44</c15:sqref>
                  </c15:fullRef>
                </c:ext>
              </c:extLst>
              <c:f>('Feb-22 '!$G$10:$G$37,'Feb-22 '!$G$44)</c:f>
              <c:numCache>
                <c:formatCode>#,##0.000</c:formatCode>
                <c:ptCount val="29"/>
                <c:pt idx="0">
                  <c:v>44.419999999999995</c:v>
                </c:pt>
                <c:pt idx="1">
                  <c:v>44.419999999999995</c:v>
                </c:pt>
                <c:pt idx="2">
                  <c:v>44.419999999999995</c:v>
                </c:pt>
                <c:pt idx="3">
                  <c:v>44.419999999999995</c:v>
                </c:pt>
                <c:pt idx="4">
                  <c:v>44.419999999999995</c:v>
                </c:pt>
                <c:pt idx="5">
                  <c:v>44.419999999999995</c:v>
                </c:pt>
                <c:pt idx="6">
                  <c:v>44.419999999999995</c:v>
                </c:pt>
                <c:pt idx="7">
                  <c:v>44.419999999999995</c:v>
                </c:pt>
                <c:pt idx="8">
                  <c:v>44.419999999999995</c:v>
                </c:pt>
                <c:pt idx="9">
                  <c:v>44.419999999999995</c:v>
                </c:pt>
                <c:pt idx="10">
                  <c:v>44.419999999999995</c:v>
                </c:pt>
                <c:pt idx="11">
                  <c:v>44.419999999999995</c:v>
                </c:pt>
                <c:pt idx="12">
                  <c:v>44.419999999999995</c:v>
                </c:pt>
                <c:pt idx="13">
                  <c:v>44.419999999999995</c:v>
                </c:pt>
                <c:pt idx="14">
                  <c:v>44.419999999999995</c:v>
                </c:pt>
                <c:pt idx="15">
                  <c:v>44.419999999999995</c:v>
                </c:pt>
                <c:pt idx="16">
                  <c:v>44.419999999999995</c:v>
                </c:pt>
                <c:pt idx="17">
                  <c:v>44.419999999999995</c:v>
                </c:pt>
                <c:pt idx="18">
                  <c:v>44.419999999999995</c:v>
                </c:pt>
                <c:pt idx="19">
                  <c:v>44.419999999999995</c:v>
                </c:pt>
                <c:pt idx="20">
                  <c:v>44.419999999999995</c:v>
                </c:pt>
                <c:pt idx="21">
                  <c:v>44.419999999999995</c:v>
                </c:pt>
                <c:pt idx="22">
                  <c:v>44.419999999999995</c:v>
                </c:pt>
                <c:pt idx="23">
                  <c:v>44.419999999999995</c:v>
                </c:pt>
                <c:pt idx="24">
                  <c:v>44.419999999999995</c:v>
                </c:pt>
                <c:pt idx="25">
                  <c:v>44.419999999999995</c:v>
                </c:pt>
                <c:pt idx="26">
                  <c:v>44.419999999999995</c:v>
                </c:pt>
                <c:pt idx="27">
                  <c:v>44.419999999999995</c:v>
                </c:pt>
                <c:pt idx="28">
                  <c:v>44.419999999999995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1-44ED-B3EC-18D14592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690672"/>
        <c:axId val="1175685680"/>
      </c:lineChart>
      <c:dateAx>
        <c:axId val="191824144"/>
        <c:scaling>
          <c:orientation val="minMax"/>
          <c:max val="44620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Mbopd</a:t>
                </a:r>
              </a:p>
            </c:rich>
          </c:tx>
          <c:layout>
            <c:manualLayout>
              <c:xMode val="edge"/>
              <c:yMode val="edge"/>
              <c:x val="8.9367329309372051E-3"/>
              <c:y val="0.37131566348843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valAx>
        <c:axId val="1175685680"/>
        <c:scaling>
          <c:orientation val="minMax"/>
        </c:scaling>
        <c:delete val="1"/>
        <c:axPos val="r"/>
        <c:numFmt formatCode="#,##0.0" sourceLinked="0"/>
        <c:majorTickMark val="none"/>
        <c:minorTickMark val="none"/>
        <c:tickLblPos val="nextTo"/>
        <c:crossAx val="1175690672"/>
        <c:crosses val="max"/>
        <c:crossBetween val="between"/>
      </c:valAx>
      <c:dateAx>
        <c:axId val="117569067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175685680"/>
        <c:crosses val="autoZero"/>
        <c:auto val="1"/>
        <c:lblOffset val="100"/>
        <c:baseTimeUnit val="days"/>
      </c:dateAx>
      <c:spPr>
        <a:solidFill>
          <a:schemeClr val="lt1"/>
        </a:solidFill>
        <a:ln w="12700" cap="flat" cmpd="sng" algn="ctr">
          <a:solidFill>
            <a:schemeClr val="accent6"/>
          </a:solidFill>
          <a:prstDash val="solid"/>
          <a:miter lim="800000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507475132492345"/>
          <c:y val="8.40777709182331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87961414064006"/>
          <c:y val="8.6898040963266573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'Mar-22  '!$AJ$10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8AE-4E00-8957-D3CBB8C80C8A}"/>
                </c:ext>
              </c:extLst>
            </c:dLbl>
            <c:dLbl>
              <c:idx val="1"/>
              <c:layout>
                <c:manualLayout>
                  <c:x val="1.0482847503669207E-5"/>
                  <c:y val="-4.4155350684398222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8AE-4E00-8957-D3CBB8C80C8A}"/>
                </c:ext>
              </c:extLst>
            </c:dLbl>
            <c:dLbl>
              <c:idx val="4"/>
              <c:layout>
                <c:manualLayout>
                  <c:x val="3.940426642641812E-4"/>
                  <c:y val="3.044755581861594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AE-4E00-8957-D3CBB8C80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'Mar-22  '!$AJ$11:$AJ$16</c:f>
              <c:numCache>
                <c:formatCode>#,##0.00</c:formatCode>
                <c:ptCount val="6"/>
                <c:pt idx="0">
                  <c:v>20.47</c:v>
                </c:pt>
                <c:pt idx="1">
                  <c:v>15.22</c:v>
                </c:pt>
                <c:pt idx="2">
                  <c:v>5.15</c:v>
                </c:pt>
                <c:pt idx="3">
                  <c:v>3.58</c:v>
                </c:pt>
                <c:pt idx="4">
                  <c:v>44.419999999999995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E-4E00-8957-D3CBB8C80C8A}"/>
            </c:ext>
          </c:extLst>
        </c:ser>
        <c:ser>
          <c:idx val="1"/>
          <c:order val="1"/>
          <c:tx>
            <c:strRef>
              <c:f>'Mar-22  '!$AK$10</c:f>
              <c:strCache>
                <c:ptCount val="1"/>
                <c:pt idx="0">
                  <c:v>27-Mar-2022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15896786367249E-3"/>
                  <c:y val="-1.08006785522568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AE-4E00-8957-D3CBB8C80C8A}"/>
                </c:ext>
              </c:extLst>
            </c:dLbl>
            <c:dLbl>
              <c:idx val="1"/>
              <c:layout>
                <c:manualLayout>
                  <c:x val="1.0736343204016138E-3"/>
                  <c:y val="2.79967846046426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AE-4E00-8957-D3CBB8C80C8A}"/>
                </c:ext>
              </c:extLst>
            </c:dLbl>
            <c:dLbl>
              <c:idx val="2"/>
              <c:layout>
                <c:manualLayout>
                  <c:x val="0"/>
                  <c:y val="-2.36322782837505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8AE-4E00-8957-D3CBB8C80C8A}"/>
                </c:ext>
              </c:extLst>
            </c:dLbl>
            <c:dLbl>
              <c:idx val="3"/>
              <c:layout>
                <c:manualLayout>
                  <c:x val="0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AE-4E00-8957-D3CBB8C80C8A}"/>
                </c:ext>
              </c:extLst>
            </c:dLbl>
            <c:dLbl>
              <c:idx val="4"/>
              <c:layout>
                <c:manualLayout>
                  <c:x val="1.1714380901997958E-6"/>
                  <c:y val="-1.47783885854803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8AE-4E00-8957-D3CBB8C80C8A}"/>
                </c:ext>
              </c:extLst>
            </c:dLbl>
            <c:dLbl>
              <c:idx val="5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AE-4E00-8957-D3CBB8C80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'Mar-22  '!$AK$11:$AK$16</c:f>
              <c:numCache>
                <c:formatCode>#,##0.00</c:formatCode>
                <c:ptCount val="6"/>
                <c:pt idx="0">
                  <c:v>2.62</c:v>
                </c:pt>
                <c:pt idx="1">
                  <c:v>0</c:v>
                </c:pt>
                <c:pt idx="2">
                  <c:v>1.4773000000000001</c:v>
                </c:pt>
                <c:pt idx="3">
                  <c:v>0</c:v>
                </c:pt>
                <c:pt idx="4">
                  <c:v>4.0973000000000006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AE-4E00-8957-D3CBB8C80C8A}"/>
            </c:ext>
          </c:extLst>
        </c:ser>
        <c:ser>
          <c:idx val="2"/>
          <c:order val="2"/>
          <c:tx>
            <c:strRef>
              <c:f>'Mar-22  '!$AL$10</c:f>
              <c:strCache>
                <c:ptCount val="1"/>
                <c:pt idx="0">
                  <c:v>28-Mar-2022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2.1468871687534059E-5"/>
                  <c:y val="8.37533563311537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AE-4E00-8957-D3CBB8C80C8A}"/>
                </c:ext>
              </c:extLst>
            </c:dLbl>
            <c:dLbl>
              <c:idx val="1"/>
              <c:layout>
                <c:manualLayout>
                  <c:x val="0"/>
                  <c:y val="-2.613735580232950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8AE-4E00-8957-D3CBB8C80C8A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AE-4E00-8957-D3CBB8C80C8A}"/>
                </c:ext>
              </c:extLst>
            </c:dLbl>
            <c:dLbl>
              <c:idx val="4"/>
              <c:layout>
                <c:manualLayout>
                  <c:x val="-1.8071384938163397E-4"/>
                  <c:y val="-2.461229933737243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8AE-4E00-8957-D3CBB8C80C8A}"/>
                </c:ext>
              </c:extLst>
            </c:dLbl>
            <c:dLbl>
              <c:idx val="5"/>
              <c:layout>
                <c:manualLayout>
                  <c:x val="0"/>
                  <c:y val="-1.74443291463711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8AE-4E00-8957-D3CBB8C80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'Mar-22  '!$AL$11:$AL$16</c:f>
              <c:numCache>
                <c:formatCode>#,##0.00</c:formatCode>
                <c:ptCount val="6"/>
                <c:pt idx="0">
                  <c:v>5.8639999999999999</c:v>
                </c:pt>
                <c:pt idx="1">
                  <c:v>0</c:v>
                </c:pt>
                <c:pt idx="2">
                  <c:v>3.0000000000000001E-3</c:v>
                </c:pt>
                <c:pt idx="3">
                  <c:v>0</c:v>
                </c:pt>
                <c:pt idx="4">
                  <c:v>5.867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8AE-4E00-8957-D3CBB8C80C8A}"/>
            </c:ext>
          </c:extLst>
        </c:ser>
        <c:ser>
          <c:idx val="3"/>
          <c:order val="3"/>
          <c:tx>
            <c:strRef>
              <c:f>'Mar-22  '!$AM$10</c:f>
              <c:strCache>
                <c:ptCount val="1"/>
                <c:pt idx="0">
                  <c:v>29-Mar-2022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22550572756084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8AE-4E00-8957-D3CBB8C80C8A}"/>
                </c:ext>
              </c:extLst>
            </c:dLbl>
            <c:dLbl>
              <c:idx val="1"/>
              <c:layout>
                <c:manualLayout>
                  <c:x val="-3.9679700787263952E-17"/>
                  <c:y val="-5.776908100454371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8AE-4E00-8957-D3CBB8C80C8A}"/>
                </c:ext>
              </c:extLst>
            </c:dLbl>
            <c:dLbl>
              <c:idx val="2"/>
              <c:layout>
                <c:manualLayout>
                  <c:x val="0"/>
                  <c:y val="-1.57778356505477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8AE-4E00-8957-D3CBB8C80C8A}"/>
                </c:ext>
              </c:extLst>
            </c:dLbl>
            <c:dLbl>
              <c:idx val="4"/>
              <c:layout>
                <c:manualLayout>
                  <c:x val="2.1263400965458859E-3"/>
                  <c:y val="9.697470770634224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8AE-4E00-8957-D3CBB8C80C8A}"/>
                </c:ext>
              </c:extLst>
            </c:dLbl>
            <c:dLbl>
              <c:idx val="5"/>
              <c:layout>
                <c:manualLayout>
                  <c:x val="-1.5475654635488098E-16"/>
                  <c:y val="-1.78060714210310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8AE-4E00-8957-D3CBB8C80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'Mar-22  '!$AM$11:$AM$16</c:f>
              <c:numCache>
                <c:formatCode>#,##0.00</c:formatCode>
                <c:ptCount val="6"/>
                <c:pt idx="0">
                  <c:v>14.375999999999999</c:v>
                </c:pt>
                <c:pt idx="1">
                  <c:v>10.329000000000001</c:v>
                </c:pt>
                <c:pt idx="2">
                  <c:v>3.0000000000000001E-3</c:v>
                </c:pt>
                <c:pt idx="3">
                  <c:v>0</c:v>
                </c:pt>
                <c:pt idx="4">
                  <c:v>24.707999999999998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8AE-4E00-8957-D3CBB8C80C8A}"/>
            </c:ext>
          </c:extLst>
        </c:ser>
        <c:ser>
          <c:idx val="4"/>
          <c:order val="4"/>
          <c:tx>
            <c:strRef>
              <c:f>'Mar-22  '!$AN$10</c:f>
              <c:strCache>
                <c:ptCount val="1"/>
                <c:pt idx="0">
                  <c:v>30-Mar-2022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9.9181758303582717E-4"/>
                  <c:y val="-3.64494936550976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8AE-4E00-8957-D3CBB8C80C8A}"/>
                </c:ext>
              </c:extLst>
            </c:dLbl>
            <c:dLbl>
              <c:idx val="1"/>
              <c:layout>
                <c:manualLayout>
                  <c:x val="7.1379627629434829E-5"/>
                  <c:y val="-3.9659666267753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8AE-4E00-8957-D3CBB8C80C8A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8AE-4E00-8957-D3CBB8C80C8A}"/>
                </c:ext>
              </c:extLst>
            </c:dLbl>
            <c:dLbl>
              <c:idx val="4"/>
              <c:layout>
                <c:manualLayout>
                  <c:x val="2.1242077368956298E-5"/>
                  <c:y val="6.102568196648590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8AE-4E00-8957-D3CBB8C80C8A}"/>
                </c:ext>
              </c:extLst>
            </c:dLbl>
            <c:dLbl>
              <c:idx val="5"/>
              <c:layout>
                <c:manualLayout>
                  <c:x val="-1.588019963952801E-16"/>
                  <c:y val="-2.006704648389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8AE-4E00-8957-D3CBB8C80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'Mar-22  '!$AN$11:$AN$16</c:f>
              <c:numCache>
                <c:formatCode>#,##0.00</c:formatCode>
                <c:ptCount val="6"/>
                <c:pt idx="0">
                  <c:v>14.638</c:v>
                </c:pt>
                <c:pt idx="1">
                  <c:v>11.715</c:v>
                </c:pt>
                <c:pt idx="2">
                  <c:v>3.0000000000000001E-3</c:v>
                </c:pt>
                <c:pt idx="3">
                  <c:v>0</c:v>
                </c:pt>
                <c:pt idx="4">
                  <c:v>26.356000000000002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8AE-4E00-8957-D3CBB8C80C8A}"/>
            </c:ext>
          </c:extLst>
        </c:ser>
        <c:ser>
          <c:idx val="5"/>
          <c:order val="5"/>
          <c:tx>
            <c:strRef>
              <c:f>'Mar-22  '!$AO$10</c:f>
              <c:strCache>
                <c:ptCount val="1"/>
                <c:pt idx="0">
                  <c:v>31-Mar-2022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0091398723628657E-4"/>
                  <c:y val="2.559588560729578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8AE-4E00-8957-D3CBB8C80C8A}"/>
                </c:ext>
              </c:extLst>
            </c:dLbl>
            <c:dLbl>
              <c:idx val="1"/>
              <c:layout>
                <c:manualLayout>
                  <c:x val="-9.0356924690816986E-5"/>
                  <c:y val="-4.990738985795484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8AE-4E00-8957-D3CBB8C80C8A}"/>
                </c:ext>
              </c:extLst>
            </c:dLbl>
            <c:dLbl>
              <c:idx val="2"/>
              <c:layout>
                <c:manualLayout>
                  <c:x val="0"/>
                  <c:y val="-1.3805606194229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8AE-4E00-8957-D3CBB8C80C8A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8AE-4E00-8957-D3CBB8C80C8A}"/>
                </c:ext>
              </c:extLst>
            </c:dLbl>
            <c:dLbl>
              <c:idx val="4"/>
              <c:layout>
                <c:manualLayout>
                  <c:x val="1.0631972106653347E-3"/>
                  <c:y val="-4.655004041506989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68AE-4E00-8957-D3CBB8C80C8A}"/>
                </c:ext>
              </c:extLst>
            </c:dLbl>
            <c:dLbl>
              <c:idx val="5"/>
              <c:layout>
                <c:manualLayout>
                  <c:x val="-1.588019963952801E-16"/>
                  <c:y val="7.84295090251224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68AE-4E00-8957-D3CBB8C80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'Mar-22  '!$AO$11:$AO$16</c:f>
              <c:numCache>
                <c:formatCode>#,##0.00</c:formatCode>
                <c:ptCount val="6"/>
                <c:pt idx="0">
                  <c:v>14.638</c:v>
                </c:pt>
                <c:pt idx="1">
                  <c:v>11.558</c:v>
                </c:pt>
                <c:pt idx="2">
                  <c:v>3.1560000000000001</c:v>
                </c:pt>
                <c:pt idx="3">
                  <c:v>0</c:v>
                </c:pt>
                <c:pt idx="4">
                  <c:v>29.351999999999997</c:v>
                </c:pt>
                <c:pt idx="5">
                  <c:v>0.54500000000000004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8AE-4E00-8957-D3CBB8C80C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91822968"/>
        <c:axId val="191821792"/>
      </c:barChart>
      <c:catAx>
        <c:axId val="1918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792"/>
        <c:crosses val="autoZero"/>
        <c:auto val="1"/>
        <c:lblAlgn val="ctr"/>
        <c:lblOffset val="100"/>
        <c:noMultiLvlLbl val="0"/>
      </c:catAx>
      <c:valAx>
        <c:axId val="19182179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4055191752345337E-2"/>
              <c:y val="0.25913091080463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296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059765481410556"/>
          <c:y val="0.94012527385880318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March 2022</a:t>
            </a:r>
          </a:p>
        </c:rich>
      </c:tx>
      <c:layout>
        <c:manualLayout>
          <c:xMode val="edge"/>
          <c:yMode val="edge"/>
          <c:x val="0.22298760840626958"/>
          <c:y val="2.1821898964775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0"/>
          <c:order val="0"/>
          <c:tx>
            <c:strRef>
              <c:f>'Mar-22 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'Mar-22  '!$B$5:$B$44</c15:sqref>
                  </c15:fullRef>
                </c:ext>
              </c:extLst>
              <c:f>'Mar-22  '!$B$8:$B$44</c:f>
              <c:numCache>
                <c:formatCode>d\-mmm\-yy</c:formatCode>
                <c:ptCount val="37"/>
                <c:pt idx="0">
                  <c:v>44623</c:v>
                </c:pt>
                <c:pt idx="1">
                  <c:v>44624</c:v>
                </c:pt>
                <c:pt idx="2">
                  <c:v>44625</c:v>
                </c:pt>
                <c:pt idx="3">
                  <c:v>44626</c:v>
                </c:pt>
                <c:pt idx="4">
                  <c:v>44627</c:v>
                </c:pt>
                <c:pt idx="5">
                  <c:v>44628</c:v>
                </c:pt>
                <c:pt idx="6">
                  <c:v>44629</c:v>
                </c:pt>
                <c:pt idx="7">
                  <c:v>44630</c:v>
                </c:pt>
                <c:pt idx="8">
                  <c:v>44631</c:v>
                </c:pt>
                <c:pt idx="9">
                  <c:v>44632</c:v>
                </c:pt>
                <c:pt idx="10">
                  <c:v>44633</c:v>
                </c:pt>
                <c:pt idx="11">
                  <c:v>44634</c:v>
                </c:pt>
                <c:pt idx="12">
                  <c:v>44635</c:v>
                </c:pt>
                <c:pt idx="13">
                  <c:v>44636</c:v>
                </c:pt>
                <c:pt idx="14">
                  <c:v>44637</c:v>
                </c:pt>
                <c:pt idx="15">
                  <c:v>44638</c:v>
                </c:pt>
                <c:pt idx="16">
                  <c:v>44639</c:v>
                </c:pt>
                <c:pt idx="17">
                  <c:v>44640</c:v>
                </c:pt>
                <c:pt idx="18">
                  <c:v>44641</c:v>
                </c:pt>
                <c:pt idx="19">
                  <c:v>44642</c:v>
                </c:pt>
                <c:pt idx="20">
                  <c:v>44643</c:v>
                </c:pt>
                <c:pt idx="21">
                  <c:v>44644</c:v>
                </c:pt>
                <c:pt idx="22">
                  <c:v>44645</c:v>
                </c:pt>
                <c:pt idx="23">
                  <c:v>44646</c:v>
                </c:pt>
                <c:pt idx="24">
                  <c:v>44647</c:v>
                </c:pt>
                <c:pt idx="25">
                  <c:v>44648</c:v>
                </c:pt>
                <c:pt idx="26">
                  <c:v>44649</c:v>
                </c:pt>
                <c:pt idx="27">
                  <c:v>44650</c:v>
                </c:pt>
                <c:pt idx="28">
                  <c:v>44651</c:v>
                </c:pt>
                <c:pt idx="29">
                  <c:v>44652</c:v>
                </c:pt>
                <c:pt idx="30">
                  <c:v>44653</c:v>
                </c:pt>
                <c:pt idx="31">
                  <c:v>44654</c:v>
                </c:pt>
                <c:pt idx="32">
                  <c:v>44655</c:v>
                </c:pt>
                <c:pt idx="33">
                  <c:v>44656</c:v>
                </c:pt>
                <c:pt idx="34">
                  <c:v>44657</c:v>
                </c:pt>
                <c:pt idx="35">
                  <c:v>44658</c:v>
                </c:pt>
                <c:pt idx="36">
                  <c:v>44659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'Mar-22  '!$I$5:$I$44</c15:sqref>
                  </c15:fullRef>
                </c:ext>
              </c:extLst>
              <c:f>'Mar-22  '!$I$8:$I$44</c:f>
              <c:numCache>
                <c:formatCode>#,##0.000</c:formatCode>
                <c:ptCount val="37"/>
                <c:pt idx="0">
                  <c:v>5.3159999999999998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6.7809999999999997</c:v>
                </c:pt>
                <c:pt idx="8">
                  <c:v>10.382999999999999</c:v>
                </c:pt>
                <c:pt idx="9">
                  <c:v>9.0570000000000004</c:v>
                </c:pt>
                <c:pt idx="10">
                  <c:v>10.39</c:v>
                </c:pt>
                <c:pt idx="11">
                  <c:v>11.96</c:v>
                </c:pt>
                <c:pt idx="12">
                  <c:v>12.739000000000001</c:v>
                </c:pt>
                <c:pt idx="13">
                  <c:v>12.877000000000001</c:v>
                </c:pt>
                <c:pt idx="14">
                  <c:v>12.948</c:v>
                </c:pt>
                <c:pt idx="15">
                  <c:v>13.007999999999999</c:v>
                </c:pt>
                <c:pt idx="16">
                  <c:v>12.798</c:v>
                </c:pt>
                <c:pt idx="17">
                  <c:v>13.125</c:v>
                </c:pt>
                <c:pt idx="18">
                  <c:v>8.1579999999999995</c:v>
                </c:pt>
                <c:pt idx="19">
                  <c:v>5.681</c:v>
                </c:pt>
                <c:pt idx="20">
                  <c:v>5.87</c:v>
                </c:pt>
                <c:pt idx="21">
                  <c:v>4.5380000000000003</c:v>
                </c:pt>
                <c:pt idx="22">
                  <c:v>3.7170000000000001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10.329000000000001</c:v>
                </c:pt>
                <c:pt idx="27">
                  <c:v>11.715</c:v>
                </c:pt>
                <c:pt idx="28">
                  <c:v>11.558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3-4CE6-A935-2ED2052F57A1}"/>
            </c:ext>
          </c:extLst>
        </c:ser>
        <c:ser>
          <c:idx val="1"/>
          <c:order val="1"/>
          <c:tx>
            <c:strRef>
              <c:f>'Mar-22  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'Mar-22  '!$B$5:$B$44</c15:sqref>
                  </c15:fullRef>
                </c:ext>
              </c:extLst>
              <c:f>'Mar-22  '!$B$8:$B$44</c:f>
              <c:numCache>
                <c:formatCode>d\-mmm\-yy</c:formatCode>
                <c:ptCount val="37"/>
                <c:pt idx="0">
                  <c:v>44623</c:v>
                </c:pt>
                <c:pt idx="1">
                  <c:v>44624</c:v>
                </c:pt>
                <c:pt idx="2">
                  <c:v>44625</c:v>
                </c:pt>
                <c:pt idx="3">
                  <c:v>44626</c:v>
                </c:pt>
                <c:pt idx="4">
                  <c:v>44627</c:v>
                </c:pt>
                <c:pt idx="5">
                  <c:v>44628</c:v>
                </c:pt>
                <c:pt idx="6">
                  <c:v>44629</c:v>
                </c:pt>
                <c:pt idx="7">
                  <c:v>44630</c:v>
                </c:pt>
                <c:pt idx="8">
                  <c:v>44631</c:v>
                </c:pt>
                <c:pt idx="9">
                  <c:v>44632</c:v>
                </c:pt>
                <c:pt idx="10">
                  <c:v>44633</c:v>
                </c:pt>
                <c:pt idx="11">
                  <c:v>44634</c:v>
                </c:pt>
                <c:pt idx="12">
                  <c:v>44635</c:v>
                </c:pt>
                <c:pt idx="13">
                  <c:v>44636</c:v>
                </c:pt>
                <c:pt idx="14">
                  <c:v>44637</c:v>
                </c:pt>
                <c:pt idx="15">
                  <c:v>44638</c:v>
                </c:pt>
                <c:pt idx="16">
                  <c:v>44639</c:v>
                </c:pt>
                <c:pt idx="17">
                  <c:v>44640</c:v>
                </c:pt>
                <c:pt idx="18">
                  <c:v>44641</c:v>
                </c:pt>
                <c:pt idx="19">
                  <c:v>44642</c:v>
                </c:pt>
                <c:pt idx="20">
                  <c:v>44643</c:v>
                </c:pt>
                <c:pt idx="21">
                  <c:v>44644</c:v>
                </c:pt>
                <c:pt idx="22">
                  <c:v>44645</c:v>
                </c:pt>
                <c:pt idx="23">
                  <c:v>44646</c:v>
                </c:pt>
                <c:pt idx="24">
                  <c:v>44647</c:v>
                </c:pt>
                <c:pt idx="25">
                  <c:v>44648</c:v>
                </c:pt>
                <c:pt idx="26">
                  <c:v>44649</c:v>
                </c:pt>
                <c:pt idx="27">
                  <c:v>44650</c:v>
                </c:pt>
                <c:pt idx="28">
                  <c:v>44651</c:v>
                </c:pt>
                <c:pt idx="29">
                  <c:v>44652</c:v>
                </c:pt>
                <c:pt idx="30">
                  <c:v>44653</c:v>
                </c:pt>
                <c:pt idx="31">
                  <c:v>44654</c:v>
                </c:pt>
                <c:pt idx="32">
                  <c:v>44655</c:v>
                </c:pt>
                <c:pt idx="33">
                  <c:v>44656</c:v>
                </c:pt>
                <c:pt idx="34">
                  <c:v>44657</c:v>
                </c:pt>
                <c:pt idx="35">
                  <c:v>44658</c:v>
                </c:pt>
                <c:pt idx="36">
                  <c:v>44659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'Mar-22  '!$M$5:$M$44</c15:sqref>
                  </c15:fullRef>
                </c:ext>
              </c:extLst>
              <c:f>'Mar-22  '!$M$8:$M$44</c:f>
              <c:numCache>
                <c:formatCode>#,##0.000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4.6100000000000003</c:v>
                </c:pt>
                <c:pt idx="12">
                  <c:v>6.524</c:v>
                </c:pt>
                <c:pt idx="13">
                  <c:v>5.0460000000000003</c:v>
                </c:pt>
                <c:pt idx="14">
                  <c:v>0.42599999999999999</c:v>
                </c:pt>
                <c:pt idx="15">
                  <c:v>0.57699999999999996</c:v>
                </c:pt>
                <c:pt idx="16">
                  <c:v>1.89</c:v>
                </c:pt>
                <c:pt idx="17">
                  <c:v>1.3680000000000001</c:v>
                </c:pt>
                <c:pt idx="18">
                  <c:v>0.11700000000000001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0.54500000000000004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3-4CE6-A935-2ED2052F57A1}"/>
            </c:ext>
          </c:extLst>
        </c:ser>
        <c:ser>
          <c:idx val="2"/>
          <c:order val="2"/>
          <c:tx>
            <c:strRef>
              <c:f>'Mar-22  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'Mar-22  '!$B$5:$B$44</c15:sqref>
                  </c15:fullRef>
                </c:ext>
              </c:extLst>
              <c:f>'Mar-22  '!$B$8:$B$44</c:f>
              <c:numCache>
                <c:formatCode>d\-mmm\-yy</c:formatCode>
                <c:ptCount val="37"/>
                <c:pt idx="0">
                  <c:v>44623</c:v>
                </c:pt>
                <c:pt idx="1">
                  <c:v>44624</c:v>
                </c:pt>
                <c:pt idx="2">
                  <c:v>44625</c:v>
                </c:pt>
                <c:pt idx="3">
                  <c:v>44626</c:v>
                </c:pt>
                <c:pt idx="4">
                  <c:v>44627</c:v>
                </c:pt>
                <c:pt idx="5">
                  <c:v>44628</c:v>
                </c:pt>
                <c:pt idx="6">
                  <c:v>44629</c:v>
                </c:pt>
                <c:pt idx="7">
                  <c:v>44630</c:v>
                </c:pt>
                <c:pt idx="8">
                  <c:v>44631</c:v>
                </c:pt>
                <c:pt idx="9">
                  <c:v>44632</c:v>
                </c:pt>
                <c:pt idx="10">
                  <c:v>44633</c:v>
                </c:pt>
                <c:pt idx="11">
                  <c:v>44634</c:v>
                </c:pt>
                <c:pt idx="12">
                  <c:v>44635</c:v>
                </c:pt>
                <c:pt idx="13">
                  <c:v>44636</c:v>
                </c:pt>
                <c:pt idx="14">
                  <c:v>44637</c:v>
                </c:pt>
                <c:pt idx="15">
                  <c:v>44638</c:v>
                </c:pt>
                <c:pt idx="16">
                  <c:v>44639</c:v>
                </c:pt>
                <c:pt idx="17">
                  <c:v>44640</c:v>
                </c:pt>
                <c:pt idx="18">
                  <c:v>44641</c:v>
                </c:pt>
                <c:pt idx="19">
                  <c:v>44642</c:v>
                </c:pt>
                <c:pt idx="20">
                  <c:v>44643</c:v>
                </c:pt>
                <c:pt idx="21">
                  <c:v>44644</c:v>
                </c:pt>
                <c:pt idx="22">
                  <c:v>44645</c:v>
                </c:pt>
                <c:pt idx="23">
                  <c:v>44646</c:v>
                </c:pt>
                <c:pt idx="24">
                  <c:v>44647</c:v>
                </c:pt>
                <c:pt idx="25">
                  <c:v>44648</c:v>
                </c:pt>
                <c:pt idx="26">
                  <c:v>44649</c:v>
                </c:pt>
                <c:pt idx="27">
                  <c:v>44650</c:v>
                </c:pt>
                <c:pt idx="28">
                  <c:v>44651</c:v>
                </c:pt>
                <c:pt idx="29">
                  <c:v>44652</c:v>
                </c:pt>
                <c:pt idx="30">
                  <c:v>44653</c:v>
                </c:pt>
                <c:pt idx="31">
                  <c:v>44654</c:v>
                </c:pt>
                <c:pt idx="32">
                  <c:v>44655</c:v>
                </c:pt>
                <c:pt idx="33">
                  <c:v>44656</c:v>
                </c:pt>
                <c:pt idx="34">
                  <c:v>44657</c:v>
                </c:pt>
                <c:pt idx="35">
                  <c:v>44658</c:v>
                </c:pt>
                <c:pt idx="36">
                  <c:v>44659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'Mar-22  '!$S$5:$S$44</c15:sqref>
                  </c15:fullRef>
                </c:ext>
              </c:extLst>
              <c:f>'Mar-22  '!$S$8:$S$44</c:f>
              <c:numCache>
                <c:formatCode>#,##0.00</c:formatCode>
                <c:ptCount val="37"/>
                <c:pt idx="0">
                  <c:v>7.15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7.06</c:v>
                </c:pt>
                <c:pt idx="8">
                  <c:v>15.01</c:v>
                </c:pt>
                <c:pt idx="9">
                  <c:v>15.88</c:v>
                </c:pt>
                <c:pt idx="10">
                  <c:v>21.17</c:v>
                </c:pt>
                <c:pt idx="11">
                  <c:v>25.87</c:v>
                </c:pt>
                <c:pt idx="12">
                  <c:v>26.85</c:v>
                </c:pt>
                <c:pt idx="13">
                  <c:v>29.02</c:v>
                </c:pt>
                <c:pt idx="14">
                  <c:v>29.02</c:v>
                </c:pt>
                <c:pt idx="15">
                  <c:v>29.51</c:v>
                </c:pt>
                <c:pt idx="16">
                  <c:v>29.51</c:v>
                </c:pt>
                <c:pt idx="17">
                  <c:v>30.14</c:v>
                </c:pt>
                <c:pt idx="18">
                  <c:v>20.57</c:v>
                </c:pt>
                <c:pt idx="19">
                  <c:v>9.91</c:v>
                </c:pt>
                <c:pt idx="20">
                  <c:v>9.91</c:v>
                </c:pt>
                <c:pt idx="21">
                  <c:v>9.91</c:v>
                </c:pt>
                <c:pt idx="22">
                  <c:v>8.48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21.47</c:v>
                </c:pt>
                <c:pt idx="27">
                  <c:v>29.51</c:v>
                </c:pt>
                <c:pt idx="28">
                  <c:v>23.26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3-4CE6-A935-2ED2052F57A1}"/>
            </c:ext>
          </c:extLst>
        </c:ser>
        <c:ser>
          <c:idx val="3"/>
          <c:order val="3"/>
          <c:tx>
            <c:strRef>
              <c:f>'Mar-22  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'Mar-22  '!$B$5:$B$44</c15:sqref>
                  </c15:fullRef>
                </c:ext>
              </c:extLst>
              <c:f>'Mar-22  '!$B$8:$B$44</c:f>
              <c:numCache>
                <c:formatCode>d\-mmm\-yy</c:formatCode>
                <c:ptCount val="37"/>
                <c:pt idx="0">
                  <c:v>44623</c:v>
                </c:pt>
                <c:pt idx="1">
                  <c:v>44624</c:v>
                </c:pt>
                <c:pt idx="2">
                  <c:v>44625</c:v>
                </c:pt>
                <c:pt idx="3">
                  <c:v>44626</c:v>
                </c:pt>
                <c:pt idx="4">
                  <c:v>44627</c:v>
                </c:pt>
                <c:pt idx="5">
                  <c:v>44628</c:v>
                </c:pt>
                <c:pt idx="6">
                  <c:v>44629</c:v>
                </c:pt>
                <c:pt idx="7">
                  <c:v>44630</c:v>
                </c:pt>
                <c:pt idx="8">
                  <c:v>44631</c:v>
                </c:pt>
                <c:pt idx="9">
                  <c:v>44632</c:v>
                </c:pt>
                <c:pt idx="10">
                  <c:v>44633</c:v>
                </c:pt>
                <c:pt idx="11">
                  <c:v>44634</c:v>
                </c:pt>
                <c:pt idx="12">
                  <c:v>44635</c:v>
                </c:pt>
                <c:pt idx="13">
                  <c:v>44636</c:v>
                </c:pt>
                <c:pt idx="14">
                  <c:v>44637</c:v>
                </c:pt>
                <c:pt idx="15">
                  <c:v>44638</c:v>
                </c:pt>
                <c:pt idx="16">
                  <c:v>44639</c:v>
                </c:pt>
                <c:pt idx="17">
                  <c:v>44640</c:v>
                </c:pt>
                <c:pt idx="18">
                  <c:v>44641</c:v>
                </c:pt>
                <c:pt idx="19">
                  <c:v>44642</c:v>
                </c:pt>
                <c:pt idx="20">
                  <c:v>44643</c:v>
                </c:pt>
                <c:pt idx="21">
                  <c:v>44644</c:v>
                </c:pt>
                <c:pt idx="22">
                  <c:v>44645</c:v>
                </c:pt>
                <c:pt idx="23">
                  <c:v>44646</c:v>
                </c:pt>
                <c:pt idx="24">
                  <c:v>44647</c:v>
                </c:pt>
                <c:pt idx="25">
                  <c:v>44648</c:v>
                </c:pt>
                <c:pt idx="26">
                  <c:v>44649</c:v>
                </c:pt>
                <c:pt idx="27">
                  <c:v>44650</c:v>
                </c:pt>
                <c:pt idx="28">
                  <c:v>44651</c:v>
                </c:pt>
                <c:pt idx="29">
                  <c:v>44652</c:v>
                </c:pt>
                <c:pt idx="30">
                  <c:v>44653</c:v>
                </c:pt>
                <c:pt idx="31">
                  <c:v>44654</c:v>
                </c:pt>
                <c:pt idx="32">
                  <c:v>44655</c:v>
                </c:pt>
                <c:pt idx="33">
                  <c:v>44656</c:v>
                </c:pt>
                <c:pt idx="34">
                  <c:v>44657</c:v>
                </c:pt>
                <c:pt idx="35">
                  <c:v>44658</c:v>
                </c:pt>
                <c:pt idx="36">
                  <c:v>44659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'Mar-22  '!$AA$5:$AA$44</c15:sqref>
                  </c15:fullRef>
                </c:ext>
              </c:extLst>
              <c:f>'Mar-22  '!$AA$8:$AA$44</c:f>
              <c:numCache>
                <c:formatCode>#,##0.00</c:formatCode>
                <c:ptCount val="37"/>
                <c:pt idx="0">
                  <c:v>7.15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7.06</c:v>
                </c:pt>
                <c:pt idx="8">
                  <c:v>15.01</c:v>
                </c:pt>
                <c:pt idx="9">
                  <c:v>15.88</c:v>
                </c:pt>
                <c:pt idx="10">
                  <c:v>21.17</c:v>
                </c:pt>
                <c:pt idx="11">
                  <c:v>21.26</c:v>
                </c:pt>
                <c:pt idx="12">
                  <c:v>20.326000000000001</c:v>
                </c:pt>
                <c:pt idx="13">
                  <c:v>23.974</c:v>
                </c:pt>
                <c:pt idx="14">
                  <c:v>28.594000000000001</c:v>
                </c:pt>
                <c:pt idx="15">
                  <c:v>28.933</c:v>
                </c:pt>
                <c:pt idx="16">
                  <c:v>27.62</c:v>
                </c:pt>
                <c:pt idx="17">
                  <c:v>28.772000000000002</c:v>
                </c:pt>
                <c:pt idx="18">
                  <c:v>20.452999999999999</c:v>
                </c:pt>
                <c:pt idx="19">
                  <c:v>9.91</c:v>
                </c:pt>
                <c:pt idx="20">
                  <c:v>9.91</c:v>
                </c:pt>
                <c:pt idx="21">
                  <c:v>9.91</c:v>
                </c:pt>
                <c:pt idx="22">
                  <c:v>8.48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21.47</c:v>
                </c:pt>
                <c:pt idx="27">
                  <c:v>29.51</c:v>
                </c:pt>
                <c:pt idx="28">
                  <c:v>22.715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3-4CE6-A935-2ED2052F5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1400"/>
        <c:axId val="191823360"/>
      </c:lineChart>
      <c:dateAx>
        <c:axId val="191821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3360"/>
        <c:crosses val="autoZero"/>
        <c:auto val="1"/>
        <c:lblOffset val="100"/>
        <c:baseTimeUnit val="days"/>
      </c:dateAx>
      <c:valAx>
        <c:axId val="1918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400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7237648707612685"/>
          <c:h val="4.1064016354188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March 2022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0"/>
          <c:order val="0"/>
          <c:tx>
            <c:strRef>
              <c:f>'Mar-22  '!$G$4</c:f>
              <c:strCache>
                <c:ptCount val="1"/>
                <c:pt idx="0">
                  <c:v>Feb 22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'Mar-22  '!$B$5:$B$44</c:f>
              <c:numCache>
                <c:formatCode>d\-mmm\-yy</c:formatCode>
                <c:ptCount val="40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44624</c:v>
                </c:pt>
                <c:pt idx="5">
                  <c:v>44625</c:v>
                </c:pt>
                <c:pt idx="6">
                  <c:v>44626</c:v>
                </c:pt>
                <c:pt idx="7">
                  <c:v>44627</c:v>
                </c:pt>
                <c:pt idx="8">
                  <c:v>44628</c:v>
                </c:pt>
                <c:pt idx="9">
                  <c:v>44629</c:v>
                </c:pt>
                <c:pt idx="10">
                  <c:v>44630</c:v>
                </c:pt>
                <c:pt idx="11">
                  <c:v>44631</c:v>
                </c:pt>
                <c:pt idx="12">
                  <c:v>44632</c:v>
                </c:pt>
                <c:pt idx="13">
                  <c:v>44633</c:v>
                </c:pt>
                <c:pt idx="14">
                  <c:v>44634</c:v>
                </c:pt>
                <c:pt idx="15">
                  <c:v>44635</c:v>
                </c:pt>
                <c:pt idx="16">
                  <c:v>44636</c:v>
                </c:pt>
                <c:pt idx="17">
                  <c:v>44637</c:v>
                </c:pt>
                <c:pt idx="18">
                  <c:v>44638</c:v>
                </c:pt>
                <c:pt idx="19">
                  <c:v>44639</c:v>
                </c:pt>
                <c:pt idx="20">
                  <c:v>44640</c:v>
                </c:pt>
                <c:pt idx="21">
                  <c:v>44641</c:v>
                </c:pt>
                <c:pt idx="22">
                  <c:v>44642</c:v>
                </c:pt>
                <c:pt idx="23">
                  <c:v>44643</c:v>
                </c:pt>
                <c:pt idx="24">
                  <c:v>44644</c:v>
                </c:pt>
                <c:pt idx="25">
                  <c:v>44645</c:v>
                </c:pt>
                <c:pt idx="26">
                  <c:v>44646</c:v>
                </c:pt>
                <c:pt idx="27">
                  <c:v>44647</c:v>
                </c:pt>
                <c:pt idx="28">
                  <c:v>44648</c:v>
                </c:pt>
                <c:pt idx="29">
                  <c:v>44649</c:v>
                </c:pt>
                <c:pt idx="30">
                  <c:v>44650</c:v>
                </c:pt>
                <c:pt idx="31">
                  <c:v>44651</c:v>
                </c:pt>
                <c:pt idx="32">
                  <c:v>44652</c:v>
                </c:pt>
                <c:pt idx="33">
                  <c:v>44653</c:v>
                </c:pt>
                <c:pt idx="34">
                  <c:v>44654</c:v>
                </c:pt>
                <c:pt idx="35">
                  <c:v>44655</c:v>
                </c:pt>
                <c:pt idx="36">
                  <c:v>44656</c:v>
                </c:pt>
                <c:pt idx="37">
                  <c:v>44657</c:v>
                </c:pt>
                <c:pt idx="38">
                  <c:v>44658</c:v>
                </c:pt>
                <c:pt idx="39">
                  <c:v>44659</c:v>
                </c:pt>
              </c:numCache>
            </c:numRef>
          </c:cat>
          <c:val>
            <c:numRef>
              <c:f>'Mar-22  '!$G$5:$G$44</c:f>
              <c:numCache>
                <c:formatCode>#,##0.000</c:formatCode>
                <c:ptCount val="40"/>
                <c:pt idx="0">
                  <c:v>44.419999999999995</c:v>
                </c:pt>
                <c:pt idx="1">
                  <c:v>44.419999999999995</c:v>
                </c:pt>
                <c:pt idx="2">
                  <c:v>44.419999999999995</c:v>
                </c:pt>
                <c:pt idx="3">
                  <c:v>44.419999999999995</c:v>
                </c:pt>
                <c:pt idx="4">
                  <c:v>44.419999999999995</c:v>
                </c:pt>
                <c:pt idx="5">
                  <c:v>44.419999999999995</c:v>
                </c:pt>
                <c:pt idx="6">
                  <c:v>44.419999999999995</c:v>
                </c:pt>
                <c:pt idx="7">
                  <c:v>44.419999999999995</c:v>
                </c:pt>
                <c:pt idx="8">
                  <c:v>44.419999999999995</c:v>
                </c:pt>
                <c:pt idx="9">
                  <c:v>44.419999999999995</c:v>
                </c:pt>
                <c:pt idx="10">
                  <c:v>44.419999999999995</c:v>
                </c:pt>
                <c:pt idx="11">
                  <c:v>44.419999999999995</c:v>
                </c:pt>
                <c:pt idx="12">
                  <c:v>44.419999999999995</c:v>
                </c:pt>
                <c:pt idx="13">
                  <c:v>44.419999999999995</c:v>
                </c:pt>
                <c:pt idx="14">
                  <c:v>44.419999999999995</c:v>
                </c:pt>
                <c:pt idx="15">
                  <c:v>44.419999999999995</c:v>
                </c:pt>
                <c:pt idx="16">
                  <c:v>44.419999999999995</c:v>
                </c:pt>
                <c:pt idx="17">
                  <c:v>44.419999999999995</c:v>
                </c:pt>
                <c:pt idx="18">
                  <c:v>44.419999999999995</c:v>
                </c:pt>
                <c:pt idx="19">
                  <c:v>44.419999999999995</c:v>
                </c:pt>
                <c:pt idx="20">
                  <c:v>44.419999999999995</c:v>
                </c:pt>
                <c:pt idx="21">
                  <c:v>44.419999999999995</c:v>
                </c:pt>
                <c:pt idx="22">
                  <c:v>44.419999999999995</c:v>
                </c:pt>
                <c:pt idx="23">
                  <c:v>44.419999999999995</c:v>
                </c:pt>
                <c:pt idx="24">
                  <c:v>44.419999999999995</c:v>
                </c:pt>
                <c:pt idx="25">
                  <c:v>44.419999999999995</c:v>
                </c:pt>
                <c:pt idx="26">
                  <c:v>44.419999999999995</c:v>
                </c:pt>
                <c:pt idx="27">
                  <c:v>44.419999999999995</c:v>
                </c:pt>
                <c:pt idx="28">
                  <c:v>44.419999999999995</c:v>
                </c:pt>
                <c:pt idx="29">
                  <c:v>44.419999999999995</c:v>
                </c:pt>
                <c:pt idx="30">
                  <c:v>44.419999999999995</c:v>
                </c:pt>
                <c:pt idx="31">
                  <c:v>44.419999999999995</c:v>
                </c:pt>
                <c:pt idx="32">
                  <c:v>44.419999999999995</c:v>
                </c:pt>
                <c:pt idx="33">
                  <c:v>44.419999999999995</c:v>
                </c:pt>
                <c:pt idx="34">
                  <c:v>44.419999999999995</c:v>
                </c:pt>
                <c:pt idx="35">
                  <c:v>44.419999999999995</c:v>
                </c:pt>
                <c:pt idx="36">
                  <c:v>44.419999999999995</c:v>
                </c:pt>
                <c:pt idx="37">
                  <c:v>44.419999999999995</c:v>
                </c:pt>
                <c:pt idx="38">
                  <c:v>44.419999999999995</c:v>
                </c:pt>
                <c:pt idx="39">
                  <c:v>44.419999999999995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5-405D-A1CA-F5298DDD6DB1}"/>
            </c:ext>
          </c:extLst>
        </c:ser>
        <c:ser>
          <c:idx val="1"/>
          <c:order val="1"/>
          <c:tx>
            <c:strRef>
              <c:f>'Mar-22  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'Mar-22  '!$B$5:$B$44</c:f>
              <c:numCache>
                <c:formatCode>d\-mmm\-yy</c:formatCode>
                <c:ptCount val="40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44624</c:v>
                </c:pt>
                <c:pt idx="5">
                  <c:v>44625</c:v>
                </c:pt>
                <c:pt idx="6">
                  <c:v>44626</c:v>
                </c:pt>
                <c:pt idx="7">
                  <c:v>44627</c:v>
                </c:pt>
                <c:pt idx="8">
                  <c:v>44628</c:v>
                </c:pt>
                <c:pt idx="9">
                  <c:v>44629</c:v>
                </c:pt>
                <c:pt idx="10">
                  <c:v>44630</c:v>
                </c:pt>
                <c:pt idx="11">
                  <c:v>44631</c:v>
                </c:pt>
                <c:pt idx="12">
                  <c:v>44632</c:v>
                </c:pt>
                <c:pt idx="13">
                  <c:v>44633</c:v>
                </c:pt>
                <c:pt idx="14">
                  <c:v>44634</c:v>
                </c:pt>
                <c:pt idx="15">
                  <c:v>44635</c:v>
                </c:pt>
                <c:pt idx="16">
                  <c:v>44636</c:v>
                </c:pt>
                <c:pt idx="17">
                  <c:v>44637</c:v>
                </c:pt>
                <c:pt idx="18">
                  <c:v>44638</c:v>
                </c:pt>
                <c:pt idx="19">
                  <c:v>44639</c:v>
                </c:pt>
                <c:pt idx="20">
                  <c:v>44640</c:v>
                </c:pt>
                <c:pt idx="21">
                  <c:v>44641</c:v>
                </c:pt>
                <c:pt idx="22">
                  <c:v>44642</c:v>
                </c:pt>
                <c:pt idx="23">
                  <c:v>44643</c:v>
                </c:pt>
                <c:pt idx="24">
                  <c:v>44644</c:v>
                </c:pt>
                <c:pt idx="25">
                  <c:v>44645</c:v>
                </c:pt>
                <c:pt idx="26">
                  <c:v>44646</c:v>
                </c:pt>
                <c:pt idx="27">
                  <c:v>44647</c:v>
                </c:pt>
                <c:pt idx="28">
                  <c:v>44648</c:v>
                </c:pt>
                <c:pt idx="29">
                  <c:v>44649</c:v>
                </c:pt>
                <c:pt idx="30">
                  <c:v>44650</c:v>
                </c:pt>
                <c:pt idx="31">
                  <c:v>44651</c:v>
                </c:pt>
                <c:pt idx="32">
                  <c:v>44652</c:v>
                </c:pt>
                <c:pt idx="33">
                  <c:v>44653</c:v>
                </c:pt>
                <c:pt idx="34">
                  <c:v>44654</c:v>
                </c:pt>
                <c:pt idx="35">
                  <c:v>44655</c:v>
                </c:pt>
                <c:pt idx="36">
                  <c:v>44656</c:v>
                </c:pt>
                <c:pt idx="37">
                  <c:v>44657</c:v>
                </c:pt>
                <c:pt idx="38">
                  <c:v>44658</c:v>
                </c:pt>
                <c:pt idx="39">
                  <c:v>44659</c:v>
                </c:pt>
              </c:numCache>
            </c:numRef>
          </c:cat>
          <c:val>
            <c:numRef>
              <c:f>'Mar-22  '!$H$5:$H$44</c:f>
              <c:numCache>
                <c:formatCode>#,##0.000</c:formatCode>
                <c:ptCount val="40"/>
                <c:pt idx="0">
                  <c:v>7.6029999999999998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8.4139999999999997</c:v>
                </c:pt>
                <c:pt idx="6">
                  <c:v>16.77</c:v>
                </c:pt>
                <c:pt idx="7">
                  <c:v>15.769</c:v>
                </c:pt>
                <c:pt idx="8">
                  <c:v>17.271000000000001</c:v>
                </c:pt>
                <c:pt idx="9">
                  <c:v>15.414999999999999</c:v>
                </c:pt>
                <c:pt idx="10">
                  <c:v>16.54955</c:v>
                </c:pt>
                <c:pt idx="11">
                  <c:v>0.41827999999999999</c:v>
                </c:pt>
                <c:pt idx="12">
                  <c:v>0</c:v>
                </c:pt>
                <c:pt idx="13">
                  <c:v>0</c:v>
                </c:pt>
                <c:pt idx="14">
                  <c:v>16.43</c:v>
                </c:pt>
                <c:pt idx="15">
                  <c:v>17.753</c:v>
                </c:pt>
                <c:pt idx="16">
                  <c:v>18.02</c:v>
                </c:pt>
                <c:pt idx="17">
                  <c:v>17.396999999999998</c:v>
                </c:pt>
                <c:pt idx="18">
                  <c:v>17.373999999999999</c:v>
                </c:pt>
                <c:pt idx="19">
                  <c:v>17.241</c:v>
                </c:pt>
                <c:pt idx="20">
                  <c:v>16.952999999999999</c:v>
                </c:pt>
                <c:pt idx="21">
                  <c:v>11.93</c:v>
                </c:pt>
                <c:pt idx="22">
                  <c:v>5.3090000000000002</c:v>
                </c:pt>
                <c:pt idx="23">
                  <c:v>4.5129999999999999</c:v>
                </c:pt>
                <c:pt idx="24">
                  <c:v>4.72</c:v>
                </c:pt>
                <c:pt idx="25">
                  <c:v>3.6949999999999998</c:v>
                </c:pt>
                <c:pt idx="26">
                  <c:v>2.827</c:v>
                </c:pt>
                <c:pt idx="27">
                  <c:v>2.62</c:v>
                </c:pt>
                <c:pt idx="28">
                  <c:v>5.8639999999999999</c:v>
                </c:pt>
                <c:pt idx="29">
                  <c:v>14.375999999999999</c:v>
                </c:pt>
                <c:pt idx="30">
                  <c:v>14.638</c:v>
                </c:pt>
                <c:pt idx="31">
                  <c:v>14.638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5-405D-A1CA-F5298DDD6DB1}"/>
            </c:ext>
          </c:extLst>
        </c:ser>
        <c:ser>
          <c:idx val="2"/>
          <c:order val="2"/>
          <c:tx>
            <c:strRef>
              <c:f>'Mar-22 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'Mar-22  '!$B$5:$B$44</c:f>
              <c:numCache>
                <c:formatCode>d\-mmm\-yy</c:formatCode>
                <c:ptCount val="40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44624</c:v>
                </c:pt>
                <c:pt idx="5">
                  <c:v>44625</c:v>
                </c:pt>
                <c:pt idx="6">
                  <c:v>44626</c:v>
                </c:pt>
                <c:pt idx="7">
                  <c:v>44627</c:v>
                </c:pt>
                <c:pt idx="8">
                  <c:v>44628</c:v>
                </c:pt>
                <c:pt idx="9">
                  <c:v>44629</c:v>
                </c:pt>
                <c:pt idx="10">
                  <c:v>44630</c:v>
                </c:pt>
                <c:pt idx="11">
                  <c:v>44631</c:v>
                </c:pt>
                <c:pt idx="12">
                  <c:v>44632</c:v>
                </c:pt>
                <c:pt idx="13">
                  <c:v>44633</c:v>
                </c:pt>
                <c:pt idx="14">
                  <c:v>44634</c:v>
                </c:pt>
                <c:pt idx="15">
                  <c:v>44635</c:v>
                </c:pt>
                <c:pt idx="16">
                  <c:v>44636</c:v>
                </c:pt>
                <c:pt idx="17">
                  <c:v>44637</c:v>
                </c:pt>
                <c:pt idx="18">
                  <c:v>44638</c:v>
                </c:pt>
                <c:pt idx="19">
                  <c:v>44639</c:v>
                </c:pt>
                <c:pt idx="20">
                  <c:v>44640</c:v>
                </c:pt>
                <c:pt idx="21">
                  <c:v>44641</c:v>
                </c:pt>
                <c:pt idx="22">
                  <c:v>44642</c:v>
                </c:pt>
                <c:pt idx="23">
                  <c:v>44643</c:v>
                </c:pt>
                <c:pt idx="24">
                  <c:v>44644</c:v>
                </c:pt>
                <c:pt idx="25">
                  <c:v>44645</c:v>
                </c:pt>
                <c:pt idx="26">
                  <c:v>44646</c:v>
                </c:pt>
                <c:pt idx="27">
                  <c:v>44647</c:v>
                </c:pt>
                <c:pt idx="28">
                  <c:v>44648</c:v>
                </c:pt>
                <c:pt idx="29">
                  <c:v>44649</c:v>
                </c:pt>
                <c:pt idx="30">
                  <c:v>44650</c:v>
                </c:pt>
                <c:pt idx="31">
                  <c:v>44651</c:v>
                </c:pt>
                <c:pt idx="32">
                  <c:v>44652</c:v>
                </c:pt>
                <c:pt idx="33">
                  <c:v>44653</c:v>
                </c:pt>
                <c:pt idx="34">
                  <c:v>44654</c:v>
                </c:pt>
                <c:pt idx="35">
                  <c:v>44655</c:v>
                </c:pt>
                <c:pt idx="36">
                  <c:v>44656</c:v>
                </c:pt>
                <c:pt idx="37">
                  <c:v>44657</c:v>
                </c:pt>
                <c:pt idx="38">
                  <c:v>44658</c:v>
                </c:pt>
                <c:pt idx="39">
                  <c:v>44659</c:v>
                </c:pt>
              </c:numCache>
            </c:numRef>
          </c:cat>
          <c:val>
            <c:numRef>
              <c:f>'Mar-22  '!$I$5:$I$44</c:f>
              <c:numCache>
                <c:formatCode>#,##0.000</c:formatCode>
                <c:ptCount val="40"/>
                <c:pt idx="0">
                  <c:v>9.1620000000000008</c:v>
                </c:pt>
                <c:pt idx="1">
                  <c:v>9.1159999999999997</c:v>
                </c:pt>
                <c:pt idx="2">
                  <c:v>9.1159999999999997</c:v>
                </c:pt>
                <c:pt idx="3">
                  <c:v>5.3159999999999998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6.7809999999999997</c:v>
                </c:pt>
                <c:pt idx="11">
                  <c:v>10.382999999999999</c:v>
                </c:pt>
                <c:pt idx="12">
                  <c:v>9.0570000000000004</c:v>
                </c:pt>
                <c:pt idx="13">
                  <c:v>10.39</c:v>
                </c:pt>
                <c:pt idx="14">
                  <c:v>11.96</c:v>
                </c:pt>
                <c:pt idx="15">
                  <c:v>12.739000000000001</c:v>
                </c:pt>
                <c:pt idx="16">
                  <c:v>12.877000000000001</c:v>
                </c:pt>
                <c:pt idx="17">
                  <c:v>12.948</c:v>
                </c:pt>
                <c:pt idx="18">
                  <c:v>13.007999999999999</c:v>
                </c:pt>
                <c:pt idx="19">
                  <c:v>12.798</c:v>
                </c:pt>
                <c:pt idx="20">
                  <c:v>13.125</c:v>
                </c:pt>
                <c:pt idx="21">
                  <c:v>8.1579999999999995</c:v>
                </c:pt>
                <c:pt idx="22">
                  <c:v>5.681</c:v>
                </c:pt>
                <c:pt idx="23">
                  <c:v>5.87</c:v>
                </c:pt>
                <c:pt idx="24">
                  <c:v>4.5380000000000003</c:v>
                </c:pt>
                <c:pt idx="25">
                  <c:v>3.7170000000000001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10.329000000000001</c:v>
                </c:pt>
                <c:pt idx="30">
                  <c:v>11.715</c:v>
                </c:pt>
                <c:pt idx="31">
                  <c:v>11.558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35-405D-A1CA-F5298DDD6DB1}"/>
            </c:ext>
          </c:extLst>
        </c:ser>
        <c:ser>
          <c:idx val="3"/>
          <c:order val="3"/>
          <c:tx>
            <c:strRef>
              <c:f>'Mar-22  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810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7030A0"/>
              </a:solidFill>
              <a:ln w="9525">
                <a:solidFill>
                  <a:srgbClr val="7030A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'Mar-22  '!$B$5:$B$44</c:f>
              <c:numCache>
                <c:formatCode>d\-mmm\-yy</c:formatCode>
                <c:ptCount val="40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44624</c:v>
                </c:pt>
                <c:pt idx="5">
                  <c:v>44625</c:v>
                </c:pt>
                <c:pt idx="6">
                  <c:v>44626</c:v>
                </c:pt>
                <c:pt idx="7">
                  <c:v>44627</c:v>
                </c:pt>
                <c:pt idx="8">
                  <c:v>44628</c:v>
                </c:pt>
                <c:pt idx="9">
                  <c:v>44629</c:v>
                </c:pt>
                <c:pt idx="10">
                  <c:v>44630</c:v>
                </c:pt>
                <c:pt idx="11">
                  <c:v>44631</c:v>
                </c:pt>
                <c:pt idx="12">
                  <c:v>44632</c:v>
                </c:pt>
                <c:pt idx="13">
                  <c:v>44633</c:v>
                </c:pt>
                <c:pt idx="14">
                  <c:v>44634</c:v>
                </c:pt>
                <c:pt idx="15">
                  <c:v>44635</c:v>
                </c:pt>
                <c:pt idx="16">
                  <c:v>44636</c:v>
                </c:pt>
                <c:pt idx="17">
                  <c:v>44637</c:v>
                </c:pt>
                <c:pt idx="18">
                  <c:v>44638</c:v>
                </c:pt>
                <c:pt idx="19">
                  <c:v>44639</c:v>
                </c:pt>
                <c:pt idx="20">
                  <c:v>44640</c:v>
                </c:pt>
                <c:pt idx="21">
                  <c:v>44641</c:v>
                </c:pt>
                <c:pt idx="22">
                  <c:v>44642</c:v>
                </c:pt>
                <c:pt idx="23">
                  <c:v>44643</c:v>
                </c:pt>
                <c:pt idx="24">
                  <c:v>44644</c:v>
                </c:pt>
                <c:pt idx="25">
                  <c:v>44645</c:v>
                </c:pt>
                <c:pt idx="26">
                  <c:v>44646</c:v>
                </c:pt>
                <c:pt idx="27">
                  <c:v>44647</c:v>
                </c:pt>
                <c:pt idx="28">
                  <c:v>44648</c:v>
                </c:pt>
                <c:pt idx="29">
                  <c:v>44649</c:v>
                </c:pt>
                <c:pt idx="30">
                  <c:v>44650</c:v>
                </c:pt>
                <c:pt idx="31">
                  <c:v>44651</c:v>
                </c:pt>
                <c:pt idx="32">
                  <c:v>44652</c:v>
                </c:pt>
                <c:pt idx="33">
                  <c:v>44653</c:v>
                </c:pt>
                <c:pt idx="34">
                  <c:v>44654</c:v>
                </c:pt>
                <c:pt idx="35">
                  <c:v>44655</c:v>
                </c:pt>
                <c:pt idx="36">
                  <c:v>44656</c:v>
                </c:pt>
                <c:pt idx="37">
                  <c:v>44657</c:v>
                </c:pt>
                <c:pt idx="38">
                  <c:v>44658</c:v>
                </c:pt>
                <c:pt idx="39">
                  <c:v>44659</c:v>
                </c:pt>
              </c:numCache>
            </c:numRef>
          </c:cat>
          <c:val>
            <c:numRef>
              <c:f>'Mar-22  '!$J$5:$J$44</c:f>
              <c:numCache>
                <c:formatCode>#,##0.000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3.36</c:v>
                </c:pt>
                <c:pt idx="20">
                  <c:v>2.1949999999999998</c:v>
                </c:pt>
                <c:pt idx="21">
                  <c:v>3.5110000000000001</c:v>
                </c:pt>
                <c:pt idx="22">
                  <c:v>3.39</c:v>
                </c:pt>
                <c:pt idx="23">
                  <c:v>3.3210000000000002</c:v>
                </c:pt>
                <c:pt idx="24">
                  <c:v>3.2759999999999998</c:v>
                </c:pt>
                <c:pt idx="25">
                  <c:v>1.7387999999999999</c:v>
                </c:pt>
                <c:pt idx="26">
                  <c:v>3.7284000000000002</c:v>
                </c:pt>
                <c:pt idx="27">
                  <c:v>1.4773000000000001</c:v>
                </c:pt>
                <c:pt idx="28">
                  <c:v>0</c:v>
                </c:pt>
                <c:pt idx="29">
                  <c:v>0</c:v>
                </c:pt>
                <c:pt idx="30">
                  <c:v>3.6836000000000002</c:v>
                </c:pt>
                <c:pt idx="31">
                  <c:v>3.1560000000000001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35-405D-A1CA-F5298DDD6DB1}"/>
            </c:ext>
          </c:extLst>
        </c:ser>
        <c:ser>
          <c:idx val="4"/>
          <c:order val="4"/>
          <c:tx>
            <c:strRef>
              <c:f>'Mar-22  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'Mar-22  '!$B$5:$B$44</c:f>
              <c:numCache>
                <c:formatCode>d\-mmm\-yy</c:formatCode>
                <c:ptCount val="40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44624</c:v>
                </c:pt>
                <c:pt idx="5">
                  <c:v>44625</c:v>
                </c:pt>
                <c:pt idx="6">
                  <c:v>44626</c:v>
                </c:pt>
                <c:pt idx="7">
                  <c:v>44627</c:v>
                </c:pt>
                <c:pt idx="8">
                  <c:v>44628</c:v>
                </c:pt>
                <c:pt idx="9">
                  <c:v>44629</c:v>
                </c:pt>
                <c:pt idx="10">
                  <c:v>44630</c:v>
                </c:pt>
                <c:pt idx="11">
                  <c:v>44631</c:v>
                </c:pt>
                <c:pt idx="12">
                  <c:v>44632</c:v>
                </c:pt>
                <c:pt idx="13">
                  <c:v>44633</c:v>
                </c:pt>
                <c:pt idx="14">
                  <c:v>44634</c:v>
                </c:pt>
                <c:pt idx="15">
                  <c:v>44635</c:v>
                </c:pt>
                <c:pt idx="16">
                  <c:v>44636</c:v>
                </c:pt>
                <c:pt idx="17">
                  <c:v>44637</c:v>
                </c:pt>
                <c:pt idx="18">
                  <c:v>44638</c:v>
                </c:pt>
                <c:pt idx="19">
                  <c:v>44639</c:v>
                </c:pt>
                <c:pt idx="20">
                  <c:v>44640</c:v>
                </c:pt>
                <c:pt idx="21">
                  <c:v>44641</c:v>
                </c:pt>
                <c:pt idx="22">
                  <c:v>44642</c:v>
                </c:pt>
                <c:pt idx="23">
                  <c:v>44643</c:v>
                </c:pt>
                <c:pt idx="24">
                  <c:v>44644</c:v>
                </c:pt>
                <c:pt idx="25">
                  <c:v>44645</c:v>
                </c:pt>
                <c:pt idx="26">
                  <c:v>44646</c:v>
                </c:pt>
                <c:pt idx="27">
                  <c:v>44647</c:v>
                </c:pt>
                <c:pt idx="28">
                  <c:v>44648</c:v>
                </c:pt>
                <c:pt idx="29">
                  <c:v>44649</c:v>
                </c:pt>
                <c:pt idx="30">
                  <c:v>44650</c:v>
                </c:pt>
                <c:pt idx="31">
                  <c:v>44651</c:v>
                </c:pt>
                <c:pt idx="32">
                  <c:v>44652</c:v>
                </c:pt>
                <c:pt idx="33">
                  <c:v>44653</c:v>
                </c:pt>
                <c:pt idx="34">
                  <c:v>44654</c:v>
                </c:pt>
                <c:pt idx="35">
                  <c:v>44655</c:v>
                </c:pt>
                <c:pt idx="36">
                  <c:v>44656</c:v>
                </c:pt>
                <c:pt idx="37">
                  <c:v>44657</c:v>
                </c:pt>
                <c:pt idx="38">
                  <c:v>44658</c:v>
                </c:pt>
                <c:pt idx="39">
                  <c:v>44659</c:v>
                </c:pt>
              </c:numCache>
            </c:numRef>
          </c:cat>
          <c:val>
            <c:numRef>
              <c:f>'Mar-22  '!$K$5:$K$44</c:f>
              <c:numCache>
                <c:formatCode>#,##0.000</c:formatCode>
                <c:ptCount val="40"/>
                <c:pt idx="0">
                  <c:v>2.266</c:v>
                </c:pt>
                <c:pt idx="1">
                  <c:v>2.2480000000000002</c:v>
                </c:pt>
                <c:pt idx="2">
                  <c:v>2.2509999999999999</c:v>
                </c:pt>
                <c:pt idx="3">
                  <c:v>2.2250000000000001</c:v>
                </c:pt>
                <c:pt idx="4">
                  <c:v>2.226</c:v>
                </c:pt>
                <c:pt idx="5">
                  <c:v>2.2360000000000002</c:v>
                </c:pt>
                <c:pt idx="6">
                  <c:v>2.2690000000000001</c:v>
                </c:pt>
                <c:pt idx="7">
                  <c:v>2.2629999999999999</c:v>
                </c:pt>
                <c:pt idx="8">
                  <c:v>2.2669999999999999</c:v>
                </c:pt>
                <c:pt idx="9">
                  <c:v>2.2709999999999999</c:v>
                </c:pt>
                <c:pt idx="10">
                  <c:v>2.2629999999999999</c:v>
                </c:pt>
                <c:pt idx="11">
                  <c:v>2.2648899999999998</c:v>
                </c:pt>
                <c:pt idx="12">
                  <c:v>2.2624499999999999</c:v>
                </c:pt>
                <c:pt idx="13">
                  <c:v>0.71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2.0339999999999998</c:v>
                </c:pt>
                <c:pt idx="18">
                  <c:v>2.5870000000000002</c:v>
                </c:pt>
                <c:pt idx="19">
                  <c:v>2.391</c:v>
                </c:pt>
                <c:pt idx="20">
                  <c:v>2.3319999999999999</c:v>
                </c:pt>
                <c:pt idx="21">
                  <c:v>1.2090000000000001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35-405D-A1CA-F5298DDD6DB1}"/>
            </c:ext>
          </c:extLst>
        </c:ser>
        <c:ser>
          <c:idx val="5"/>
          <c:order val="5"/>
          <c:tx>
            <c:strRef>
              <c:f>'Mar-22  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60"/>
            <c:marker>
              <c:symbol val="diamond"/>
              <c:size val="9"/>
              <c:spPr>
                <a:solidFill>
                  <a:srgbClr val="00B050"/>
                </a:solidFill>
                <a:ln w="9525">
                  <a:solidFill>
                    <a:schemeClr val="accent6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235-405D-A1CA-F5298DDD6DB1}"/>
              </c:ext>
            </c:extLst>
          </c:dPt>
          <c:cat>
            <c:numRef>
              <c:f>'Mar-22  '!$B$5:$B$44</c:f>
              <c:numCache>
                <c:formatCode>d\-mmm\-yy</c:formatCode>
                <c:ptCount val="40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44624</c:v>
                </c:pt>
                <c:pt idx="5">
                  <c:v>44625</c:v>
                </c:pt>
                <c:pt idx="6">
                  <c:v>44626</c:v>
                </c:pt>
                <c:pt idx="7">
                  <c:v>44627</c:v>
                </c:pt>
                <c:pt idx="8">
                  <c:v>44628</c:v>
                </c:pt>
                <c:pt idx="9">
                  <c:v>44629</c:v>
                </c:pt>
                <c:pt idx="10">
                  <c:v>44630</c:v>
                </c:pt>
                <c:pt idx="11">
                  <c:v>44631</c:v>
                </c:pt>
                <c:pt idx="12">
                  <c:v>44632</c:v>
                </c:pt>
                <c:pt idx="13">
                  <c:v>44633</c:v>
                </c:pt>
                <c:pt idx="14">
                  <c:v>44634</c:v>
                </c:pt>
                <c:pt idx="15">
                  <c:v>44635</c:v>
                </c:pt>
                <c:pt idx="16">
                  <c:v>44636</c:v>
                </c:pt>
                <c:pt idx="17">
                  <c:v>44637</c:v>
                </c:pt>
                <c:pt idx="18">
                  <c:v>44638</c:v>
                </c:pt>
                <c:pt idx="19">
                  <c:v>44639</c:v>
                </c:pt>
                <c:pt idx="20">
                  <c:v>44640</c:v>
                </c:pt>
                <c:pt idx="21">
                  <c:v>44641</c:v>
                </c:pt>
                <c:pt idx="22">
                  <c:v>44642</c:v>
                </c:pt>
                <c:pt idx="23">
                  <c:v>44643</c:v>
                </c:pt>
                <c:pt idx="24">
                  <c:v>44644</c:v>
                </c:pt>
                <c:pt idx="25">
                  <c:v>44645</c:v>
                </c:pt>
                <c:pt idx="26">
                  <c:v>44646</c:v>
                </c:pt>
                <c:pt idx="27">
                  <c:v>44647</c:v>
                </c:pt>
                <c:pt idx="28">
                  <c:v>44648</c:v>
                </c:pt>
                <c:pt idx="29">
                  <c:v>44649</c:v>
                </c:pt>
                <c:pt idx="30">
                  <c:v>44650</c:v>
                </c:pt>
                <c:pt idx="31">
                  <c:v>44651</c:v>
                </c:pt>
                <c:pt idx="32">
                  <c:v>44652</c:v>
                </c:pt>
                <c:pt idx="33">
                  <c:v>44653</c:v>
                </c:pt>
                <c:pt idx="34">
                  <c:v>44654</c:v>
                </c:pt>
                <c:pt idx="35">
                  <c:v>44655</c:v>
                </c:pt>
                <c:pt idx="36">
                  <c:v>44656</c:v>
                </c:pt>
                <c:pt idx="37">
                  <c:v>44657</c:v>
                </c:pt>
                <c:pt idx="38">
                  <c:v>44658</c:v>
                </c:pt>
                <c:pt idx="39">
                  <c:v>44659</c:v>
                </c:pt>
              </c:numCache>
            </c:numRef>
          </c:cat>
          <c:val>
            <c:numRef>
              <c:f>'Mar-22  '!$L$5:$L$44</c:f>
              <c:numCache>
                <c:formatCode>#,##0.000</c:formatCode>
                <c:ptCount val="40"/>
                <c:pt idx="0">
                  <c:v>19.030999999999999</c:v>
                </c:pt>
                <c:pt idx="1">
                  <c:v>11.364000000000001</c:v>
                </c:pt>
                <c:pt idx="2">
                  <c:v>11.366999999999999</c:v>
                </c:pt>
                <c:pt idx="3">
                  <c:v>7.5410000000000004</c:v>
                </c:pt>
                <c:pt idx="4">
                  <c:v>2.226</c:v>
                </c:pt>
                <c:pt idx="5">
                  <c:v>10.65</c:v>
                </c:pt>
                <c:pt idx="6">
                  <c:v>19.039000000000001</c:v>
                </c:pt>
                <c:pt idx="7">
                  <c:v>18.032</c:v>
                </c:pt>
                <c:pt idx="8">
                  <c:v>19.538</c:v>
                </c:pt>
                <c:pt idx="9">
                  <c:v>17.686</c:v>
                </c:pt>
                <c:pt idx="10">
                  <c:v>25.59355</c:v>
                </c:pt>
                <c:pt idx="11">
                  <c:v>13.066169999999998</c:v>
                </c:pt>
                <c:pt idx="12">
                  <c:v>11.31945</c:v>
                </c:pt>
                <c:pt idx="13">
                  <c:v>11.100000000000001</c:v>
                </c:pt>
                <c:pt idx="14">
                  <c:v>28.39</c:v>
                </c:pt>
                <c:pt idx="15">
                  <c:v>30.492000000000001</c:v>
                </c:pt>
                <c:pt idx="16">
                  <c:v>30.896999999999998</c:v>
                </c:pt>
                <c:pt idx="17">
                  <c:v>32.378999999999998</c:v>
                </c:pt>
                <c:pt idx="18">
                  <c:v>32.969000000000001</c:v>
                </c:pt>
                <c:pt idx="19">
                  <c:v>35.79</c:v>
                </c:pt>
                <c:pt idx="20">
                  <c:v>34.604999999999997</c:v>
                </c:pt>
                <c:pt idx="21">
                  <c:v>24.808</c:v>
                </c:pt>
                <c:pt idx="22">
                  <c:v>14.38</c:v>
                </c:pt>
                <c:pt idx="23">
                  <c:v>13.703999999999999</c:v>
                </c:pt>
                <c:pt idx="24">
                  <c:v>12.533999999999999</c:v>
                </c:pt>
                <c:pt idx="25">
                  <c:v>9.1508000000000003</c:v>
                </c:pt>
                <c:pt idx="26">
                  <c:v>6.5554000000000006</c:v>
                </c:pt>
                <c:pt idx="27">
                  <c:v>4.0973000000000006</c:v>
                </c:pt>
                <c:pt idx="28">
                  <c:v>5.8639999999999999</c:v>
                </c:pt>
                <c:pt idx="29">
                  <c:v>24.704999999999998</c:v>
                </c:pt>
                <c:pt idx="30">
                  <c:v>30.0366</c:v>
                </c:pt>
                <c:pt idx="31">
                  <c:v>29.351999999999997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35-405D-A1CA-F5298DDD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4144"/>
        <c:axId val="191820616"/>
      </c:lineChart>
      <c:dateAx>
        <c:axId val="1918241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9189151425"/>
          <c:h val="3.7211543256065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</a:rPr>
              <a:t>OML-42 March 2022 Production Performance per Field</a:t>
            </a:r>
          </a:p>
        </c:rich>
      </c:tx>
      <c:layout>
        <c:manualLayout>
          <c:xMode val="edge"/>
          <c:yMode val="edge"/>
          <c:x val="0.31848933083835468"/>
          <c:y val="1.5215674832044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189070340859642E-2"/>
          <c:y val="8.2533986060835243E-2"/>
          <c:w val="0.88047289644129412"/>
          <c:h val="0.75116629131529378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'Mar-22  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'Mar-22  '!$B$6:$B$44</c:f>
              <c:numCache>
                <c:formatCode>d\-mmm\-yy</c:formatCode>
                <c:ptCount val="39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44638</c:v>
                </c:pt>
                <c:pt idx="18">
                  <c:v>44639</c:v>
                </c:pt>
                <c:pt idx="19">
                  <c:v>44640</c:v>
                </c:pt>
                <c:pt idx="20">
                  <c:v>44641</c:v>
                </c:pt>
                <c:pt idx="21">
                  <c:v>44642</c:v>
                </c:pt>
                <c:pt idx="22">
                  <c:v>44643</c:v>
                </c:pt>
                <c:pt idx="23">
                  <c:v>44644</c:v>
                </c:pt>
                <c:pt idx="24">
                  <c:v>44645</c:v>
                </c:pt>
                <c:pt idx="25">
                  <c:v>44646</c:v>
                </c:pt>
                <c:pt idx="26">
                  <c:v>44647</c:v>
                </c:pt>
                <c:pt idx="27">
                  <c:v>44648</c:v>
                </c:pt>
                <c:pt idx="28">
                  <c:v>44649</c:v>
                </c:pt>
                <c:pt idx="29">
                  <c:v>44650</c:v>
                </c:pt>
                <c:pt idx="30">
                  <c:v>44651</c:v>
                </c:pt>
                <c:pt idx="31">
                  <c:v>44652</c:v>
                </c:pt>
                <c:pt idx="32">
                  <c:v>44653</c:v>
                </c:pt>
                <c:pt idx="33">
                  <c:v>44654</c:v>
                </c:pt>
                <c:pt idx="34">
                  <c:v>44655</c:v>
                </c:pt>
                <c:pt idx="35">
                  <c:v>44656</c:v>
                </c:pt>
                <c:pt idx="36">
                  <c:v>44657</c:v>
                </c:pt>
                <c:pt idx="37">
                  <c:v>44658</c:v>
                </c:pt>
                <c:pt idx="38">
                  <c:v>44659</c:v>
                </c:pt>
              </c:numCache>
            </c:numRef>
          </c:cat>
          <c:val>
            <c:numRef>
              <c:f>'Mar-22  '!$H$6:$H$44</c:f>
              <c:numCache>
                <c:formatCode>#,##0.000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8.4139999999999997</c:v>
                </c:pt>
                <c:pt idx="5">
                  <c:v>16.77</c:v>
                </c:pt>
                <c:pt idx="6">
                  <c:v>15.769</c:v>
                </c:pt>
                <c:pt idx="7">
                  <c:v>17.271000000000001</c:v>
                </c:pt>
                <c:pt idx="8">
                  <c:v>15.414999999999999</c:v>
                </c:pt>
                <c:pt idx="9">
                  <c:v>16.54955</c:v>
                </c:pt>
                <c:pt idx="10">
                  <c:v>0.41827999999999999</c:v>
                </c:pt>
                <c:pt idx="11">
                  <c:v>0</c:v>
                </c:pt>
                <c:pt idx="12">
                  <c:v>0</c:v>
                </c:pt>
                <c:pt idx="13">
                  <c:v>16.43</c:v>
                </c:pt>
                <c:pt idx="14">
                  <c:v>17.753</c:v>
                </c:pt>
                <c:pt idx="15">
                  <c:v>18.02</c:v>
                </c:pt>
                <c:pt idx="16">
                  <c:v>17.396999999999998</c:v>
                </c:pt>
                <c:pt idx="17">
                  <c:v>17.373999999999999</c:v>
                </c:pt>
                <c:pt idx="18">
                  <c:v>17.241</c:v>
                </c:pt>
                <c:pt idx="19">
                  <c:v>16.952999999999999</c:v>
                </c:pt>
                <c:pt idx="20">
                  <c:v>11.93</c:v>
                </c:pt>
                <c:pt idx="21">
                  <c:v>5.3090000000000002</c:v>
                </c:pt>
                <c:pt idx="22">
                  <c:v>4.5129999999999999</c:v>
                </c:pt>
                <c:pt idx="23">
                  <c:v>4.72</c:v>
                </c:pt>
                <c:pt idx="24">
                  <c:v>3.6949999999999998</c:v>
                </c:pt>
                <c:pt idx="25">
                  <c:v>2.827</c:v>
                </c:pt>
                <c:pt idx="26">
                  <c:v>2.62</c:v>
                </c:pt>
                <c:pt idx="27">
                  <c:v>5.8639999999999999</c:v>
                </c:pt>
                <c:pt idx="28">
                  <c:v>14.375999999999999</c:v>
                </c:pt>
                <c:pt idx="29">
                  <c:v>14.638</c:v>
                </c:pt>
                <c:pt idx="30">
                  <c:v>14.638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1-44ED-B3EC-18D145924C7A}"/>
            </c:ext>
          </c:extLst>
        </c:ser>
        <c:ser>
          <c:idx val="2"/>
          <c:order val="2"/>
          <c:tx>
            <c:strRef>
              <c:f>'Mar-22 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'Mar-22  '!$B$6:$B$44</c:f>
              <c:numCache>
                <c:formatCode>d\-mmm\-yy</c:formatCode>
                <c:ptCount val="39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44638</c:v>
                </c:pt>
                <c:pt idx="18">
                  <c:v>44639</c:v>
                </c:pt>
                <c:pt idx="19">
                  <c:v>44640</c:v>
                </c:pt>
                <c:pt idx="20">
                  <c:v>44641</c:v>
                </c:pt>
                <c:pt idx="21">
                  <c:v>44642</c:v>
                </c:pt>
                <c:pt idx="22">
                  <c:v>44643</c:v>
                </c:pt>
                <c:pt idx="23">
                  <c:v>44644</c:v>
                </c:pt>
                <c:pt idx="24">
                  <c:v>44645</c:v>
                </c:pt>
                <c:pt idx="25">
                  <c:v>44646</c:v>
                </c:pt>
                <c:pt idx="26">
                  <c:v>44647</c:v>
                </c:pt>
                <c:pt idx="27">
                  <c:v>44648</c:v>
                </c:pt>
                <c:pt idx="28">
                  <c:v>44649</c:v>
                </c:pt>
                <c:pt idx="29">
                  <c:v>44650</c:v>
                </c:pt>
                <c:pt idx="30">
                  <c:v>44651</c:v>
                </c:pt>
                <c:pt idx="31">
                  <c:v>44652</c:v>
                </c:pt>
                <c:pt idx="32">
                  <c:v>44653</c:v>
                </c:pt>
                <c:pt idx="33">
                  <c:v>44654</c:v>
                </c:pt>
                <c:pt idx="34">
                  <c:v>44655</c:v>
                </c:pt>
                <c:pt idx="35">
                  <c:v>44656</c:v>
                </c:pt>
                <c:pt idx="36">
                  <c:v>44657</c:v>
                </c:pt>
                <c:pt idx="37">
                  <c:v>44658</c:v>
                </c:pt>
                <c:pt idx="38">
                  <c:v>44659</c:v>
                </c:pt>
              </c:numCache>
            </c:numRef>
          </c:cat>
          <c:val>
            <c:numRef>
              <c:f>'Mar-22  '!$I$6:$I$44</c:f>
              <c:numCache>
                <c:formatCode>#,##0.000</c:formatCode>
                <c:ptCount val="39"/>
                <c:pt idx="0">
                  <c:v>9.1159999999999997</c:v>
                </c:pt>
                <c:pt idx="1">
                  <c:v>9.1159999999999997</c:v>
                </c:pt>
                <c:pt idx="2">
                  <c:v>5.3159999999999998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6.7809999999999997</c:v>
                </c:pt>
                <c:pt idx="10">
                  <c:v>10.382999999999999</c:v>
                </c:pt>
                <c:pt idx="11">
                  <c:v>9.0570000000000004</c:v>
                </c:pt>
                <c:pt idx="12">
                  <c:v>10.39</c:v>
                </c:pt>
                <c:pt idx="13">
                  <c:v>11.96</c:v>
                </c:pt>
                <c:pt idx="14">
                  <c:v>12.739000000000001</c:v>
                </c:pt>
                <c:pt idx="15">
                  <c:v>12.877000000000001</c:v>
                </c:pt>
                <c:pt idx="16">
                  <c:v>12.948</c:v>
                </c:pt>
                <c:pt idx="17">
                  <c:v>13.007999999999999</c:v>
                </c:pt>
                <c:pt idx="18">
                  <c:v>12.798</c:v>
                </c:pt>
                <c:pt idx="19">
                  <c:v>13.125</c:v>
                </c:pt>
                <c:pt idx="20">
                  <c:v>8.1579999999999995</c:v>
                </c:pt>
                <c:pt idx="21">
                  <c:v>5.681</c:v>
                </c:pt>
                <c:pt idx="22">
                  <c:v>5.87</c:v>
                </c:pt>
                <c:pt idx="23">
                  <c:v>4.5380000000000003</c:v>
                </c:pt>
                <c:pt idx="24">
                  <c:v>3.7170000000000001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10.329000000000001</c:v>
                </c:pt>
                <c:pt idx="29">
                  <c:v>11.715</c:v>
                </c:pt>
                <c:pt idx="30">
                  <c:v>11.558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1-44ED-B3EC-18D145924C7A}"/>
            </c:ext>
          </c:extLst>
        </c:ser>
        <c:ser>
          <c:idx val="3"/>
          <c:order val="3"/>
          <c:tx>
            <c:strRef>
              <c:f>'Mar-22  '!$J$4</c:f>
              <c:strCache>
                <c:ptCount val="1"/>
                <c:pt idx="0">
                  <c:v>Batan (Mbopd)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'Mar-22  '!$B$6:$B$44</c:f>
              <c:numCache>
                <c:formatCode>d\-mmm\-yy</c:formatCode>
                <c:ptCount val="39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44638</c:v>
                </c:pt>
                <c:pt idx="18">
                  <c:v>44639</c:v>
                </c:pt>
                <c:pt idx="19">
                  <c:v>44640</c:v>
                </c:pt>
                <c:pt idx="20">
                  <c:v>44641</c:v>
                </c:pt>
                <c:pt idx="21">
                  <c:v>44642</c:v>
                </c:pt>
                <c:pt idx="22">
                  <c:v>44643</c:v>
                </c:pt>
                <c:pt idx="23">
                  <c:v>44644</c:v>
                </c:pt>
                <c:pt idx="24">
                  <c:v>44645</c:v>
                </c:pt>
                <c:pt idx="25">
                  <c:v>44646</c:v>
                </c:pt>
                <c:pt idx="26">
                  <c:v>44647</c:v>
                </c:pt>
                <c:pt idx="27">
                  <c:v>44648</c:v>
                </c:pt>
                <c:pt idx="28">
                  <c:v>44649</c:v>
                </c:pt>
                <c:pt idx="29">
                  <c:v>44650</c:v>
                </c:pt>
                <c:pt idx="30">
                  <c:v>44651</c:v>
                </c:pt>
                <c:pt idx="31">
                  <c:v>44652</c:v>
                </c:pt>
                <c:pt idx="32">
                  <c:v>44653</c:v>
                </c:pt>
                <c:pt idx="33">
                  <c:v>44654</c:v>
                </c:pt>
                <c:pt idx="34">
                  <c:v>44655</c:v>
                </c:pt>
                <c:pt idx="35">
                  <c:v>44656</c:v>
                </c:pt>
                <c:pt idx="36">
                  <c:v>44657</c:v>
                </c:pt>
                <c:pt idx="37">
                  <c:v>44658</c:v>
                </c:pt>
                <c:pt idx="38">
                  <c:v>44659</c:v>
                </c:pt>
              </c:numCache>
            </c:numRef>
          </c:cat>
          <c:val>
            <c:numRef>
              <c:f>'Mar-22  '!$J$6:$J$44</c:f>
              <c:numCache>
                <c:formatCode>#,##0.000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3.36</c:v>
                </c:pt>
                <c:pt idx="19">
                  <c:v>2.1949999999999998</c:v>
                </c:pt>
                <c:pt idx="20">
                  <c:v>3.5110000000000001</c:v>
                </c:pt>
                <c:pt idx="21">
                  <c:v>3.39</c:v>
                </c:pt>
                <c:pt idx="22">
                  <c:v>3.3210000000000002</c:v>
                </c:pt>
                <c:pt idx="23">
                  <c:v>3.2759999999999998</c:v>
                </c:pt>
                <c:pt idx="24">
                  <c:v>1.7387999999999999</c:v>
                </c:pt>
                <c:pt idx="25">
                  <c:v>3.7284000000000002</c:v>
                </c:pt>
                <c:pt idx="26">
                  <c:v>1.4773000000000001</c:v>
                </c:pt>
                <c:pt idx="27">
                  <c:v>0</c:v>
                </c:pt>
                <c:pt idx="28">
                  <c:v>0</c:v>
                </c:pt>
                <c:pt idx="29">
                  <c:v>3.6836000000000002</c:v>
                </c:pt>
                <c:pt idx="30">
                  <c:v>3.1560000000000001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1-44ED-B3EC-18D145924C7A}"/>
            </c:ext>
          </c:extLst>
        </c:ser>
        <c:ser>
          <c:idx val="4"/>
          <c:order val="4"/>
          <c:tx>
            <c:strRef>
              <c:f>'Mar-22  '!$K$4</c:f>
              <c:strCache>
                <c:ptCount val="1"/>
                <c:pt idx="0">
                  <c:v>Egwa (Mbopd)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'Mar-22  '!$B$6:$B$44</c:f>
              <c:numCache>
                <c:formatCode>d\-mmm\-yy</c:formatCode>
                <c:ptCount val="39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44638</c:v>
                </c:pt>
                <c:pt idx="18">
                  <c:v>44639</c:v>
                </c:pt>
                <c:pt idx="19">
                  <c:v>44640</c:v>
                </c:pt>
                <c:pt idx="20">
                  <c:v>44641</c:v>
                </c:pt>
                <c:pt idx="21">
                  <c:v>44642</c:v>
                </c:pt>
                <c:pt idx="22">
                  <c:v>44643</c:v>
                </c:pt>
                <c:pt idx="23">
                  <c:v>44644</c:v>
                </c:pt>
                <c:pt idx="24">
                  <c:v>44645</c:v>
                </c:pt>
                <c:pt idx="25">
                  <c:v>44646</c:v>
                </c:pt>
                <c:pt idx="26">
                  <c:v>44647</c:v>
                </c:pt>
                <c:pt idx="27">
                  <c:v>44648</c:v>
                </c:pt>
                <c:pt idx="28">
                  <c:v>44649</c:v>
                </c:pt>
                <c:pt idx="29">
                  <c:v>44650</c:v>
                </c:pt>
                <c:pt idx="30">
                  <c:v>44651</c:v>
                </c:pt>
                <c:pt idx="31">
                  <c:v>44652</c:v>
                </c:pt>
                <c:pt idx="32">
                  <c:v>44653</c:v>
                </c:pt>
                <c:pt idx="33">
                  <c:v>44654</c:v>
                </c:pt>
                <c:pt idx="34">
                  <c:v>44655</c:v>
                </c:pt>
                <c:pt idx="35">
                  <c:v>44656</c:v>
                </c:pt>
                <c:pt idx="36">
                  <c:v>44657</c:v>
                </c:pt>
                <c:pt idx="37">
                  <c:v>44658</c:v>
                </c:pt>
                <c:pt idx="38">
                  <c:v>44659</c:v>
                </c:pt>
              </c:numCache>
            </c:numRef>
          </c:cat>
          <c:val>
            <c:numRef>
              <c:f>'Mar-22  '!$K$6:$K$44</c:f>
              <c:numCache>
                <c:formatCode>#,##0.000</c:formatCode>
                <c:ptCount val="39"/>
                <c:pt idx="0">
                  <c:v>2.2480000000000002</c:v>
                </c:pt>
                <c:pt idx="1">
                  <c:v>2.2509999999999999</c:v>
                </c:pt>
                <c:pt idx="2">
                  <c:v>2.2250000000000001</c:v>
                </c:pt>
                <c:pt idx="3">
                  <c:v>2.226</c:v>
                </c:pt>
                <c:pt idx="4">
                  <c:v>2.2360000000000002</c:v>
                </c:pt>
                <c:pt idx="5">
                  <c:v>2.2690000000000001</c:v>
                </c:pt>
                <c:pt idx="6">
                  <c:v>2.2629999999999999</c:v>
                </c:pt>
                <c:pt idx="7">
                  <c:v>2.2669999999999999</c:v>
                </c:pt>
                <c:pt idx="8">
                  <c:v>2.2709999999999999</c:v>
                </c:pt>
                <c:pt idx="9">
                  <c:v>2.2629999999999999</c:v>
                </c:pt>
                <c:pt idx="10">
                  <c:v>2.2648899999999998</c:v>
                </c:pt>
                <c:pt idx="11">
                  <c:v>2.2624499999999999</c:v>
                </c:pt>
                <c:pt idx="12">
                  <c:v>0.71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2.0339999999999998</c:v>
                </c:pt>
                <c:pt idx="17">
                  <c:v>2.5870000000000002</c:v>
                </c:pt>
                <c:pt idx="18">
                  <c:v>2.391</c:v>
                </c:pt>
                <c:pt idx="19">
                  <c:v>2.3319999999999999</c:v>
                </c:pt>
                <c:pt idx="20">
                  <c:v>1.2090000000000001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01-44ED-B3EC-18D14592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24144"/>
        <c:axId val="191820616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'Mar-22  '!$L$4</c15:sqref>
                        </c15:formulaRef>
                      </c:ext>
                    </c:extLst>
                    <c:strCache>
                      <c:ptCount val="1"/>
                      <c:pt idx="0">
                        <c:v>Total Daily Prod (Mbopd)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Pt>
                  <c:idx val="60"/>
                  <c:invertIfNegative val="0"/>
                  <c:bubble3D val="0"/>
                  <c:extLst>
                    <c:ext xmlns:c16="http://schemas.microsoft.com/office/drawing/2014/chart" uri="{C3380CC4-5D6E-409C-BE32-E72D297353CC}">
                      <c16:uniqueId val="{00000006-7E01-44ED-B3EC-18D145924C7A}"/>
                    </c:ext>
                  </c:extLst>
                </c:dPt>
                <c:cat>
                  <c:numRef>
                    <c:extLst>
                      <c:ext uri="{02D57815-91ED-43cb-92C2-25804820EDAC}">
                        <c15:formulaRef>
                          <c15:sqref>'Mar-22  '!$B$6:$B$44</c15:sqref>
                        </c15:formulaRef>
                      </c:ext>
                    </c:extLst>
                    <c:numCache>
                      <c:formatCode>d\-mmm\-yy</c:formatCode>
                      <c:ptCount val="39"/>
                      <c:pt idx="0">
                        <c:v>44621</c:v>
                      </c:pt>
                      <c:pt idx="1">
                        <c:v>44622</c:v>
                      </c:pt>
                      <c:pt idx="2">
                        <c:v>44623</c:v>
                      </c:pt>
                      <c:pt idx="3">
                        <c:v>44624</c:v>
                      </c:pt>
                      <c:pt idx="4">
                        <c:v>44625</c:v>
                      </c:pt>
                      <c:pt idx="5">
                        <c:v>44626</c:v>
                      </c:pt>
                      <c:pt idx="6">
                        <c:v>44627</c:v>
                      </c:pt>
                      <c:pt idx="7">
                        <c:v>44628</c:v>
                      </c:pt>
                      <c:pt idx="8">
                        <c:v>44629</c:v>
                      </c:pt>
                      <c:pt idx="9">
                        <c:v>44630</c:v>
                      </c:pt>
                      <c:pt idx="10">
                        <c:v>44631</c:v>
                      </c:pt>
                      <c:pt idx="11">
                        <c:v>44632</c:v>
                      </c:pt>
                      <c:pt idx="12">
                        <c:v>44633</c:v>
                      </c:pt>
                      <c:pt idx="13">
                        <c:v>44634</c:v>
                      </c:pt>
                      <c:pt idx="14">
                        <c:v>44635</c:v>
                      </c:pt>
                      <c:pt idx="15">
                        <c:v>44636</c:v>
                      </c:pt>
                      <c:pt idx="16">
                        <c:v>44637</c:v>
                      </c:pt>
                      <c:pt idx="17">
                        <c:v>44638</c:v>
                      </c:pt>
                      <c:pt idx="18">
                        <c:v>44639</c:v>
                      </c:pt>
                      <c:pt idx="19">
                        <c:v>44640</c:v>
                      </c:pt>
                      <c:pt idx="20">
                        <c:v>44641</c:v>
                      </c:pt>
                      <c:pt idx="21">
                        <c:v>44642</c:v>
                      </c:pt>
                      <c:pt idx="22">
                        <c:v>44643</c:v>
                      </c:pt>
                      <c:pt idx="23">
                        <c:v>44644</c:v>
                      </c:pt>
                      <c:pt idx="24">
                        <c:v>44645</c:v>
                      </c:pt>
                      <c:pt idx="25">
                        <c:v>44646</c:v>
                      </c:pt>
                      <c:pt idx="26">
                        <c:v>44647</c:v>
                      </c:pt>
                      <c:pt idx="27">
                        <c:v>44648</c:v>
                      </c:pt>
                      <c:pt idx="28">
                        <c:v>44649</c:v>
                      </c:pt>
                      <c:pt idx="29">
                        <c:v>44650</c:v>
                      </c:pt>
                      <c:pt idx="30">
                        <c:v>44651</c:v>
                      </c:pt>
                      <c:pt idx="31">
                        <c:v>44652</c:v>
                      </c:pt>
                      <c:pt idx="32">
                        <c:v>44653</c:v>
                      </c:pt>
                      <c:pt idx="33">
                        <c:v>44654</c:v>
                      </c:pt>
                      <c:pt idx="34">
                        <c:v>44655</c:v>
                      </c:pt>
                      <c:pt idx="35">
                        <c:v>44656</c:v>
                      </c:pt>
                      <c:pt idx="36">
                        <c:v>44657</c:v>
                      </c:pt>
                      <c:pt idx="37">
                        <c:v>44658</c:v>
                      </c:pt>
                      <c:pt idx="38">
                        <c:v>44659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'Mar-22  '!$L$6:$L$44</c15:sqref>
                        </c15:formulaRef>
                      </c:ext>
                    </c:extLst>
                    <c:numCache>
                      <c:formatCode>#,##0.000</c:formatCode>
                      <c:ptCount val="39"/>
                      <c:pt idx="0">
                        <c:v>11.364000000000001</c:v>
                      </c:pt>
                      <c:pt idx="1">
                        <c:v>11.366999999999999</c:v>
                      </c:pt>
                      <c:pt idx="2">
                        <c:v>7.5410000000000004</c:v>
                      </c:pt>
                      <c:pt idx="3">
                        <c:v>2.226</c:v>
                      </c:pt>
                      <c:pt idx="4">
                        <c:v>10.65</c:v>
                      </c:pt>
                      <c:pt idx="5">
                        <c:v>19.039000000000001</c:v>
                      </c:pt>
                      <c:pt idx="6">
                        <c:v>18.032</c:v>
                      </c:pt>
                      <c:pt idx="7">
                        <c:v>19.538</c:v>
                      </c:pt>
                      <c:pt idx="8">
                        <c:v>17.686</c:v>
                      </c:pt>
                      <c:pt idx="9">
                        <c:v>25.59355</c:v>
                      </c:pt>
                      <c:pt idx="10">
                        <c:v>13.066169999999998</c:v>
                      </c:pt>
                      <c:pt idx="11">
                        <c:v>11.31945</c:v>
                      </c:pt>
                      <c:pt idx="12">
                        <c:v>11.100000000000001</c:v>
                      </c:pt>
                      <c:pt idx="13">
                        <c:v>28.39</c:v>
                      </c:pt>
                      <c:pt idx="14">
                        <c:v>30.492000000000001</c:v>
                      </c:pt>
                      <c:pt idx="15">
                        <c:v>30.896999999999998</c:v>
                      </c:pt>
                      <c:pt idx="16">
                        <c:v>32.378999999999998</c:v>
                      </c:pt>
                      <c:pt idx="17">
                        <c:v>32.969000000000001</c:v>
                      </c:pt>
                      <c:pt idx="18">
                        <c:v>35.79</c:v>
                      </c:pt>
                      <c:pt idx="19">
                        <c:v>34.604999999999997</c:v>
                      </c:pt>
                      <c:pt idx="20">
                        <c:v>24.808</c:v>
                      </c:pt>
                      <c:pt idx="21">
                        <c:v>14.38</c:v>
                      </c:pt>
                      <c:pt idx="22">
                        <c:v>13.703999999999999</c:v>
                      </c:pt>
                      <c:pt idx="23">
                        <c:v>12.533999999999999</c:v>
                      </c:pt>
                      <c:pt idx="24">
                        <c:v>9.1508000000000003</c:v>
                      </c:pt>
                      <c:pt idx="25">
                        <c:v>6.5554000000000006</c:v>
                      </c:pt>
                      <c:pt idx="26">
                        <c:v>4.0973000000000006</c:v>
                      </c:pt>
                      <c:pt idx="27">
                        <c:v>5.8639999999999999</c:v>
                      </c:pt>
                      <c:pt idx="28">
                        <c:v>24.704999999999998</c:v>
                      </c:pt>
                      <c:pt idx="29">
                        <c:v>30.0366</c:v>
                      </c:pt>
                      <c:pt idx="30">
                        <c:v>29.351999999999997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7E01-44ED-B3EC-18D145924C7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'Mar-22  '!$G$4</c:f>
              <c:strCache>
                <c:ptCount val="1"/>
                <c:pt idx="0">
                  <c:v>Feb 22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prstDash val="solid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'Mar-22  '!$B$6:$B$44</c:f>
              <c:numCache>
                <c:formatCode>d\-mmm\-yy</c:formatCode>
                <c:ptCount val="39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44638</c:v>
                </c:pt>
                <c:pt idx="18">
                  <c:v>44639</c:v>
                </c:pt>
                <c:pt idx="19">
                  <c:v>44640</c:v>
                </c:pt>
                <c:pt idx="20">
                  <c:v>44641</c:v>
                </c:pt>
                <c:pt idx="21">
                  <c:v>44642</c:v>
                </c:pt>
                <c:pt idx="22">
                  <c:v>44643</c:v>
                </c:pt>
                <c:pt idx="23">
                  <c:v>44644</c:v>
                </c:pt>
                <c:pt idx="24">
                  <c:v>44645</c:v>
                </c:pt>
                <c:pt idx="25">
                  <c:v>44646</c:v>
                </c:pt>
                <c:pt idx="26">
                  <c:v>44647</c:v>
                </c:pt>
                <c:pt idx="27">
                  <c:v>44648</c:v>
                </c:pt>
                <c:pt idx="28">
                  <c:v>44649</c:v>
                </c:pt>
                <c:pt idx="29">
                  <c:v>44650</c:v>
                </c:pt>
                <c:pt idx="30">
                  <c:v>44651</c:v>
                </c:pt>
                <c:pt idx="31">
                  <c:v>44652</c:v>
                </c:pt>
                <c:pt idx="32">
                  <c:v>44653</c:v>
                </c:pt>
                <c:pt idx="33">
                  <c:v>44654</c:v>
                </c:pt>
                <c:pt idx="34">
                  <c:v>44655</c:v>
                </c:pt>
                <c:pt idx="35">
                  <c:v>44656</c:v>
                </c:pt>
                <c:pt idx="36">
                  <c:v>44657</c:v>
                </c:pt>
                <c:pt idx="37">
                  <c:v>44658</c:v>
                </c:pt>
                <c:pt idx="38">
                  <c:v>44659</c:v>
                </c:pt>
              </c:numCache>
            </c:numRef>
          </c:cat>
          <c:val>
            <c:numRef>
              <c:f>'Mar-22  '!$G$6:$G$44</c:f>
              <c:numCache>
                <c:formatCode>#,##0.000</c:formatCode>
                <c:ptCount val="39"/>
                <c:pt idx="0">
                  <c:v>44.419999999999995</c:v>
                </c:pt>
                <c:pt idx="1">
                  <c:v>44.419999999999995</c:v>
                </c:pt>
                <c:pt idx="2">
                  <c:v>44.419999999999995</c:v>
                </c:pt>
                <c:pt idx="3">
                  <c:v>44.419999999999995</c:v>
                </c:pt>
                <c:pt idx="4">
                  <c:v>44.419999999999995</c:v>
                </c:pt>
                <c:pt idx="5">
                  <c:v>44.419999999999995</c:v>
                </c:pt>
                <c:pt idx="6">
                  <c:v>44.419999999999995</c:v>
                </c:pt>
                <c:pt idx="7">
                  <c:v>44.419999999999995</c:v>
                </c:pt>
                <c:pt idx="8">
                  <c:v>44.419999999999995</c:v>
                </c:pt>
                <c:pt idx="9">
                  <c:v>44.419999999999995</c:v>
                </c:pt>
                <c:pt idx="10">
                  <c:v>44.419999999999995</c:v>
                </c:pt>
                <c:pt idx="11">
                  <c:v>44.419999999999995</c:v>
                </c:pt>
                <c:pt idx="12">
                  <c:v>44.419999999999995</c:v>
                </c:pt>
                <c:pt idx="13">
                  <c:v>44.419999999999995</c:v>
                </c:pt>
                <c:pt idx="14">
                  <c:v>44.419999999999995</c:v>
                </c:pt>
                <c:pt idx="15">
                  <c:v>44.419999999999995</c:v>
                </c:pt>
                <c:pt idx="16">
                  <c:v>44.419999999999995</c:v>
                </c:pt>
                <c:pt idx="17">
                  <c:v>44.419999999999995</c:v>
                </c:pt>
                <c:pt idx="18">
                  <c:v>44.419999999999995</c:v>
                </c:pt>
                <c:pt idx="19">
                  <c:v>44.419999999999995</c:v>
                </c:pt>
                <c:pt idx="20">
                  <c:v>44.419999999999995</c:v>
                </c:pt>
                <c:pt idx="21">
                  <c:v>44.419999999999995</c:v>
                </c:pt>
                <c:pt idx="22">
                  <c:v>44.419999999999995</c:v>
                </c:pt>
                <c:pt idx="23">
                  <c:v>44.419999999999995</c:v>
                </c:pt>
                <c:pt idx="24">
                  <c:v>44.419999999999995</c:v>
                </c:pt>
                <c:pt idx="25">
                  <c:v>44.419999999999995</c:v>
                </c:pt>
                <c:pt idx="26">
                  <c:v>44.419999999999995</c:v>
                </c:pt>
                <c:pt idx="27">
                  <c:v>44.419999999999995</c:v>
                </c:pt>
                <c:pt idx="28">
                  <c:v>44.419999999999995</c:v>
                </c:pt>
                <c:pt idx="29">
                  <c:v>44.419999999999995</c:v>
                </c:pt>
                <c:pt idx="30">
                  <c:v>44.419999999999995</c:v>
                </c:pt>
                <c:pt idx="31">
                  <c:v>44.419999999999995</c:v>
                </c:pt>
                <c:pt idx="32">
                  <c:v>44.419999999999995</c:v>
                </c:pt>
                <c:pt idx="33">
                  <c:v>44.419999999999995</c:v>
                </c:pt>
                <c:pt idx="34">
                  <c:v>44.419999999999995</c:v>
                </c:pt>
                <c:pt idx="35">
                  <c:v>44.419999999999995</c:v>
                </c:pt>
                <c:pt idx="36">
                  <c:v>44.419999999999995</c:v>
                </c:pt>
                <c:pt idx="37">
                  <c:v>44.419999999999995</c:v>
                </c:pt>
                <c:pt idx="38">
                  <c:v>44.419999999999995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1-44ED-B3EC-18D14592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690672"/>
        <c:axId val="1175685680"/>
      </c:lineChart>
      <c:dateAx>
        <c:axId val="191824144"/>
        <c:scaling>
          <c:orientation val="minMax"/>
          <c:max val="44651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8.9367004081171517E-3"/>
              <c:y val="0.371315660162741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valAx>
        <c:axId val="1175685680"/>
        <c:scaling>
          <c:orientation val="minMax"/>
        </c:scaling>
        <c:delete val="1"/>
        <c:axPos val="r"/>
        <c:numFmt formatCode="#,##0.0" sourceLinked="0"/>
        <c:majorTickMark val="none"/>
        <c:minorTickMark val="none"/>
        <c:tickLblPos val="nextTo"/>
        <c:crossAx val="1175690672"/>
        <c:crosses val="max"/>
        <c:crossBetween val="between"/>
      </c:valAx>
      <c:dateAx>
        <c:axId val="117569067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175685680"/>
        <c:crosses val="autoZero"/>
        <c:auto val="1"/>
        <c:lblOffset val="100"/>
        <c:baseTimeUnit val="days"/>
      </c:dateAx>
      <c:spPr>
        <a:solidFill>
          <a:schemeClr val="lt1"/>
        </a:solidFill>
        <a:ln w="12700" cap="flat" cmpd="sng" algn="ctr">
          <a:solidFill>
            <a:schemeClr val="accent6"/>
          </a:solidFill>
          <a:prstDash val="solid"/>
          <a:miter lim="800000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OML-42 Production Surveillance Report</a:t>
            </a:r>
          </a:p>
        </c:rich>
      </c:tx>
      <c:layout>
        <c:manualLayout>
          <c:xMode val="edge"/>
          <c:yMode val="edge"/>
          <c:x val="0.29507475132492345"/>
          <c:y val="8.40777709182331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87961414064006"/>
          <c:y val="8.6898040963266573E-2"/>
          <c:w val="0.86782237872239121"/>
          <c:h val="0.756775774448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'Apr-22  '!$AJ$10</c:f>
              <c:strCache>
                <c:ptCount val="1"/>
                <c:pt idx="0">
                  <c:v>Target (Mbopd)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1.9850249549410012E-17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D-47DB-AF47-79F83E1ED01C}"/>
                </c:ext>
              </c:extLst>
            </c:dLbl>
            <c:dLbl>
              <c:idx val="1"/>
              <c:layout>
                <c:manualLayout>
                  <c:x val="1.0482847503669207E-5"/>
                  <c:y val="-4.4155350684398222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D-47DB-AF47-79F83E1ED01C}"/>
                </c:ext>
              </c:extLst>
            </c:dLbl>
            <c:dLbl>
              <c:idx val="4"/>
              <c:layout>
                <c:manualLayout>
                  <c:x val="3.940426642641812E-4"/>
                  <c:y val="3.044755581861594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D-47DB-AF47-79F83E1ED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'Apr-22  '!$AJ$11:$AJ$16</c:f>
              <c:numCache>
                <c:formatCode>#,##0.00</c:formatCode>
                <c:ptCount val="6"/>
                <c:pt idx="0">
                  <c:v>20.47</c:v>
                </c:pt>
                <c:pt idx="1">
                  <c:v>15.22</c:v>
                </c:pt>
                <c:pt idx="2">
                  <c:v>5.15</c:v>
                </c:pt>
                <c:pt idx="3">
                  <c:v>3.58</c:v>
                </c:pt>
                <c:pt idx="4">
                  <c:v>44.419999999999995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FD-47DB-AF47-79F83E1ED01C}"/>
            </c:ext>
          </c:extLst>
        </c:ser>
        <c:ser>
          <c:idx val="1"/>
          <c:order val="1"/>
          <c:tx>
            <c:strRef>
              <c:f>'Apr-22  '!$AK$10</c:f>
              <c:strCache>
                <c:ptCount val="1"/>
                <c:pt idx="0">
                  <c:v>21-Apr-2022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815896786367249E-3"/>
                  <c:y val="-1.08006785522568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D-47DB-AF47-79F83E1ED01C}"/>
                </c:ext>
              </c:extLst>
            </c:dLbl>
            <c:dLbl>
              <c:idx val="1"/>
              <c:layout>
                <c:manualLayout>
                  <c:x val="1.0736343204016138E-3"/>
                  <c:y val="2.79967846046426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D-47DB-AF47-79F83E1ED01C}"/>
                </c:ext>
              </c:extLst>
            </c:dLbl>
            <c:dLbl>
              <c:idx val="2"/>
              <c:layout>
                <c:manualLayout>
                  <c:x val="0"/>
                  <c:y val="-2.36322782837505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D-47DB-AF47-79F83E1ED01C}"/>
                </c:ext>
              </c:extLst>
            </c:dLbl>
            <c:dLbl>
              <c:idx val="3"/>
              <c:layout>
                <c:manualLayout>
                  <c:x val="0"/>
                  <c:y val="3.94445891263691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EFD-47DB-AF47-79F83E1ED01C}"/>
                </c:ext>
              </c:extLst>
            </c:dLbl>
            <c:dLbl>
              <c:idx val="4"/>
              <c:layout>
                <c:manualLayout>
                  <c:x val="1.1714380901997958E-6"/>
                  <c:y val="-1.47783885854803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D-47DB-AF47-79F83E1ED01C}"/>
                </c:ext>
              </c:extLst>
            </c:dLbl>
            <c:dLbl>
              <c:idx val="5"/>
              <c:layout>
                <c:manualLayout>
                  <c:x val="0"/>
                  <c:y val="-7.888917825273825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D-47DB-AF47-79F83E1ED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'Apr-22  '!$AK$11:$AK$16</c:f>
              <c:numCache>
                <c:formatCode>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EFD-47DB-AF47-79F83E1ED01C}"/>
            </c:ext>
          </c:extLst>
        </c:ser>
        <c:ser>
          <c:idx val="2"/>
          <c:order val="2"/>
          <c:tx>
            <c:strRef>
              <c:f>'Apr-22  '!$AL$10</c:f>
              <c:strCache>
                <c:ptCount val="1"/>
                <c:pt idx="0">
                  <c:v>22-Apr-2022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2.1468871687534059E-5"/>
                  <c:y val="8.37533563311537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D-47DB-AF47-79F83E1ED01C}"/>
                </c:ext>
              </c:extLst>
            </c:dLbl>
            <c:dLbl>
              <c:idx val="1"/>
              <c:layout>
                <c:manualLayout>
                  <c:x val="0"/>
                  <c:y val="-2.613735580232950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D-47DB-AF47-79F83E1ED01C}"/>
                </c:ext>
              </c:extLst>
            </c:dLbl>
            <c:dLbl>
              <c:idx val="3"/>
              <c:layout>
                <c:manualLayout>
                  <c:x val="0"/>
                  <c:y val="-9.80360371209208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D-47DB-AF47-79F83E1ED01C}"/>
                </c:ext>
              </c:extLst>
            </c:dLbl>
            <c:dLbl>
              <c:idx val="4"/>
              <c:layout>
                <c:manualLayout>
                  <c:x val="-1.8071384938163397E-4"/>
                  <c:y val="-2.461229933737243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D-47DB-AF47-79F83E1ED01C}"/>
                </c:ext>
              </c:extLst>
            </c:dLbl>
            <c:dLbl>
              <c:idx val="5"/>
              <c:layout>
                <c:manualLayout>
                  <c:x val="0"/>
                  <c:y val="-1.74443291463711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D-47DB-AF47-79F83E1ED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'Apr-22  '!$AL$11:$AL$16</c:f>
              <c:numCache>
                <c:formatCode>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EFD-47DB-AF47-79F83E1ED01C}"/>
            </c:ext>
          </c:extLst>
        </c:ser>
        <c:ser>
          <c:idx val="3"/>
          <c:order val="3"/>
          <c:tx>
            <c:strRef>
              <c:f>'Apr-22  '!$AM$10</c:f>
              <c:strCache>
                <c:ptCount val="1"/>
                <c:pt idx="0">
                  <c:v>23-Apr-2022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22550572756084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D-47DB-AF47-79F83E1ED01C}"/>
                </c:ext>
              </c:extLst>
            </c:dLbl>
            <c:dLbl>
              <c:idx val="1"/>
              <c:layout>
                <c:manualLayout>
                  <c:x val="-3.9679700787263952E-17"/>
                  <c:y val="-5.776908100454371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EFD-47DB-AF47-79F83E1ED01C}"/>
                </c:ext>
              </c:extLst>
            </c:dLbl>
            <c:dLbl>
              <c:idx val="2"/>
              <c:layout>
                <c:manualLayout>
                  <c:x val="0"/>
                  <c:y val="-1.57778356505477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EFD-47DB-AF47-79F83E1ED01C}"/>
                </c:ext>
              </c:extLst>
            </c:dLbl>
            <c:dLbl>
              <c:idx val="4"/>
              <c:layout>
                <c:manualLayout>
                  <c:x val="2.1263400965458859E-3"/>
                  <c:y val="9.697470770634224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EFD-47DB-AF47-79F83E1ED01C}"/>
                </c:ext>
              </c:extLst>
            </c:dLbl>
            <c:dLbl>
              <c:idx val="5"/>
              <c:layout>
                <c:manualLayout>
                  <c:x val="-1.5475654635488098E-16"/>
                  <c:y val="-1.78060714210310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EFD-47DB-AF47-79F83E1ED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'Apr-22  '!$AM$11:$AM$16</c:f>
              <c:numCache>
                <c:formatCode>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EFD-47DB-AF47-79F83E1ED01C}"/>
            </c:ext>
          </c:extLst>
        </c:ser>
        <c:ser>
          <c:idx val="4"/>
          <c:order val="4"/>
          <c:tx>
            <c:strRef>
              <c:f>'Apr-22  '!$AN$10</c:f>
              <c:strCache>
                <c:ptCount val="1"/>
                <c:pt idx="0">
                  <c:v>24-Apr-2022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9.9181758303582717E-4"/>
                  <c:y val="-3.64494936550976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EFD-47DB-AF47-79F83E1ED01C}"/>
                </c:ext>
              </c:extLst>
            </c:dLbl>
            <c:dLbl>
              <c:idx val="1"/>
              <c:layout>
                <c:manualLayout>
                  <c:x val="7.1379627629434829E-5"/>
                  <c:y val="-3.9659666267753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EFD-47DB-AF47-79F83E1ED01C}"/>
                </c:ext>
              </c:extLst>
            </c:dLbl>
            <c:dLbl>
              <c:idx val="3"/>
              <c:layout>
                <c:manualLayout>
                  <c:x val="-7.9750471303797272E-17"/>
                  <c:y val="-1.176432445451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EFD-47DB-AF47-79F83E1ED01C}"/>
                </c:ext>
              </c:extLst>
            </c:dLbl>
            <c:dLbl>
              <c:idx val="4"/>
              <c:layout>
                <c:manualLayout>
                  <c:x val="2.1242077368956298E-5"/>
                  <c:y val="6.102568196648590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2EFD-47DB-AF47-79F83E1ED01C}"/>
                </c:ext>
              </c:extLst>
            </c:dLbl>
            <c:dLbl>
              <c:idx val="5"/>
              <c:layout>
                <c:manualLayout>
                  <c:x val="-1.588019963952801E-16"/>
                  <c:y val="-2.00670464838953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EFD-47DB-AF47-79F83E1ED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'Apr-22  '!$AN$11:$AN$16</c:f>
              <c:numCache>
                <c:formatCode>#,##0.00</c:formatCode>
                <c:ptCount val="6"/>
                <c:pt idx="0">
                  <c:v>15.46</c:v>
                </c:pt>
                <c:pt idx="1">
                  <c:v>0</c:v>
                </c:pt>
                <c:pt idx="2">
                  <c:v>0</c:v>
                </c:pt>
                <c:pt idx="3">
                  <c:v>1.8495999999999999</c:v>
                </c:pt>
                <c:pt idx="4">
                  <c:v>17.3096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EFD-47DB-AF47-79F83E1ED01C}"/>
            </c:ext>
          </c:extLst>
        </c:ser>
        <c:ser>
          <c:idx val="5"/>
          <c:order val="5"/>
          <c:tx>
            <c:strRef>
              <c:f>'Apr-22  '!$AO$10</c:f>
              <c:strCache>
                <c:ptCount val="1"/>
                <c:pt idx="0">
                  <c:v>25-Apr-2022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0091398723628657E-4"/>
                  <c:y val="2.559588560729578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2EFD-47DB-AF47-79F83E1ED01C}"/>
                </c:ext>
              </c:extLst>
            </c:dLbl>
            <c:dLbl>
              <c:idx val="1"/>
              <c:layout>
                <c:manualLayout>
                  <c:x val="-9.0356924690816986E-5"/>
                  <c:y val="-4.990738985795484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EFD-47DB-AF47-79F83E1ED01C}"/>
                </c:ext>
              </c:extLst>
            </c:dLbl>
            <c:dLbl>
              <c:idx val="2"/>
              <c:layout>
                <c:manualLayout>
                  <c:x val="0"/>
                  <c:y val="-1.38056061942293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EFD-47DB-AF47-79F83E1ED01C}"/>
                </c:ext>
              </c:extLst>
            </c:dLbl>
            <c:dLbl>
              <c:idx val="3"/>
              <c:layout>
                <c:manualLayout>
                  <c:x val="-7.9400998197640049E-17"/>
                  <c:y val="5.91668836895522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800" b="1" i="0" u="none" strike="noStrike" kern="1200" baseline="0">
                      <a:solidFill>
                        <a:sysClr val="windowText" lastClr="000000"/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2EFD-47DB-AF47-79F83E1ED01C}"/>
                </c:ext>
              </c:extLst>
            </c:dLbl>
            <c:dLbl>
              <c:idx val="4"/>
              <c:layout>
                <c:manualLayout>
                  <c:x val="1.0631972106653347E-3"/>
                  <c:y val="-4.655004041506989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2EFD-47DB-AF47-79F83E1ED01C}"/>
                </c:ext>
              </c:extLst>
            </c:dLbl>
            <c:dLbl>
              <c:idx val="5"/>
              <c:layout>
                <c:manualLayout>
                  <c:x val="-1.588019963952801E-16"/>
                  <c:y val="7.84295090251224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2EFD-47DB-AF47-79F83E1ED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2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'Apr-22  '!$AI$11:$AI$16</c:f>
              <c:strCache>
                <c:ptCount val="6"/>
                <c:pt idx="0">
                  <c:v>Jones Creek</c:v>
                </c:pt>
                <c:pt idx="1">
                  <c:v>Odidi</c:v>
                </c:pt>
                <c:pt idx="2">
                  <c:v>Batan</c:v>
                </c:pt>
                <c:pt idx="3">
                  <c:v>Egwa</c:v>
                </c:pt>
                <c:pt idx="4">
                  <c:v>OML-42</c:v>
                </c:pt>
                <c:pt idx="5">
                  <c:v>Gas Export</c:v>
                </c:pt>
              </c:strCache>
            </c:strRef>
          </c:cat>
          <c:val>
            <c:numRef>
              <c:f>'Apr-22  '!$AO$11:$AO$16</c:f>
              <c:numCache>
                <c:formatCode>#,##0.00</c:formatCode>
                <c:ptCount val="6"/>
                <c:pt idx="0">
                  <c:v>8.9890000000000008</c:v>
                </c:pt>
                <c:pt idx="1">
                  <c:v>0</c:v>
                </c:pt>
                <c:pt idx="2">
                  <c:v>0</c:v>
                </c:pt>
                <c:pt idx="3">
                  <c:v>0.87</c:v>
                </c:pt>
                <c:pt idx="4">
                  <c:v>9.859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EFD-47DB-AF47-79F83E1ED01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11"/>
        <c:axId val="191822968"/>
        <c:axId val="191821792"/>
      </c:barChart>
      <c:catAx>
        <c:axId val="1918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792"/>
        <c:crosses val="autoZero"/>
        <c:auto val="1"/>
        <c:lblAlgn val="ctr"/>
        <c:lblOffset val="100"/>
        <c:noMultiLvlLbl val="0"/>
      </c:catAx>
      <c:valAx>
        <c:axId val="19182179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  <a:r>
                  <a:rPr lang="en-US" sz="2000" b="1" baseline="0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 &amp; </a:t>
                </a:r>
                <a:r>
                  <a:rPr lang="en-US" sz="20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MMscf/d</a:t>
                </a:r>
              </a:p>
            </c:rich>
          </c:tx>
          <c:layout>
            <c:manualLayout>
              <c:xMode val="edge"/>
              <c:yMode val="edge"/>
              <c:x val="1.4055191752345337E-2"/>
              <c:y val="0.25913091080463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2968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059765481410556"/>
          <c:y val="0.94012527385880318"/>
          <c:w val="0.79344823357349858"/>
          <c:h val="4.28015385968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rPr>
              <a:t>Odidi Gas vs Oil Performance Analysis - April 2022</a:t>
            </a:r>
          </a:p>
        </c:rich>
      </c:tx>
      <c:layout>
        <c:manualLayout>
          <c:xMode val="edge"/>
          <c:yMode val="edge"/>
          <c:x val="0.22298760840626958"/>
          <c:y val="2.1821898964775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03260925064E-2"/>
          <c:y val="0.10509041843602934"/>
          <c:w val="0.85774482469846913"/>
          <c:h val="0.71708319398371989"/>
        </c:manualLayout>
      </c:layout>
      <c:lineChart>
        <c:grouping val="standard"/>
        <c:varyColors val="0"/>
        <c:ser>
          <c:idx val="0"/>
          <c:order val="0"/>
          <c:tx>
            <c:strRef>
              <c:f>'Apr-22 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'Apr-22  '!$B$5:$B$40</c15:sqref>
                  </c15:fullRef>
                </c:ext>
              </c:extLst>
              <c:f>'Apr-22  '!$B$8:$B$40</c:f>
              <c:numCache>
                <c:formatCode>d\-mmm\-yy</c:formatCode>
                <c:ptCount val="33"/>
                <c:pt idx="0">
                  <c:v>44654</c:v>
                </c:pt>
                <c:pt idx="1">
                  <c:v>44655</c:v>
                </c:pt>
                <c:pt idx="2">
                  <c:v>44656</c:v>
                </c:pt>
                <c:pt idx="3">
                  <c:v>44657</c:v>
                </c:pt>
                <c:pt idx="4">
                  <c:v>44658</c:v>
                </c:pt>
                <c:pt idx="5">
                  <c:v>44659</c:v>
                </c:pt>
                <c:pt idx="6">
                  <c:v>44660</c:v>
                </c:pt>
                <c:pt idx="7">
                  <c:v>44661</c:v>
                </c:pt>
                <c:pt idx="8">
                  <c:v>44662</c:v>
                </c:pt>
                <c:pt idx="9">
                  <c:v>44663</c:v>
                </c:pt>
                <c:pt idx="10">
                  <c:v>44664</c:v>
                </c:pt>
                <c:pt idx="11">
                  <c:v>44665</c:v>
                </c:pt>
                <c:pt idx="12">
                  <c:v>44666</c:v>
                </c:pt>
                <c:pt idx="13">
                  <c:v>44667</c:v>
                </c:pt>
                <c:pt idx="14">
                  <c:v>44668</c:v>
                </c:pt>
                <c:pt idx="15">
                  <c:v>44669</c:v>
                </c:pt>
                <c:pt idx="16">
                  <c:v>44670</c:v>
                </c:pt>
                <c:pt idx="17">
                  <c:v>44671</c:v>
                </c:pt>
                <c:pt idx="18">
                  <c:v>44672</c:v>
                </c:pt>
                <c:pt idx="19">
                  <c:v>44673</c:v>
                </c:pt>
                <c:pt idx="20">
                  <c:v>44674</c:v>
                </c:pt>
                <c:pt idx="21">
                  <c:v>44675</c:v>
                </c:pt>
                <c:pt idx="22">
                  <c:v>44676</c:v>
                </c:pt>
                <c:pt idx="23">
                  <c:v>44677</c:v>
                </c:pt>
                <c:pt idx="24">
                  <c:v>44678</c:v>
                </c:pt>
                <c:pt idx="25">
                  <c:v>44679</c:v>
                </c:pt>
                <c:pt idx="26">
                  <c:v>44680</c:v>
                </c:pt>
                <c:pt idx="27">
                  <c:v>44681</c:v>
                </c:pt>
                <c:pt idx="28">
                  <c:v>44682</c:v>
                </c:pt>
                <c:pt idx="29">
                  <c:v>44683</c:v>
                </c:pt>
                <c:pt idx="30">
                  <c:v>44684</c:v>
                </c:pt>
                <c:pt idx="31">
                  <c:v>44685</c:v>
                </c:pt>
                <c:pt idx="32">
                  <c:v>44686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'Apr-22  '!$I$5:$I$40</c15:sqref>
                  </c15:fullRef>
                </c:ext>
              </c:extLst>
              <c:f>'Apr-22  '!$I$8:$I$40</c:f>
              <c:numCache>
                <c:formatCode>#,##0.000</c:formatCode>
                <c:ptCount val="33"/>
                <c:pt idx="0">
                  <c:v>10.007999999999999</c:v>
                </c:pt>
                <c:pt idx="1">
                  <c:v>9.56</c:v>
                </c:pt>
                <c:pt idx="2">
                  <c:v>10.134</c:v>
                </c:pt>
                <c:pt idx="3">
                  <c:v>8.4770000000000003</c:v>
                </c:pt>
                <c:pt idx="4">
                  <c:v>7.4290000000000003</c:v>
                </c:pt>
                <c:pt idx="5">
                  <c:v>3.8180000000000001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5.1929999999999996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1-41AE-8D8F-7FB7AE545EDC}"/>
            </c:ext>
          </c:extLst>
        </c:ser>
        <c:ser>
          <c:idx val="1"/>
          <c:order val="1"/>
          <c:tx>
            <c:strRef>
              <c:f>'Apr-22  '!$M$4</c:f>
              <c:strCache>
                <c:ptCount val="1"/>
                <c:pt idx="0">
                  <c:v>Gas Export (MMscf/d)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'Apr-22  '!$B$5:$B$40</c15:sqref>
                  </c15:fullRef>
                </c:ext>
              </c:extLst>
              <c:f>'Apr-22  '!$B$8:$B$40</c:f>
              <c:numCache>
                <c:formatCode>d\-mmm\-yy</c:formatCode>
                <c:ptCount val="33"/>
                <c:pt idx="0">
                  <c:v>44654</c:v>
                </c:pt>
                <c:pt idx="1">
                  <c:v>44655</c:v>
                </c:pt>
                <c:pt idx="2">
                  <c:v>44656</c:v>
                </c:pt>
                <c:pt idx="3">
                  <c:v>44657</c:v>
                </c:pt>
                <c:pt idx="4">
                  <c:v>44658</c:v>
                </c:pt>
                <c:pt idx="5">
                  <c:v>44659</c:v>
                </c:pt>
                <c:pt idx="6">
                  <c:v>44660</c:v>
                </c:pt>
                <c:pt idx="7">
                  <c:v>44661</c:v>
                </c:pt>
                <c:pt idx="8">
                  <c:v>44662</c:v>
                </c:pt>
                <c:pt idx="9">
                  <c:v>44663</c:v>
                </c:pt>
                <c:pt idx="10">
                  <c:v>44664</c:v>
                </c:pt>
                <c:pt idx="11">
                  <c:v>44665</c:v>
                </c:pt>
                <c:pt idx="12">
                  <c:v>44666</c:v>
                </c:pt>
                <c:pt idx="13">
                  <c:v>44667</c:v>
                </c:pt>
                <c:pt idx="14">
                  <c:v>44668</c:v>
                </c:pt>
                <c:pt idx="15">
                  <c:v>44669</c:v>
                </c:pt>
                <c:pt idx="16">
                  <c:v>44670</c:v>
                </c:pt>
                <c:pt idx="17">
                  <c:v>44671</c:v>
                </c:pt>
                <c:pt idx="18">
                  <c:v>44672</c:v>
                </c:pt>
                <c:pt idx="19">
                  <c:v>44673</c:v>
                </c:pt>
                <c:pt idx="20">
                  <c:v>44674</c:v>
                </c:pt>
                <c:pt idx="21">
                  <c:v>44675</c:v>
                </c:pt>
                <c:pt idx="22">
                  <c:v>44676</c:v>
                </c:pt>
                <c:pt idx="23">
                  <c:v>44677</c:v>
                </c:pt>
                <c:pt idx="24">
                  <c:v>44678</c:v>
                </c:pt>
                <c:pt idx="25">
                  <c:v>44679</c:v>
                </c:pt>
                <c:pt idx="26">
                  <c:v>44680</c:v>
                </c:pt>
                <c:pt idx="27">
                  <c:v>44681</c:v>
                </c:pt>
                <c:pt idx="28">
                  <c:v>44682</c:v>
                </c:pt>
                <c:pt idx="29">
                  <c:v>44683</c:v>
                </c:pt>
                <c:pt idx="30">
                  <c:v>44684</c:v>
                </c:pt>
                <c:pt idx="31">
                  <c:v>44685</c:v>
                </c:pt>
                <c:pt idx="32">
                  <c:v>44686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'Apr-22  '!$M$5:$M$40</c15:sqref>
                  </c15:fullRef>
                </c:ext>
              </c:extLst>
              <c:f>'Apr-22  '!$M$8:$M$40</c:f>
              <c:numCache>
                <c:formatCode>#,##0.000</c:formatCode>
                <c:ptCount val="33"/>
                <c:pt idx="0">
                  <c:v>9.5380000000000003</c:v>
                </c:pt>
                <c:pt idx="1">
                  <c:v>9.7200000000000006</c:v>
                </c:pt>
                <c:pt idx="2">
                  <c:v>5.4740000000000002</c:v>
                </c:pt>
                <c:pt idx="3">
                  <c:v>1.4550000000000001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1-41AE-8D8F-7FB7AE545EDC}"/>
            </c:ext>
          </c:extLst>
        </c:ser>
        <c:ser>
          <c:idx val="2"/>
          <c:order val="2"/>
          <c:tx>
            <c:strRef>
              <c:f>'Apr-22  '!$S$4</c:f>
              <c:strCache>
                <c:ptCount val="1"/>
                <c:pt idx="0">
                  <c:v>Odid Prod gas (MMscf)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'Apr-22  '!$B$5:$B$40</c15:sqref>
                  </c15:fullRef>
                </c:ext>
              </c:extLst>
              <c:f>'Apr-22  '!$B$8:$B$40</c:f>
              <c:numCache>
                <c:formatCode>d\-mmm\-yy</c:formatCode>
                <c:ptCount val="33"/>
                <c:pt idx="0">
                  <c:v>44654</c:v>
                </c:pt>
                <c:pt idx="1">
                  <c:v>44655</c:v>
                </c:pt>
                <c:pt idx="2">
                  <c:v>44656</c:v>
                </c:pt>
                <c:pt idx="3">
                  <c:v>44657</c:v>
                </c:pt>
                <c:pt idx="4">
                  <c:v>44658</c:v>
                </c:pt>
                <c:pt idx="5">
                  <c:v>44659</c:v>
                </c:pt>
                <c:pt idx="6">
                  <c:v>44660</c:v>
                </c:pt>
                <c:pt idx="7">
                  <c:v>44661</c:v>
                </c:pt>
                <c:pt idx="8">
                  <c:v>44662</c:v>
                </c:pt>
                <c:pt idx="9">
                  <c:v>44663</c:v>
                </c:pt>
                <c:pt idx="10">
                  <c:v>44664</c:v>
                </c:pt>
                <c:pt idx="11">
                  <c:v>44665</c:v>
                </c:pt>
                <c:pt idx="12">
                  <c:v>44666</c:v>
                </c:pt>
                <c:pt idx="13">
                  <c:v>44667</c:v>
                </c:pt>
                <c:pt idx="14">
                  <c:v>44668</c:v>
                </c:pt>
                <c:pt idx="15">
                  <c:v>44669</c:v>
                </c:pt>
                <c:pt idx="16">
                  <c:v>44670</c:v>
                </c:pt>
                <c:pt idx="17">
                  <c:v>44671</c:v>
                </c:pt>
                <c:pt idx="18">
                  <c:v>44672</c:v>
                </c:pt>
                <c:pt idx="19">
                  <c:v>44673</c:v>
                </c:pt>
                <c:pt idx="20">
                  <c:v>44674</c:v>
                </c:pt>
                <c:pt idx="21">
                  <c:v>44675</c:v>
                </c:pt>
                <c:pt idx="22">
                  <c:v>44676</c:v>
                </c:pt>
                <c:pt idx="23">
                  <c:v>44677</c:v>
                </c:pt>
                <c:pt idx="24">
                  <c:v>44678</c:v>
                </c:pt>
                <c:pt idx="25">
                  <c:v>44679</c:v>
                </c:pt>
                <c:pt idx="26">
                  <c:v>44680</c:v>
                </c:pt>
                <c:pt idx="27">
                  <c:v>44681</c:v>
                </c:pt>
                <c:pt idx="28">
                  <c:v>44682</c:v>
                </c:pt>
                <c:pt idx="29">
                  <c:v>44683</c:v>
                </c:pt>
                <c:pt idx="30">
                  <c:v>44684</c:v>
                </c:pt>
                <c:pt idx="31">
                  <c:v>44685</c:v>
                </c:pt>
                <c:pt idx="32">
                  <c:v>44686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'Apr-22  '!$S$5:$S$40</c15:sqref>
                  </c15:fullRef>
                </c:ext>
              </c:extLst>
              <c:f>'Apr-22  '!$S$8:$S$40</c:f>
              <c:numCache>
                <c:formatCode>#,##0.00</c:formatCode>
                <c:ptCount val="33"/>
                <c:pt idx="0">
                  <c:v>20.8</c:v>
                </c:pt>
                <c:pt idx="1">
                  <c:v>19.96</c:v>
                </c:pt>
                <c:pt idx="2">
                  <c:v>20.8</c:v>
                </c:pt>
                <c:pt idx="3">
                  <c:v>19.21</c:v>
                </c:pt>
                <c:pt idx="4">
                  <c:v>18.04</c:v>
                </c:pt>
                <c:pt idx="5">
                  <c:v>9.52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D1-41AE-8D8F-7FB7AE545EDC}"/>
            </c:ext>
          </c:extLst>
        </c:ser>
        <c:ser>
          <c:idx val="3"/>
          <c:order val="3"/>
          <c:tx>
            <c:strRef>
              <c:f>'Apr-22  '!$AA$4</c:f>
              <c:strCache>
                <c:ptCount val="1"/>
                <c:pt idx="0">
                  <c:v> Odidi Flared Gas (MMscf/d)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'Apr-22  '!$B$5:$B$40</c15:sqref>
                  </c15:fullRef>
                </c:ext>
              </c:extLst>
              <c:f>'Apr-22  '!$B$8:$B$40</c:f>
              <c:numCache>
                <c:formatCode>d\-mmm\-yy</c:formatCode>
                <c:ptCount val="33"/>
                <c:pt idx="0">
                  <c:v>44654</c:v>
                </c:pt>
                <c:pt idx="1">
                  <c:v>44655</c:v>
                </c:pt>
                <c:pt idx="2">
                  <c:v>44656</c:v>
                </c:pt>
                <c:pt idx="3">
                  <c:v>44657</c:v>
                </c:pt>
                <c:pt idx="4">
                  <c:v>44658</c:v>
                </c:pt>
                <c:pt idx="5">
                  <c:v>44659</c:v>
                </c:pt>
                <c:pt idx="6">
                  <c:v>44660</c:v>
                </c:pt>
                <c:pt idx="7">
                  <c:v>44661</c:v>
                </c:pt>
                <c:pt idx="8">
                  <c:v>44662</c:v>
                </c:pt>
                <c:pt idx="9">
                  <c:v>44663</c:v>
                </c:pt>
                <c:pt idx="10">
                  <c:v>44664</c:v>
                </c:pt>
                <c:pt idx="11">
                  <c:v>44665</c:v>
                </c:pt>
                <c:pt idx="12">
                  <c:v>44666</c:v>
                </c:pt>
                <c:pt idx="13">
                  <c:v>44667</c:v>
                </c:pt>
                <c:pt idx="14">
                  <c:v>44668</c:v>
                </c:pt>
                <c:pt idx="15">
                  <c:v>44669</c:v>
                </c:pt>
                <c:pt idx="16">
                  <c:v>44670</c:v>
                </c:pt>
                <c:pt idx="17">
                  <c:v>44671</c:v>
                </c:pt>
                <c:pt idx="18">
                  <c:v>44672</c:v>
                </c:pt>
                <c:pt idx="19">
                  <c:v>44673</c:v>
                </c:pt>
                <c:pt idx="20">
                  <c:v>44674</c:v>
                </c:pt>
                <c:pt idx="21">
                  <c:v>44675</c:v>
                </c:pt>
                <c:pt idx="22">
                  <c:v>44676</c:v>
                </c:pt>
                <c:pt idx="23">
                  <c:v>44677</c:v>
                </c:pt>
                <c:pt idx="24">
                  <c:v>44678</c:v>
                </c:pt>
                <c:pt idx="25">
                  <c:v>44679</c:v>
                </c:pt>
                <c:pt idx="26">
                  <c:v>44680</c:v>
                </c:pt>
                <c:pt idx="27">
                  <c:v>44681</c:v>
                </c:pt>
                <c:pt idx="28">
                  <c:v>44682</c:v>
                </c:pt>
                <c:pt idx="29">
                  <c:v>44683</c:v>
                </c:pt>
                <c:pt idx="30">
                  <c:v>44684</c:v>
                </c:pt>
                <c:pt idx="31">
                  <c:v>44685</c:v>
                </c:pt>
                <c:pt idx="32">
                  <c:v>44686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'Apr-22  '!$AA$5:$AA$40</c15:sqref>
                  </c15:fullRef>
                </c:ext>
              </c:extLst>
              <c:f>'Apr-22  '!$AA$8:$AA$40</c:f>
              <c:numCache>
                <c:formatCode>#,##0.00</c:formatCode>
                <c:ptCount val="33"/>
                <c:pt idx="0">
                  <c:v>11.262</c:v>
                </c:pt>
                <c:pt idx="1">
                  <c:v>10.24</c:v>
                </c:pt>
                <c:pt idx="2">
                  <c:v>15.326000000000001</c:v>
                </c:pt>
                <c:pt idx="3">
                  <c:v>17.755000000000003</c:v>
                </c:pt>
                <c:pt idx="4">
                  <c:v>18.04</c:v>
                </c:pt>
                <c:pt idx="5">
                  <c:v>9.52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D1-41AE-8D8F-7FB7AE545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1400"/>
        <c:axId val="191823360"/>
      </c:lineChart>
      <c:dateAx>
        <c:axId val="191821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3360"/>
        <c:crosses val="autoZero"/>
        <c:auto val="1"/>
        <c:lblOffset val="100"/>
        <c:baseTimeUnit val="days"/>
      </c:dateAx>
      <c:valAx>
        <c:axId val="1918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</a:rPr>
                  <a:t> MMscf/d/Mbopd </a:t>
                </a:r>
                <a:r>
                  <a:rPr lang="en-US" sz="1800" b="1" baseline="0">
                    <a:solidFill>
                      <a:srgbClr val="FF0000"/>
                    </a:solidFill>
                  </a:rPr>
                  <a:t> </a:t>
                </a:r>
                <a:endParaRPr lang="en-US" sz="1800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107055884506591E-2"/>
              <c:y val="0.31496496801158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1400"/>
        <c:crosses val="autoZero"/>
        <c:crossBetween val="between"/>
      </c:valAx>
      <c:spPr>
        <a:solidFill>
          <a:schemeClr val="accent3">
            <a:lumMod val="20000"/>
            <a:lumOff val="80000"/>
            <a:alpha val="46000"/>
          </a:schemeClr>
        </a:solidFill>
        <a:ln w="15875" cap="flat" cmpd="sng" algn="ctr">
          <a:solidFill>
            <a:schemeClr val="tx1"/>
          </a:solidFill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9.8767812560015364E-2"/>
          <c:y val="0.93832698408244075"/>
          <c:w val="0.7237648707612685"/>
          <c:h val="4.1064016354188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5875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  <a:effectLst>
                  <a:outerShdw blurRad="50800" dist="12700" dir="2700000" algn="tl" rotWithShape="0">
                    <a:prstClr val="black">
                      <a:alpha val="40000"/>
                    </a:prstClr>
                  </a:outerShdw>
                </a:effectLst>
                <a:latin typeface="Gill Sans MT" panose="020B0502020104020203" pitchFamily="34" charset="0"/>
              </a:rPr>
              <a:t>OML-42 April 2022 Production Performance per Field</a:t>
            </a:r>
          </a:p>
        </c:rich>
      </c:tx>
      <c:layout>
        <c:manualLayout>
          <c:xMode val="edge"/>
          <c:yMode val="edge"/>
          <c:x val="0.216707098410925"/>
          <c:y val="1.317959132254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FF0000"/>
              </a:solidFill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17123054511764E-2"/>
          <c:y val="8.2533986060835243E-2"/>
          <c:w val="0.85774482469846913"/>
          <c:h val="0.75116629131529378"/>
        </c:manualLayout>
      </c:layout>
      <c:lineChart>
        <c:grouping val="standard"/>
        <c:varyColors val="0"/>
        <c:ser>
          <c:idx val="0"/>
          <c:order val="0"/>
          <c:tx>
            <c:strRef>
              <c:f>'Apr-22  '!$G$4</c:f>
              <c:strCache>
                <c:ptCount val="1"/>
                <c:pt idx="0">
                  <c:v>February 2022 Prod Target (Mbopd)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'Apr-22  '!$B$5:$B$40</c:f>
              <c:numCache>
                <c:formatCode>d\-mmm\-yy</c:formatCode>
                <c:ptCount val="36"/>
                <c:pt idx="0">
                  <c:v>44651</c:v>
                </c:pt>
                <c:pt idx="1">
                  <c:v>44652</c:v>
                </c:pt>
                <c:pt idx="2">
                  <c:v>44653</c:v>
                </c:pt>
                <c:pt idx="3">
                  <c:v>44654</c:v>
                </c:pt>
                <c:pt idx="4">
                  <c:v>44655</c:v>
                </c:pt>
                <c:pt idx="5">
                  <c:v>44656</c:v>
                </c:pt>
                <c:pt idx="6">
                  <c:v>44657</c:v>
                </c:pt>
                <c:pt idx="7">
                  <c:v>44658</c:v>
                </c:pt>
                <c:pt idx="8">
                  <c:v>44659</c:v>
                </c:pt>
                <c:pt idx="9">
                  <c:v>44660</c:v>
                </c:pt>
                <c:pt idx="10">
                  <c:v>44661</c:v>
                </c:pt>
                <c:pt idx="11">
                  <c:v>44662</c:v>
                </c:pt>
                <c:pt idx="12">
                  <c:v>44663</c:v>
                </c:pt>
                <c:pt idx="13">
                  <c:v>44664</c:v>
                </c:pt>
                <c:pt idx="14">
                  <c:v>44665</c:v>
                </c:pt>
                <c:pt idx="15">
                  <c:v>44666</c:v>
                </c:pt>
                <c:pt idx="16">
                  <c:v>44667</c:v>
                </c:pt>
                <c:pt idx="17">
                  <c:v>44668</c:v>
                </c:pt>
                <c:pt idx="18">
                  <c:v>44669</c:v>
                </c:pt>
                <c:pt idx="19">
                  <c:v>44670</c:v>
                </c:pt>
                <c:pt idx="20">
                  <c:v>44671</c:v>
                </c:pt>
                <c:pt idx="21">
                  <c:v>44672</c:v>
                </c:pt>
                <c:pt idx="22">
                  <c:v>44673</c:v>
                </c:pt>
                <c:pt idx="23">
                  <c:v>44674</c:v>
                </c:pt>
                <c:pt idx="24">
                  <c:v>44675</c:v>
                </c:pt>
                <c:pt idx="25">
                  <c:v>44676</c:v>
                </c:pt>
                <c:pt idx="26">
                  <c:v>44677</c:v>
                </c:pt>
                <c:pt idx="27">
                  <c:v>44678</c:v>
                </c:pt>
                <c:pt idx="28">
                  <c:v>44679</c:v>
                </c:pt>
                <c:pt idx="29">
                  <c:v>44680</c:v>
                </c:pt>
                <c:pt idx="30">
                  <c:v>44681</c:v>
                </c:pt>
                <c:pt idx="31">
                  <c:v>44682</c:v>
                </c:pt>
                <c:pt idx="32">
                  <c:v>44683</c:v>
                </c:pt>
                <c:pt idx="33">
                  <c:v>44684</c:v>
                </c:pt>
                <c:pt idx="34">
                  <c:v>44685</c:v>
                </c:pt>
                <c:pt idx="35">
                  <c:v>44686</c:v>
                </c:pt>
              </c:numCache>
            </c:numRef>
          </c:cat>
          <c:val>
            <c:numRef>
              <c:f>'Apr-22  '!$G$5:$G$40</c:f>
              <c:numCache>
                <c:formatCode>#,##0.000</c:formatCode>
                <c:ptCount val="36"/>
                <c:pt idx="0">
                  <c:v>44.419999999999995</c:v>
                </c:pt>
                <c:pt idx="1">
                  <c:v>44.419999999999995</c:v>
                </c:pt>
                <c:pt idx="2">
                  <c:v>44.419999999999995</c:v>
                </c:pt>
                <c:pt idx="3">
                  <c:v>44.419999999999995</c:v>
                </c:pt>
                <c:pt idx="4">
                  <c:v>44.419999999999995</c:v>
                </c:pt>
                <c:pt idx="5">
                  <c:v>44.419999999999995</c:v>
                </c:pt>
                <c:pt idx="6">
                  <c:v>44.419999999999995</c:v>
                </c:pt>
                <c:pt idx="7">
                  <c:v>44.419999999999995</c:v>
                </c:pt>
                <c:pt idx="8">
                  <c:v>44.419999999999995</c:v>
                </c:pt>
                <c:pt idx="9">
                  <c:v>44.419999999999995</c:v>
                </c:pt>
                <c:pt idx="10">
                  <c:v>44.419999999999995</c:v>
                </c:pt>
                <c:pt idx="11">
                  <c:v>44.419999999999995</c:v>
                </c:pt>
                <c:pt idx="12">
                  <c:v>44.419999999999995</c:v>
                </c:pt>
                <c:pt idx="13">
                  <c:v>44.419999999999995</c:v>
                </c:pt>
                <c:pt idx="14">
                  <c:v>44.419999999999995</c:v>
                </c:pt>
                <c:pt idx="15">
                  <c:v>44.419999999999995</c:v>
                </c:pt>
                <c:pt idx="16">
                  <c:v>44.419999999999995</c:v>
                </c:pt>
                <c:pt idx="17">
                  <c:v>44.419999999999995</c:v>
                </c:pt>
                <c:pt idx="18">
                  <c:v>44.419999999999995</c:v>
                </c:pt>
                <c:pt idx="19">
                  <c:v>44.419999999999995</c:v>
                </c:pt>
                <c:pt idx="20">
                  <c:v>44.419999999999995</c:v>
                </c:pt>
                <c:pt idx="21">
                  <c:v>44.419999999999995</c:v>
                </c:pt>
                <c:pt idx="22">
                  <c:v>44.419999999999995</c:v>
                </c:pt>
                <c:pt idx="23">
                  <c:v>44.419999999999995</c:v>
                </c:pt>
                <c:pt idx="24">
                  <c:v>44.419999999999995</c:v>
                </c:pt>
                <c:pt idx="25">
                  <c:v>44.419999999999995</c:v>
                </c:pt>
                <c:pt idx="26">
                  <c:v>44.419999999999995</c:v>
                </c:pt>
                <c:pt idx="27">
                  <c:v>44.419999999999995</c:v>
                </c:pt>
                <c:pt idx="28">
                  <c:v>44.419999999999995</c:v>
                </c:pt>
                <c:pt idx="29">
                  <c:v>44.419999999999995</c:v>
                </c:pt>
                <c:pt idx="30">
                  <c:v>44.419999999999995</c:v>
                </c:pt>
                <c:pt idx="31">
                  <c:v>44.419999999999995</c:v>
                </c:pt>
                <c:pt idx="32">
                  <c:v>44.419999999999995</c:v>
                </c:pt>
                <c:pt idx="33">
                  <c:v>44.419999999999995</c:v>
                </c:pt>
                <c:pt idx="34">
                  <c:v>44.419999999999995</c:v>
                </c:pt>
                <c:pt idx="35">
                  <c:v>44.419999999999995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C-4981-A80D-56065C48DE93}"/>
            </c:ext>
          </c:extLst>
        </c:ser>
        <c:ser>
          <c:idx val="1"/>
          <c:order val="1"/>
          <c:tx>
            <c:strRef>
              <c:f>'Apr-22  '!$H$4</c:f>
              <c:strCache>
                <c:ptCount val="1"/>
                <c:pt idx="0">
                  <c:v>Jones Creek (Mbopd)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'Apr-22  '!$B$5:$B$40</c:f>
              <c:numCache>
                <c:formatCode>d\-mmm\-yy</c:formatCode>
                <c:ptCount val="36"/>
                <c:pt idx="0">
                  <c:v>44651</c:v>
                </c:pt>
                <c:pt idx="1">
                  <c:v>44652</c:v>
                </c:pt>
                <c:pt idx="2">
                  <c:v>44653</c:v>
                </c:pt>
                <c:pt idx="3">
                  <c:v>44654</c:v>
                </c:pt>
                <c:pt idx="4">
                  <c:v>44655</c:v>
                </c:pt>
                <c:pt idx="5">
                  <c:v>44656</c:v>
                </c:pt>
                <c:pt idx="6">
                  <c:v>44657</c:v>
                </c:pt>
                <c:pt idx="7">
                  <c:v>44658</c:v>
                </c:pt>
                <c:pt idx="8">
                  <c:v>44659</c:v>
                </c:pt>
                <c:pt idx="9">
                  <c:v>44660</c:v>
                </c:pt>
                <c:pt idx="10">
                  <c:v>44661</c:v>
                </c:pt>
                <c:pt idx="11">
                  <c:v>44662</c:v>
                </c:pt>
                <c:pt idx="12">
                  <c:v>44663</c:v>
                </c:pt>
                <c:pt idx="13">
                  <c:v>44664</c:v>
                </c:pt>
                <c:pt idx="14">
                  <c:v>44665</c:v>
                </c:pt>
                <c:pt idx="15">
                  <c:v>44666</c:v>
                </c:pt>
                <c:pt idx="16">
                  <c:v>44667</c:v>
                </c:pt>
                <c:pt idx="17">
                  <c:v>44668</c:v>
                </c:pt>
                <c:pt idx="18">
                  <c:v>44669</c:v>
                </c:pt>
                <c:pt idx="19">
                  <c:v>44670</c:v>
                </c:pt>
                <c:pt idx="20">
                  <c:v>44671</c:v>
                </c:pt>
                <c:pt idx="21">
                  <c:v>44672</c:v>
                </c:pt>
                <c:pt idx="22">
                  <c:v>44673</c:v>
                </c:pt>
                <c:pt idx="23">
                  <c:v>44674</c:v>
                </c:pt>
                <c:pt idx="24">
                  <c:v>44675</c:v>
                </c:pt>
                <c:pt idx="25">
                  <c:v>44676</c:v>
                </c:pt>
                <c:pt idx="26">
                  <c:v>44677</c:v>
                </c:pt>
                <c:pt idx="27">
                  <c:v>44678</c:v>
                </c:pt>
                <c:pt idx="28">
                  <c:v>44679</c:v>
                </c:pt>
                <c:pt idx="29">
                  <c:v>44680</c:v>
                </c:pt>
                <c:pt idx="30">
                  <c:v>44681</c:v>
                </c:pt>
                <c:pt idx="31">
                  <c:v>44682</c:v>
                </c:pt>
                <c:pt idx="32">
                  <c:v>44683</c:v>
                </c:pt>
                <c:pt idx="33">
                  <c:v>44684</c:v>
                </c:pt>
                <c:pt idx="34">
                  <c:v>44685</c:v>
                </c:pt>
                <c:pt idx="35">
                  <c:v>44686</c:v>
                </c:pt>
              </c:numCache>
            </c:numRef>
          </c:cat>
          <c:val>
            <c:numRef>
              <c:f>'Apr-22  '!$H$5:$H$40</c:f>
              <c:numCache>
                <c:formatCode>#,##0.000</c:formatCode>
                <c:ptCount val="36"/>
                <c:pt idx="0">
                  <c:v>14.638</c:v>
                </c:pt>
                <c:pt idx="1">
                  <c:v>14.651</c:v>
                </c:pt>
                <c:pt idx="2">
                  <c:v>14.548</c:v>
                </c:pt>
                <c:pt idx="3">
                  <c:v>14.271000000000001</c:v>
                </c:pt>
                <c:pt idx="4">
                  <c:v>14.875</c:v>
                </c:pt>
                <c:pt idx="5">
                  <c:v>13.816000000000001</c:v>
                </c:pt>
                <c:pt idx="6">
                  <c:v>14.111560000000001</c:v>
                </c:pt>
                <c:pt idx="7">
                  <c:v>14.999000000000001</c:v>
                </c:pt>
                <c:pt idx="8">
                  <c:v>15.211</c:v>
                </c:pt>
                <c:pt idx="9">
                  <c:v>5.452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15.46</c:v>
                </c:pt>
                <c:pt idx="25">
                  <c:v>8.9890000000000008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C-4981-A80D-56065C48DE93}"/>
            </c:ext>
          </c:extLst>
        </c:ser>
        <c:ser>
          <c:idx val="2"/>
          <c:order val="2"/>
          <c:tx>
            <c:strRef>
              <c:f>'Apr-22  '!$I$4</c:f>
              <c:strCache>
                <c:ptCount val="1"/>
                <c:pt idx="0">
                  <c:v>Odidi (Mbopd)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'Apr-22  '!$B$5:$B$40</c:f>
              <c:numCache>
                <c:formatCode>d\-mmm\-yy</c:formatCode>
                <c:ptCount val="36"/>
                <c:pt idx="0">
                  <c:v>44651</c:v>
                </c:pt>
                <c:pt idx="1">
                  <c:v>44652</c:v>
                </c:pt>
                <c:pt idx="2">
                  <c:v>44653</c:v>
                </c:pt>
                <c:pt idx="3">
                  <c:v>44654</c:v>
                </c:pt>
                <c:pt idx="4">
                  <c:v>44655</c:v>
                </c:pt>
                <c:pt idx="5">
                  <c:v>44656</c:v>
                </c:pt>
                <c:pt idx="6">
                  <c:v>44657</c:v>
                </c:pt>
                <c:pt idx="7">
                  <c:v>44658</c:v>
                </c:pt>
                <c:pt idx="8">
                  <c:v>44659</c:v>
                </c:pt>
                <c:pt idx="9">
                  <c:v>44660</c:v>
                </c:pt>
                <c:pt idx="10">
                  <c:v>44661</c:v>
                </c:pt>
                <c:pt idx="11">
                  <c:v>44662</c:v>
                </c:pt>
                <c:pt idx="12">
                  <c:v>44663</c:v>
                </c:pt>
                <c:pt idx="13">
                  <c:v>44664</c:v>
                </c:pt>
                <c:pt idx="14">
                  <c:v>44665</c:v>
                </c:pt>
                <c:pt idx="15">
                  <c:v>44666</c:v>
                </c:pt>
                <c:pt idx="16">
                  <c:v>44667</c:v>
                </c:pt>
                <c:pt idx="17">
                  <c:v>44668</c:v>
                </c:pt>
                <c:pt idx="18">
                  <c:v>44669</c:v>
                </c:pt>
                <c:pt idx="19">
                  <c:v>44670</c:v>
                </c:pt>
                <c:pt idx="20">
                  <c:v>44671</c:v>
                </c:pt>
                <c:pt idx="21">
                  <c:v>44672</c:v>
                </c:pt>
                <c:pt idx="22">
                  <c:v>44673</c:v>
                </c:pt>
                <c:pt idx="23">
                  <c:v>44674</c:v>
                </c:pt>
                <c:pt idx="24">
                  <c:v>44675</c:v>
                </c:pt>
                <c:pt idx="25">
                  <c:v>44676</c:v>
                </c:pt>
                <c:pt idx="26">
                  <c:v>44677</c:v>
                </c:pt>
                <c:pt idx="27">
                  <c:v>44678</c:v>
                </c:pt>
                <c:pt idx="28">
                  <c:v>44679</c:v>
                </c:pt>
                <c:pt idx="29">
                  <c:v>44680</c:v>
                </c:pt>
                <c:pt idx="30">
                  <c:v>44681</c:v>
                </c:pt>
                <c:pt idx="31">
                  <c:v>44682</c:v>
                </c:pt>
                <c:pt idx="32">
                  <c:v>44683</c:v>
                </c:pt>
                <c:pt idx="33">
                  <c:v>44684</c:v>
                </c:pt>
                <c:pt idx="34">
                  <c:v>44685</c:v>
                </c:pt>
                <c:pt idx="35">
                  <c:v>44686</c:v>
                </c:pt>
              </c:numCache>
            </c:numRef>
          </c:cat>
          <c:val>
            <c:numRef>
              <c:f>'Apr-22  '!$I$5:$I$40</c:f>
              <c:numCache>
                <c:formatCode>#,##0.000</c:formatCode>
                <c:ptCount val="36"/>
                <c:pt idx="0">
                  <c:v>11.715</c:v>
                </c:pt>
                <c:pt idx="1">
                  <c:v>11.558</c:v>
                </c:pt>
                <c:pt idx="2">
                  <c:v>10.260999999999999</c:v>
                </c:pt>
                <c:pt idx="3">
                  <c:v>10.007999999999999</c:v>
                </c:pt>
                <c:pt idx="4">
                  <c:v>9.56</c:v>
                </c:pt>
                <c:pt idx="5">
                  <c:v>10.134</c:v>
                </c:pt>
                <c:pt idx="6">
                  <c:v>8.4770000000000003</c:v>
                </c:pt>
                <c:pt idx="7">
                  <c:v>7.4290000000000003</c:v>
                </c:pt>
                <c:pt idx="8">
                  <c:v>3.8180000000000001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5.1929999999999996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C-4981-A80D-56065C48DE93}"/>
            </c:ext>
          </c:extLst>
        </c:ser>
        <c:ser>
          <c:idx val="3"/>
          <c:order val="3"/>
          <c:tx>
            <c:strRef>
              <c:f>'Apr-22  '!$J$4</c:f>
              <c:strCache>
                <c:ptCount val="1"/>
                <c:pt idx="0">
                  <c:v>Batan (Mbopd)</c:v>
                </c:pt>
              </c:strCache>
            </c:strRef>
          </c:tx>
          <c:spPr>
            <a:ln w="3810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7030A0"/>
              </a:solidFill>
              <a:ln w="9525">
                <a:solidFill>
                  <a:srgbClr val="7030A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'Apr-22  '!$B$5:$B$40</c:f>
              <c:numCache>
                <c:formatCode>d\-mmm\-yy</c:formatCode>
                <c:ptCount val="36"/>
                <c:pt idx="0">
                  <c:v>44651</c:v>
                </c:pt>
                <c:pt idx="1">
                  <c:v>44652</c:v>
                </c:pt>
                <c:pt idx="2">
                  <c:v>44653</c:v>
                </c:pt>
                <c:pt idx="3">
                  <c:v>44654</c:v>
                </c:pt>
                <c:pt idx="4">
                  <c:v>44655</c:v>
                </c:pt>
                <c:pt idx="5">
                  <c:v>44656</c:v>
                </c:pt>
                <c:pt idx="6">
                  <c:v>44657</c:v>
                </c:pt>
                <c:pt idx="7">
                  <c:v>44658</c:v>
                </c:pt>
                <c:pt idx="8">
                  <c:v>44659</c:v>
                </c:pt>
                <c:pt idx="9">
                  <c:v>44660</c:v>
                </c:pt>
                <c:pt idx="10">
                  <c:v>44661</c:v>
                </c:pt>
                <c:pt idx="11">
                  <c:v>44662</c:v>
                </c:pt>
                <c:pt idx="12">
                  <c:v>44663</c:v>
                </c:pt>
                <c:pt idx="13">
                  <c:v>44664</c:v>
                </c:pt>
                <c:pt idx="14">
                  <c:v>44665</c:v>
                </c:pt>
                <c:pt idx="15">
                  <c:v>44666</c:v>
                </c:pt>
                <c:pt idx="16">
                  <c:v>44667</c:v>
                </c:pt>
                <c:pt idx="17">
                  <c:v>44668</c:v>
                </c:pt>
                <c:pt idx="18">
                  <c:v>44669</c:v>
                </c:pt>
                <c:pt idx="19">
                  <c:v>44670</c:v>
                </c:pt>
                <c:pt idx="20">
                  <c:v>44671</c:v>
                </c:pt>
                <c:pt idx="21">
                  <c:v>44672</c:v>
                </c:pt>
                <c:pt idx="22">
                  <c:v>44673</c:v>
                </c:pt>
                <c:pt idx="23">
                  <c:v>44674</c:v>
                </c:pt>
                <c:pt idx="24">
                  <c:v>44675</c:v>
                </c:pt>
                <c:pt idx="25">
                  <c:v>44676</c:v>
                </c:pt>
                <c:pt idx="26">
                  <c:v>44677</c:v>
                </c:pt>
                <c:pt idx="27">
                  <c:v>44678</c:v>
                </c:pt>
                <c:pt idx="28">
                  <c:v>44679</c:v>
                </c:pt>
                <c:pt idx="29">
                  <c:v>44680</c:v>
                </c:pt>
                <c:pt idx="30">
                  <c:v>44681</c:v>
                </c:pt>
                <c:pt idx="31">
                  <c:v>44682</c:v>
                </c:pt>
                <c:pt idx="32">
                  <c:v>44683</c:v>
                </c:pt>
                <c:pt idx="33">
                  <c:v>44684</c:v>
                </c:pt>
                <c:pt idx="34">
                  <c:v>44685</c:v>
                </c:pt>
                <c:pt idx="35">
                  <c:v>44686</c:v>
                </c:pt>
              </c:numCache>
            </c:numRef>
          </c:cat>
          <c:val>
            <c:numRef>
              <c:f>'Apr-22  '!$J$5:$J$40</c:f>
              <c:numCache>
                <c:formatCode>#,##0.000</c:formatCode>
                <c:ptCount val="36"/>
                <c:pt idx="0">
                  <c:v>3.6836000000000002</c:v>
                </c:pt>
                <c:pt idx="1">
                  <c:v>3.1560000000000001</c:v>
                </c:pt>
                <c:pt idx="2">
                  <c:v>3.5590000000000002</c:v>
                </c:pt>
                <c:pt idx="3">
                  <c:v>3.597</c:v>
                </c:pt>
                <c:pt idx="4">
                  <c:v>3.286</c:v>
                </c:pt>
                <c:pt idx="5">
                  <c:v>3.5680000000000001</c:v>
                </c:pt>
                <c:pt idx="6">
                  <c:v>3.4621</c:v>
                </c:pt>
                <c:pt idx="7">
                  <c:v>3.3610000000000002</c:v>
                </c:pt>
                <c:pt idx="8">
                  <c:v>3.6030000000000002</c:v>
                </c:pt>
                <c:pt idx="9">
                  <c:v>0.15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DC-4981-A80D-56065C48DE93}"/>
            </c:ext>
          </c:extLst>
        </c:ser>
        <c:ser>
          <c:idx val="4"/>
          <c:order val="4"/>
          <c:tx>
            <c:strRef>
              <c:f>'Apr-22  '!$K$4</c:f>
              <c:strCache>
                <c:ptCount val="1"/>
                <c:pt idx="0">
                  <c:v>Egwa (Mbopd)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'Apr-22  '!$B$5:$B$40</c:f>
              <c:numCache>
                <c:formatCode>d\-mmm\-yy</c:formatCode>
                <c:ptCount val="36"/>
                <c:pt idx="0">
                  <c:v>44651</c:v>
                </c:pt>
                <c:pt idx="1">
                  <c:v>44652</c:v>
                </c:pt>
                <c:pt idx="2">
                  <c:v>44653</c:v>
                </c:pt>
                <c:pt idx="3">
                  <c:v>44654</c:v>
                </c:pt>
                <c:pt idx="4">
                  <c:v>44655</c:v>
                </c:pt>
                <c:pt idx="5">
                  <c:v>44656</c:v>
                </c:pt>
                <c:pt idx="6">
                  <c:v>44657</c:v>
                </c:pt>
                <c:pt idx="7">
                  <c:v>44658</c:v>
                </c:pt>
                <c:pt idx="8">
                  <c:v>44659</c:v>
                </c:pt>
                <c:pt idx="9">
                  <c:v>44660</c:v>
                </c:pt>
                <c:pt idx="10">
                  <c:v>44661</c:v>
                </c:pt>
                <c:pt idx="11">
                  <c:v>44662</c:v>
                </c:pt>
                <c:pt idx="12">
                  <c:v>44663</c:v>
                </c:pt>
                <c:pt idx="13">
                  <c:v>44664</c:v>
                </c:pt>
                <c:pt idx="14">
                  <c:v>44665</c:v>
                </c:pt>
                <c:pt idx="15">
                  <c:v>44666</c:v>
                </c:pt>
                <c:pt idx="16">
                  <c:v>44667</c:v>
                </c:pt>
                <c:pt idx="17">
                  <c:v>44668</c:v>
                </c:pt>
                <c:pt idx="18">
                  <c:v>44669</c:v>
                </c:pt>
                <c:pt idx="19">
                  <c:v>44670</c:v>
                </c:pt>
                <c:pt idx="20">
                  <c:v>44671</c:v>
                </c:pt>
                <c:pt idx="21">
                  <c:v>44672</c:v>
                </c:pt>
                <c:pt idx="22">
                  <c:v>44673</c:v>
                </c:pt>
                <c:pt idx="23">
                  <c:v>44674</c:v>
                </c:pt>
                <c:pt idx="24">
                  <c:v>44675</c:v>
                </c:pt>
                <c:pt idx="25">
                  <c:v>44676</c:v>
                </c:pt>
                <c:pt idx="26">
                  <c:v>44677</c:v>
                </c:pt>
                <c:pt idx="27">
                  <c:v>44678</c:v>
                </c:pt>
                <c:pt idx="28">
                  <c:v>44679</c:v>
                </c:pt>
                <c:pt idx="29">
                  <c:v>44680</c:v>
                </c:pt>
                <c:pt idx="30">
                  <c:v>44681</c:v>
                </c:pt>
                <c:pt idx="31">
                  <c:v>44682</c:v>
                </c:pt>
                <c:pt idx="32">
                  <c:v>44683</c:v>
                </c:pt>
                <c:pt idx="33">
                  <c:v>44684</c:v>
                </c:pt>
                <c:pt idx="34">
                  <c:v>44685</c:v>
                </c:pt>
                <c:pt idx="35">
                  <c:v>44686</c:v>
                </c:pt>
              </c:numCache>
            </c:numRef>
          </c:cat>
          <c:val>
            <c:numRef>
              <c:f>'Apr-22  '!$K$5:$K$40</c:f>
              <c:numCache>
                <c:formatCode>#,##0.000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1.8495999999999999</c:v>
                </c:pt>
                <c:pt idx="25">
                  <c:v>0.87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DC-4981-A80D-56065C48DE93}"/>
            </c:ext>
          </c:extLst>
        </c:ser>
        <c:ser>
          <c:idx val="5"/>
          <c:order val="5"/>
          <c:tx>
            <c:strRef>
              <c:f>'Apr-22  '!$L$4</c:f>
              <c:strCache>
                <c:ptCount val="1"/>
                <c:pt idx="0">
                  <c:v>Total Daily Prod (Mbopd)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60"/>
            <c:marker>
              <c:symbol val="diamond"/>
              <c:size val="9"/>
              <c:spPr>
                <a:solidFill>
                  <a:srgbClr val="00B050"/>
                </a:solidFill>
                <a:ln w="9525">
                  <a:solidFill>
                    <a:schemeClr val="accent6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22DC-4981-A80D-56065C48DE93}"/>
              </c:ext>
            </c:extLst>
          </c:dPt>
          <c:cat>
            <c:numRef>
              <c:f>'Apr-22  '!$B$5:$B$40</c:f>
              <c:numCache>
                <c:formatCode>d\-mmm\-yy</c:formatCode>
                <c:ptCount val="36"/>
                <c:pt idx="0">
                  <c:v>44651</c:v>
                </c:pt>
                <c:pt idx="1">
                  <c:v>44652</c:v>
                </c:pt>
                <c:pt idx="2">
                  <c:v>44653</c:v>
                </c:pt>
                <c:pt idx="3">
                  <c:v>44654</c:v>
                </c:pt>
                <c:pt idx="4">
                  <c:v>44655</c:v>
                </c:pt>
                <c:pt idx="5">
                  <c:v>44656</c:v>
                </c:pt>
                <c:pt idx="6">
                  <c:v>44657</c:v>
                </c:pt>
                <c:pt idx="7">
                  <c:v>44658</c:v>
                </c:pt>
                <c:pt idx="8">
                  <c:v>44659</c:v>
                </c:pt>
                <c:pt idx="9">
                  <c:v>44660</c:v>
                </c:pt>
                <c:pt idx="10">
                  <c:v>44661</c:v>
                </c:pt>
                <c:pt idx="11">
                  <c:v>44662</c:v>
                </c:pt>
                <c:pt idx="12">
                  <c:v>44663</c:v>
                </c:pt>
                <c:pt idx="13">
                  <c:v>44664</c:v>
                </c:pt>
                <c:pt idx="14">
                  <c:v>44665</c:v>
                </c:pt>
                <c:pt idx="15">
                  <c:v>44666</c:v>
                </c:pt>
                <c:pt idx="16">
                  <c:v>44667</c:v>
                </c:pt>
                <c:pt idx="17">
                  <c:v>44668</c:v>
                </c:pt>
                <c:pt idx="18">
                  <c:v>44669</c:v>
                </c:pt>
                <c:pt idx="19">
                  <c:v>44670</c:v>
                </c:pt>
                <c:pt idx="20">
                  <c:v>44671</c:v>
                </c:pt>
                <c:pt idx="21">
                  <c:v>44672</c:v>
                </c:pt>
                <c:pt idx="22">
                  <c:v>44673</c:v>
                </c:pt>
                <c:pt idx="23">
                  <c:v>44674</c:v>
                </c:pt>
                <c:pt idx="24">
                  <c:v>44675</c:v>
                </c:pt>
                <c:pt idx="25">
                  <c:v>44676</c:v>
                </c:pt>
                <c:pt idx="26">
                  <c:v>44677</c:v>
                </c:pt>
                <c:pt idx="27">
                  <c:v>44678</c:v>
                </c:pt>
                <c:pt idx="28">
                  <c:v>44679</c:v>
                </c:pt>
                <c:pt idx="29">
                  <c:v>44680</c:v>
                </c:pt>
                <c:pt idx="30">
                  <c:v>44681</c:v>
                </c:pt>
                <c:pt idx="31">
                  <c:v>44682</c:v>
                </c:pt>
                <c:pt idx="32">
                  <c:v>44683</c:v>
                </c:pt>
                <c:pt idx="33">
                  <c:v>44684</c:v>
                </c:pt>
                <c:pt idx="34">
                  <c:v>44685</c:v>
                </c:pt>
                <c:pt idx="35">
                  <c:v>44686</c:v>
                </c:pt>
              </c:numCache>
            </c:numRef>
          </c:cat>
          <c:val>
            <c:numRef>
              <c:f>'Apr-22  '!$L$5:$L$40</c:f>
              <c:numCache>
                <c:formatCode>#,##0.000</c:formatCode>
                <c:ptCount val="36"/>
                <c:pt idx="0">
                  <c:v>30.0366</c:v>
                </c:pt>
                <c:pt idx="1">
                  <c:v>29.364999999999998</c:v>
                </c:pt>
                <c:pt idx="2">
                  <c:v>28.367999999999999</c:v>
                </c:pt>
                <c:pt idx="3">
                  <c:v>27.876000000000001</c:v>
                </c:pt>
                <c:pt idx="4">
                  <c:v>27.721000000000004</c:v>
                </c:pt>
                <c:pt idx="5">
                  <c:v>27.518000000000004</c:v>
                </c:pt>
                <c:pt idx="6">
                  <c:v>26.050660000000001</c:v>
                </c:pt>
                <c:pt idx="7">
                  <c:v>25.789000000000001</c:v>
                </c:pt>
                <c:pt idx="8">
                  <c:v>22.632000000000001</c:v>
                </c:pt>
                <c:pt idx="9">
                  <c:v>5.6020000000000003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17.3096</c:v>
                </c:pt>
                <c:pt idx="25">
                  <c:v>9.859</c:v>
                </c:pt>
                <c:pt idx="26">
                  <c:v>0</c:v>
                </c:pt>
                <c:pt idx="27">
                  <c:v>5.1929999999999996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DC-4981-A80D-56065C48D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24144"/>
        <c:axId val="191820616"/>
      </c:lineChart>
      <c:dateAx>
        <c:axId val="19182414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0616"/>
        <c:crosses val="autoZero"/>
        <c:auto val="1"/>
        <c:lblOffset val="100"/>
        <c:baseTimeUnit val="days"/>
      </c:dateAx>
      <c:valAx>
        <c:axId val="19182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rgbClr val="FF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FF0000"/>
                    </a:solidFill>
                    <a:latin typeface="Gill Sans MT" panose="020B0502020104020203" pitchFamily="34" charset="0"/>
                  </a:rPr>
                  <a:t>Mbopd</a:t>
                </a:r>
              </a:p>
            </c:rich>
          </c:tx>
          <c:layout>
            <c:manualLayout>
              <c:xMode val="edge"/>
              <c:yMode val="edge"/>
              <c:x val="1.0913079444835933E-2"/>
              <c:y val="0.458866569466796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FF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1824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7.2266603765345494E-2"/>
          <c:y val="0.94438741028028095"/>
          <c:w val="0.89999999189151425"/>
          <c:h val="3.7211543256065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Deferment Chart</a:t>
            </a:r>
          </a:p>
        </c:rich>
      </c:tx>
      <c:layout>
        <c:manualLayout>
          <c:xMode val="edge"/>
          <c:yMode val="edge"/>
          <c:x val="0.36329622025969915"/>
          <c:y val="0.120459578314300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548852617381163"/>
          <c:y val="0.19846092822910041"/>
          <c:w val="0.48059724956255467"/>
          <c:h val="0.69148380286768896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D30-4765-9477-51A775F0FF9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D30-4765-9477-51A775F0FF99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D30-4765-9477-51A775F0FF9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360-4324-AF76-467C53C47FD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C09-42A3-BF81-1B273570893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027-401C-8022-E6C8DDE6433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19C-4E77-826C-675C63A3EAB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FC74649-8E29-4400-8651-8D48BD4E262F}" type="CATEGORYNAME">
                      <a:rPr lang="en-US"/>
                      <a:pPr/>
                      <a:t>[]</a:t>
                    </a:fld>
                    <a:r>
                      <a:rPr lang="en-US"/>
                      <a:t> </a:t>
                    </a:r>
                  </a:p>
                  <a:p>
                    <a:r>
                      <a:rPr lang="en-US"/>
                      <a:t>(</a:t>
                    </a:r>
                    <a:fld id="{E1D25811-33E9-4483-886F-A6F60814EE16}" type="VALUE">
                      <a:rPr lang="en-US"/>
                      <a:pPr/>
                      <a:t>[]</a:t>
                    </a:fld>
                    <a:r>
                      <a:rPr lang="en-US"/>
                      <a:t> bopd)</a:t>
                    </a: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D30-4765-9477-51A775F0FF9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A153CB-461A-4D33-8CB4-01A422D3885F}" type="CATEGORYNAME">
                      <a:rPr lang="en-US"/>
                      <a:pPr/>
                      <a:t>[]</a:t>
                    </a:fld>
                    <a:endParaRPr lang="en-US"/>
                  </a:p>
                  <a:p>
                    <a:r>
                      <a:rPr lang="en-US"/>
                      <a:t> (</a:t>
                    </a:r>
                    <a:fld id="{E8EC5B1B-E1A0-4579-B053-3E70D458D759}" type="VALUE">
                      <a:rPr lang="en-US"/>
                      <a:pPr/>
                      <a:t>[]</a:t>
                    </a:fld>
                    <a:r>
                      <a:rPr lang="en-US"/>
                      <a:t> bopd)</a:t>
                    </a: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D30-4765-9477-51A775F0FF99}"/>
                </c:ext>
              </c:extLst>
            </c:dLbl>
            <c:dLbl>
              <c:idx val="2"/>
              <c:layout>
                <c:manualLayout>
                  <c:x val="-1.8639506573861049E-2"/>
                  <c:y val="-0.1870392483441326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30-4765-9477-51A775F0FF9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650FE06-A514-4EA8-863C-D2D9B6B2329B}" type="CATEGORYNAME">
                      <a:rPr lang="en-US"/>
                      <a:pPr/>
                      <a:t>[]</a:t>
                    </a:fld>
                    <a:r>
                      <a:rPr lang="en-US"/>
                      <a:t> (</a:t>
                    </a:r>
                    <a:fld id="{ABF0D66C-CA96-472E-BD6C-F7848CB75E0F}" type="VALUE">
                      <a:rPr lang="en-US" baseline="0"/>
                      <a:pPr/>
                      <a:t>[]</a:t>
                    </a:fld>
                    <a:r>
                      <a:rPr lang="en-US" baseline="0"/>
                      <a:t>bopd)</a:t>
                    </a:r>
                  </a:p>
                  <a:p>
                    <a:endParaRPr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C360-4324-AF76-467C53C47FD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0B34FFE-60A4-4DD5-9A81-B13EC3C8C173}" type="CATEGORYNAME">
                      <a:rPr lang="en-US"/>
                      <a:pPr/>
                      <a:t>[]</a:t>
                    </a:fld>
                    <a:endParaRPr lang="en-US"/>
                  </a:p>
                  <a:p>
                    <a:r>
                      <a:rPr lang="en-US"/>
                      <a:t>(</a:t>
                    </a:r>
                    <a:fld id="{E10EEA46-8144-480A-8D9D-BC9966786023}" type="VALUE">
                      <a:rPr lang="en-US" baseline="0"/>
                      <a:pPr/>
                      <a:t>[]</a:t>
                    </a:fld>
                    <a:r>
                      <a:rPr lang="en-US" baseline="0"/>
                      <a:t> bopd)</a:t>
                    </a: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6027-401C-8022-E6C8DDE6433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44F81AE-3E43-4303-B392-CC604D6AF415}" type="CATEGORY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r>
                      <a:rPr lang="en-US" baseline="0"/>
                      <a:t>(</a:t>
                    </a:r>
                    <a:fld id="{C53156A6-0C66-4816-AA58-61528F1330D1}" type="VALUE">
                      <a:rPr lang="en-US" baseline="0"/>
                      <a:pPr/>
                      <a:t>[]</a:t>
                    </a:fld>
                    <a:r>
                      <a:rPr lang="en-US" baseline="0"/>
                      <a:t> bopd)</a:t>
                    </a: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119C-4E77-826C-675C63A3EA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'Deferment chart'!$B$4:$B$10</c:f>
              <c:strCache>
                <c:ptCount val="7"/>
                <c:pt idx="0">
                  <c:v>JONC F/L</c:v>
                </c:pt>
                <c:pt idx="1">
                  <c:v>Wellhead</c:v>
                </c:pt>
                <c:pt idx="2">
                  <c:v>Tank Top</c:v>
                </c:pt>
                <c:pt idx="3">
                  <c:v>Batan F/L</c:v>
                </c:pt>
                <c:pt idx="4">
                  <c:v>Odidi Contractor</c:v>
                </c:pt>
                <c:pt idx="5">
                  <c:v>Odidi F/L</c:v>
                </c:pt>
                <c:pt idx="6">
                  <c:v>PBU</c:v>
                </c:pt>
              </c:strCache>
            </c:strRef>
          </c:cat>
          <c:val>
            <c:numRef>
              <c:f>'Deferment chart'!$C$4:$C$10</c:f>
              <c:numCache>
                <c:formatCode>#,##0</c:formatCode>
                <c:ptCount val="7"/>
                <c:pt idx="0">
                  <c:v>894</c:v>
                </c:pt>
                <c:pt idx="1">
                  <c:v>2117</c:v>
                </c:pt>
                <c:pt idx="2">
                  <c:v>6105</c:v>
                </c:pt>
                <c:pt idx="3">
                  <c:v>277</c:v>
                </c:pt>
                <c:pt idx="4">
                  <c:v>3522</c:v>
                </c:pt>
                <c:pt idx="5">
                  <c:v>1333</c:v>
                </c:pt>
                <c:pt idx="6">
                  <c:v>4633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30-4765-9477-51A775F0FF99}"/>
            </c:ext>
          </c:extLst>
        </c:ser>
        <c:ser>
          <c:idx val="1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D30-4765-9477-51A775F0FF9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D30-4765-9477-51A775F0FF9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D30-4765-9477-51A775F0FF9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360-4324-AF76-467C53C47FD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C09-42A3-BF81-1B273570893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027-401C-8022-E6C8DDE6433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19C-4E77-826C-675C63A3EA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'Deferment chart'!$B$4:$B$10</c:f>
              <c:strCache>
                <c:ptCount val="7"/>
                <c:pt idx="0">
                  <c:v>JONC F/L</c:v>
                </c:pt>
                <c:pt idx="1">
                  <c:v>Wellhead</c:v>
                </c:pt>
                <c:pt idx="2">
                  <c:v>Tank Top</c:v>
                </c:pt>
                <c:pt idx="3">
                  <c:v>Batan F/L</c:v>
                </c:pt>
                <c:pt idx="4">
                  <c:v>Odidi Contractor</c:v>
                </c:pt>
                <c:pt idx="5">
                  <c:v>Odidi F/L</c:v>
                </c:pt>
                <c:pt idx="6">
                  <c:v>PBU</c:v>
                </c:pt>
              </c:strCache>
            </c:strRef>
          </c:cat>
          <c:val>
            <c:numRef>
              <c:f>'Deferment chart'!$D$4:$D$10</c:f>
              <c:numCache>
                <c:formatCode>0</c:formatCode>
                <c:ptCount val="7"/>
                <c:pt idx="0">
                  <c:v>17.045707324823898</c:v>
                </c:pt>
                <c:pt idx="1">
                  <c:v>40.364387479476726</c:v>
                </c:pt>
                <c:pt idx="2">
                  <c:v>116.40273290609608</c:v>
                </c:pt>
                <c:pt idx="3">
                  <c:v>5.2814999205550555</c:v>
                </c:pt>
                <c:pt idx="4">
                  <c:v>67.153222816588112</c:v>
                </c:pt>
                <c:pt idx="5">
                  <c:v>25.416026693501404</c:v>
                </c:pt>
                <c:pt idx="6">
                  <c:v>88.336422858958741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D30-4765-9477-51A775F0FF9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4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734623</xdr:colOff>
      <xdr:row>10</xdr:row>
      <xdr:rowOff>103116</xdr:rowOff>
    </xdr:from>
    <xdr:to>
      <xdr:col>27</xdr:col>
      <xdr:colOff>666750</xdr:colOff>
      <xdr:row>40</xdr:row>
      <xdr:rowOff>21168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36122</xdr:colOff>
      <xdr:row>10</xdr:row>
      <xdr:rowOff>240699</xdr:rowOff>
    </xdr:from>
    <xdr:to>
      <xdr:col>27</xdr:col>
      <xdr:colOff>211667</xdr:colOff>
      <xdr:row>35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737964</xdr:colOff>
      <xdr:row>11</xdr:row>
      <xdr:rowOff>84734</xdr:rowOff>
    </xdr:from>
    <xdr:to>
      <xdr:col>27</xdr:col>
      <xdr:colOff>155965</xdr:colOff>
      <xdr:row>35</xdr:row>
      <xdr:rowOff>217236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704543</xdr:colOff>
      <xdr:row>11</xdr:row>
      <xdr:rowOff>107015</xdr:rowOff>
    </xdr:from>
    <xdr:to>
      <xdr:col>28</xdr:col>
      <xdr:colOff>122544</xdr:colOff>
      <xdr:row>35</xdr:row>
      <xdr:rowOff>239517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704543</xdr:colOff>
      <xdr:row>11</xdr:row>
      <xdr:rowOff>107015</xdr:rowOff>
    </xdr:from>
    <xdr:to>
      <xdr:col>28</xdr:col>
      <xdr:colOff>122544</xdr:colOff>
      <xdr:row>35</xdr:row>
      <xdr:rowOff>239517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704543</xdr:colOff>
      <xdr:row>11</xdr:row>
      <xdr:rowOff>107015</xdr:rowOff>
    </xdr:from>
    <xdr:to>
      <xdr:col>28</xdr:col>
      <xdr:colOff>122544</xdr:colOff>
      <xdr:row>35</xdr:row>
      <xdr:rowOff>239517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704543</xdr:colOff>
      <xdr:row>11</xdr:row>
      <xdr:rowOff>107015</xdr:rowOff>
    </xdr:from>
    <xdr:to>
      <xdr:col>28</xdr:col>
      <xdr:colOff>122544</xdr:colOff>
      <xdr:row>35</xdr:row>
      <xdr:rowOff>239517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704543</xdr:colOff>
      <xdr:row>11</xdr:row>
      <xdr:rowOff>107015</xdr:rowOff>
    </xdr:from>
    <xdr:to>
      <xdr:col>28</xdr:col>
      <xdr:colOff>122544</xdr:colOff>
      <xdr:row>35</xdr:row>
      <xdr:rowOff>239517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387043</xdr:colOff>
      <xdr:row>11</xdr:row>
      <xdr:rowOff>128182</xdr:rowOff>
    </xdr:from>
    <xdr:to>
      <xdr:col>28</xdr:col>
      <xdr:colOff>444500</xdr:colOff>
      <xdr:row>35</xdr:row>
      <xdr:rowOff>260684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693959</xdr:colOff>
      <xdr:row>11</xdr:row>
      <xdr:rowOff>117598</xdr:rowOff>
    </xdr:from>
    <xdr:to>
      <xdr:col>27</xdr:col>
      <xdr:colOff>751416</xdr:colOff>
      <xdr:row>35</xdr:row>
      <xdr:rowOff>250100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693959</xdr:colOff>
      <xdr:row>11</xdr:row>
      <xdr:rowOff>117598</xdr:rowOff>
    </xdr:from>
    <xdr:to>
      <xdr:col>27</xdr:col>
      <xdr:colOff>751416</xdr:colOff>
      <xdr:row>35</xdr:row>
      <xdr:rowOff>250100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693959</xdr:colOff>
      <xdr:row>11</xdr:row>
      <xdr:rowOff>117598</xdr:rowOff>
    </xdr:from>
    <xdr:to>
      <xdr:col>32</xdr:col>
      <xdr:colOff>751416</xdr:colOff>
      <xdr:row>35</xdr:row>
      <xdr:rowOff>250100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693959</xdr:colOff>
      <xdr:row>11</xdr:row>
      <xdr:rowOff>117598</xdr:rowOff>
    </xdr:from>
    <xdr:to>
      <xdr:col>32</xdr:col>
      <xdr:colOff>751416</xdr:colOff>
      <xdr:row>35</xdr:row>
      <xdr:rowOff>250100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730250</xdr:colOff>
      <xdr:row>11</xdr:row>
      <xdr:rowOff>212847</xdr:rowOff>
    </xdr:from>
    <xdr:to>
      <xdr:col>46</xdr:col>
      <xdr:colOff>95249</xdr:colOff>
      <xdr:row>36</xdr:row>
      <xdr:rowOff>75474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687917</xdr:colOff>
      <xdr:row>56</xdr:row>
      <xdr:rowOff>185208</xdr:rowOff>
    </xdr:from>
    <xdr:to>
      <xdr:col>46</xdr:col>
      <xdr:colOff>95250</xdr:colOff>
      <xdr:row>79</xdr:row>
      <xdr:rowOff>148167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A00-000004000000}"/>
            </a:ext>
            <a:ext uri="{147F2762-F138-4A5C-976F-8EAC2B608ADB}">
              <a16:predDERef xmlns:a16="http://schemas.microsoft.com/office/drawing/2014/main" pre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730249</xdr:colOff>
      <xdr:row>36</xdr:row>
      <xdr:rowOff>201083</xdr:rowOff>
    </xdr:from>
    <xdr:to>
      <xdr:col>46</xdr:col>
      <xdr:colOff>95250</xdr:colOff>
      <xdr:row>54</xdr:row>
      <xdr:rowOff>190489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A00-000005000000}"/>
            </a:ext>
            <a:ext uri="{147F2762-F138-4A5C-976F-8EAC2B608ADB}">
              <a16:predDERef xmlns:a16="http://schemas.microsoft.com/office/drawing/2014/main" pred="{00000000-0008-0000-1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730250</xdr:colOff>
      <xdr:row>11</xdr:row>
      <xdr:rowOff>212847</xdr:rowOff>
    </xdr:from>
    <xdr:to>
      <xdr:col>46</xdr:col>
      <xdr:colOff>95249</xdr:colOff>
      <xdr:row>36</xdr:row>
      <xdr:rowOff>75474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730250</xdr:colOff>
      <xdr:row>56</xdr:row>
      <xdr:rowOff>174625</xdr:rowOff>
    </xdr:from>
    <xdr:to>
      <xdr:col>46</xdr:col>
      <xdr:colOff>137583</xdr:colOff>
      <xdr:row>78</xdr:row>
      <xdr:rowOff>137584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  <a:ext uri="{147F2762-F138-4A5C-976F-8EAC2B608ADB}">
              <a16:predDERef xmlns:a16="http://schemas.microsoft.com/office/drawing/2014/main" pre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730251</xdr:colOff>
      <xdr:row>36</xdr:row>
      <xdr:rowOff>211666</xdr:rowOff>
    </xdr:from>
    <xdr:to>
      <xdr:col>46</xdr:col>
      <xdr:colOff>137585</xdr:colOff>
      <xdr:row>56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C00-000004000000}"/>
            </a:ext>
            <a:ext uri="{147F2762-F138-4A5C-976F-8EAC2B608ADB}">
              <a16:predDERef xmlns:a16="http://schemas.microsoft.com/office/drawing/2014/main" pre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730250</xdr:colOff>
      <xdr:row>11</xdr:row>
      <xdr:rowOff>212847</xdr:rowOff>
    </xdr:from>
    <xdr:to>
      <xdr:col>46</xdr:col>
      <xdr:colOff>95249</xdr:colOff>
      <xdr:row>36</xdr:row>
      <xdr:rowOff>75474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730250</xdr:colOff>
      <xdr:row>56</xdr:row>
      <xdr:rowOff>174625</xdr:rowOff>
    </xdr:from>
    <xdr:to>
      <xdr:col>46</xdr:col>
      <xdr:colOff>137583</xdr:colOff>
      <xdr:row>78</xdr:row>
      <xdr:rowOff>137584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  <a:ext uri="{147F2762-F138-4A5C-976F-8EAC2B608ADB}">
              <a16:predDERef xmlns:a16="http://schemas.microsoft.com/office/drawing/2014/main" pre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730251</xdr:colOff>
      <xdr:row>36</xdr:row>
      <xdr:rowOff>211666</xdr:rowOff>
    </xdr:from>
    <xdr:to>
      <xdr:col>46</xdr:col>
      <xdr:colOff>137585</xdr:colOff>
      <xdr:row>56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E00-000004000000}"/>
            </a:ext>
            <a:ext uri="{147F2762-F138-4A5C-976F-8EAC2B608ADB}">
              <a16:predDERef xmlns:a16="http://schemas.microsoft.com/office/drawing/2014/main" pre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730250</xdr:colOff>
      <xdr:row>11</xdr:row>
      <xdr:rowOff>212847</xdr:rowOff>
    </xdr:from>
    <xdr:to>
      <xdr:col>46</xdr:col>
      <xdr:colOff>95249</xdr:colOff>
      <xdr:row>36</xdr:row>
      <xdr:rowOff>75474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730250</xdr:colOff>
      <xdr:row>56</xdr:row>
      <xdr:rowOff>174625</xdr:rowOff>
    </xdr:from>
    <xdr:to>
      <xdr:col>46</xdr:col>
      <xdr:colOff>137583</xdr:colOff>
      <xdr:row>78</xdr:row>
      <xdr:rowOff>137584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  <a:ext uri="{147F2762-F138-4A5C-976F-8EAC2B608ADB}">
              <a16:predDERef xmlns:a16="http://schemas.microsoft.com/office/drawing/2014/main" pre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730251</xdr:colOff>
      <xdr:row>36</xdr:row>
      <xdr:rowOff>211666</xdr:rowOff>
    </xdr:from>
    <xdr:to>
      <xdr:col>46</xdr:col>
      <xdr:colOff>137585</xdr:colOff>
      <xdr:row>56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000-000004000000}"/>
            </a:ext>
            <a:ext uri="{147F2762-F138-4A5C-976F-8EAC2B608ADB}">
              <a16:predDERef xmlns:a16="http://schemas.microsoft.com/office/drawing/2014/main" pre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739775</xdr:colOff>
      <xdr:row>11</xdr:row>
      <xdr:rowOff>212847</xdr:rowOff>
    </xdr:from>
    <xdr:to>
      <xdr:col>46</xdr:col>
      <xdr:colOff>104774</xdr:colOff>
      <xdr:row>36</xdr:row>
      <xdr:rowOff>75474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730250</xdr:colOff>
      <xdr:row>56</xdr:row>
      <xdr:rowOff>174625</xdr:rowOff>
    </xdr:from>
    <xdr:to>
      <xdr:col>46</xdr:col>
      <xdr:colOff>137583</xdr:colOff>
      <xdr:row>78</xdr:row>
      <xdr:rowOff>137584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  <a:ext uri="{147F2762-F138-4A5C-976F-8EAC2B608ADB}">
              <a16:predDERef xmlns:a16="http://schemas.microsoft.com/office/drawing/2014/main" pre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730251</xdr:colOff>
      <xdr:row>36</xdr:row>
      <xdr:rowOff>211666</xdr:rowOff>
    </xdr:from>
    <xdr:to>
      <xdr:col>46</xdr:col>
      <xdr:colOff>137585</xdr:colOff>
      <xdr:row>56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200-000004000000}"/>
            </a:ext>
            <a:ext uri="{147F2762-F138-4A5C-976F-8EAC2B608ADB}">
              <a16:predDERef xmlns:a16="http://schemas.microsoft.com/office/drawing/2014/main" pre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568325</xdr:colOff>
      <xdr:row>13</xdr:row>
      <xdr:rowOff>66675</xdr:rowOff>
    </xdr:from>
    <xdr:to>
      <xdr:col>45</xdr:col>
      <xdr:colOff>723899</xdr:colOff>
      <xdr:row>37</xdr:row>
      <xdr:rowOff>189774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95A554D1-7BC6-4800-9AD3-6B99ACFB0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615950</xdr:colOff>
      <xdr:row>57</xdr:row>
      <xdr:rowOff>517525</xdr:rowOff>
    </xdr:from>
    <xdr:to>
      <xdr:col>46</xdr:col>
      <xdr:colOff>23283</xdr:colOff>
      <xdr:row>82</xdr:row>
      <xdr:rowOff>13759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3AA6E490-0EF8-4D95-A1B1-63EDB9A85905}"/>
            </a:ext>
            <a:ext uri="{147F2762-F138-4A5C-976F-8EAC2B608ADB}">
              <a16:predDERef xmlns:a16="http://schemas.microsoft.com/office/drawing/2014/main" pred="{95A554D1-7BC6-4800-9AD3-6B99ACFB0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633942</xdr:colOff>
      <xdr:row>39</xdr:row>
      <xdr:rowOff>104774</xdr:rowOff>
    </xdr:from>
    <xdr:to>
      <xdr:col>46</xdr:col>
      <xdr:colOff>41276</xdr:colOff>
      <xdr:row>57</xdr:row>
      <xdr:rowOff>347133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8C56CFAE-2F7E-4368-BFB4-3D8E5290BCB7}"/>
            </a:ext>
            <a:ext uri="{147F2762-F138-4A5C-976F-8EAC2B608ADB}">
              <a16:predDERef xmlns:a16="http://schemas.microsoft.com/office/drawing/2014/main" pred="{3AA6E490-0EF8-4D95-A1B1-63EDB9A85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898525</xdr:colOff>
      <xdr:row>17</xdr:row>
      <xdr:rowOff>44450</xdr:rowOff>
    </xdr:from>
    <xdr:to>
      <xdr:col>45</xdr:col>
      <xdr:colOff>101599</xdr:colOff>
      <xdr:row>41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E6B21-D6A0-4BF1-8B30-468DAAB6A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919691</xdr:colOff>
      <xdr:row>67</xdr:row>
      <xdr:rowOff>34906</xdr:rowOff>
    </xdr:from>
    <xdr:to>
      <xdr:col>45</xdr:col>
      <xdr:colOff>186266</xdr:colOff>
      <xdr:row>93</xdr:row>
      <xdr:rowOff>169313</xdr:rowOff>
    </xdr:to>
    <xdr:graphicFrame macro="">
      <xdr:nvGraphicFramePr>
        <xdr:cNvPr id="11" name="Chart 2">
          <a:extLst>
            <a:ext uri="{FF2B5EF4-FFF2-40B4-BE49-F238E27FC236}">
              <a16:creationId xmlns:a16="http://schemas.microsoft.com/office/drawing/2014/main" id="{48C236E8-9A02-4926-95E3-2289EB1E4121}"/>
            </a:ext>
            <a:ext uri="{147F2762-F138-4A5C-976F-8EAC2B608ADB}">
              <a16:predDERef xmlns:a16="http://schemas.microsoft.com/office/drawing/2014/main" pred="{02CE6B21-D6A0-4BF1-8B30-468DAAB6A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871003</xdr:colOff>
      <xdr:row>43</xdr:row>
      <xdr:rowOff>46555</xdr:rowOff>
    </xdr:from>
    <xdr:to>
      <xdr:col>45</xdr:col>
      <xdr:colOff>137579</xdr:colOff>
      <xdr:row>64</xdr:row>
      <xdr:rowOff>198955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043C5CBE-E79A-4B99-9C88-20C80F6D192E}"/>
            </a:ext>
            <a:ext uri="{147F2762-F138-4A5C-976F-8EAC2B608ADB}">
              <a16:predDERef xmlns:a16="http://schemas.microsoft.com/office/drawing/2014/main" pred="{48C236E8-9A02-4926-95E3-2289EB1E4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904875</xdr:colOff>
      <xdr:row>95</xdr:row>
      <xdr:rowOff>171450</xdr:rowOff>
    </xdr:from>
    <xdr:to>
      <xdr:col>45</xdr:col>
      <xdr:colOff>150284</xdr:colOff>
      <xdr:row>120</xdr:row>
      <xdr:rowOff>32808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DB71CF6B-5F9A-4A95-9054-956FA91F2932}"/>
            </a:ext>
            <a:ext uri="{147F2762-F138-4A5C-976F-8EAC2B608ADB}">
              <a16:predDERef xmlns:a16="http://schemas.microsoft.com/office/drawing/2014/main" pred="{043C5CBE-E79A-4B99-9C88-20C80F6D1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831850</xdr:colOff>
      <xdr:row>17</xdr:row>
      <xdr:rowOff>34925</xdr:rowOff>
    </xdr:from>
    <xdr:to>
      <xdr:col>45</xdr:col>
      <xdr:colOff>34924</xdr:colOff>
      <xdr:row>39</xdr:row>
      <xdr:rowOff>215900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B2C4A-FEE7-4124-9543-4637466FF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851605</xdr:colOff>
      <xdr:row>67</xdr:row>
      <xdr:rowOff>220114</xdr:rowOff>
    </xdr:from>
    <xdr:to>
      <xdr:col>45</xdr:col>
      <xdr:colOff>124530</xdr:colOff>
      <xdr:row>94</xdr:row>
      <xdr:rowOff>116396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4BA2A-7AAE-4C87-86F1-D251D968AA16}"/>
            </a:ext>
            <a:ext uri="{147F2762-F138-4A5C-976F-8EAC2B608ADB}">
              <a16:predDERef xmlns:a16="http://schemas.microsoft.com/office/drawing/2014/main" pred="{E15B2C4A-FEE7-4124-9543-4637466FF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871003</xdr:colOff>
      <xdr:row>44</xdr:row>
      <xdr:rowOff>46555</xdr:rowOff>
    </xdr:from>
    <xdr:to>
      <xdr:col>45</xdr:col>
      <xdr:colOff>137579</xdr:colOff>
      <xdr:row>65</xdr:row>
      <xdr:rowOff>198955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7DC284-6CDF-4EA2-822D-28F9B5A5D08D}"/>
            </a:ext>
            <a:ext uri="{147F2762-F138-4A5C-976F-8EAC2B608ADB}">
              <a16:predDERef xmlns:a16="http://schemas.microsoft.com/office/drawing/2014/main" pred="{6254BA2A-7AAE-4C87-86F1-D251D968A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849086</xdr:colOff>
      <xdr:row>96</xdr:row>
      <xdr:rowOff>108857</xdr:rowOff>
    </xdr:from>
    <xdr:to>
      <xdr:col>45</xdr:col>
      <xdr:colOff>239486</xdr:colOff>
      <xdr:row>121</xdr:row>
      <xdr:rowOff>195942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5EE475-B2A3-4DC9-8C81-645515ADC92B}"/>
            </a:ext>
            <a:ext uri="{147F2762-F138-4A5C-976F-8EAC2B608ADB}">
              <a16:predDERef xmlns:a16="http://schemas.microsoft.com/office/drawing/2014/main" pred="{6254BA2A-7AAE-4C87-86F1-D251D968A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869950</xdr:colOff>
      <xdr:row>19</xdr:row>
      <xdr:rowOff>15875</xdr:rowOff>
    </xdr:from>
    <xdr:to>
      <xdr:col>45</xdr:col>
      <xdr:colOff>73024</xdr:colOff>
      <xdr:row>42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B1DDA-9E2D-437C-BF62-4EF2C3C44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851605</xdr:colOff>
      <xdr:row>68</xdr:row>
      <xdr:rowOff>220114</xdr:rowOff>
    </xdr:from>
    <xdr:to>
      <xdr:col>45</xdr:col>
      <xdr:colOff>124530</xdr:colOff>
      <xdr:row>95</xdr:row>
      <xdr:rowOff>116396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7F62D35D-C36E-4D1F-B6BA-C91AEBEDEAFE}"/>
            </a:ext>
            <a:ext uri="{147F2762-F138-4A5C-976F-8EAC2B608ADB}">
              <a16:predDERef xmlns:a16="http://schemas.microsoft.com/office/drawing/2014/main" pred="{BCAB1DDA-9E2D-437C-BF62-4EF2C3C44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823378</xdr:colOff>
      <xdr:row>45</xdr:row>
      <xdr:rowOff>46555</xdr:rowOff>
    </xdr:from>
    <xdr:to>
      <xdr:col>45</xdr:col>
      <xdr:colOff>89954</xdr:colOff>
      <xdr:row>66</xdr:row>
      <xdr:rowOff>198955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F85F5120-4FA1-42D2-A753-7EFD56CC3AF2}"/>
            </a:ext>
            <a:ext uri="{147F2762-F138-4A5C-976F-8EAC2B608ADB}">
              <a16:predDERef xmlns:a16="http://schemas.microsoft.com/office/drawing/2014/main" pred="{7F62D35D-C36E-4D1F-B6BA-C91AEBEDE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859971</xdr:colOff>
      <xdr:row>96</xdr:row>
      <xdr:rowOff>141514</xdr:rowOff>
    </xdr:from>
    <xdr:to>
      <xdr:col>45</xdr:col>
      <xdr:colOff>126547</xdr:colOff>
      <xdr:row>122</xdr:row>
      <xdr:rowOff>152400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id="{17412FF7-E400-4005-AF24-9504388DEB2F}"/>
            </a:ext>
            <a:ext uri="{147F2762-F138-4A5C-976F-8EAC2B608ADB}">
              <a16:predDERef xmlns:a16="http://schemas.microsoft.com/office/drawing/2014/main" pred="{F85F5120-4FA1-42D2-A753-7EFD56CC3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869950</xdr:colOff>
      <xdr:row>18</xdr:row>
      <xdr:rowOff>244475</xdr:rowOff>
    </xdr:from>
    <xdr:to>
      <xdr:col>45</xdr:col>
      <xdr:colOff>73024</xdr:colOff>
      <xdr:row>39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325D9-2584-4F6F-8117-3463E5CCC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851605</xdr:colOff>
      <xdr:row>66</xdr:row>
      <xdr:rowOff>220114</xdr:rowOff>
    </xdr:from>
    <xdr:to>
      <xdr:col>45</xdr:col>
      <xdr:colOff>124530</xdr:colOff>
      <xdr:row>93</xdr:row>
      <xdr:rowOff>116396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4B7A0-0C00-4623-8136-AC524D25F7DE}"/>
            </a:ext>
            <a:ext uri="{147F2762-F138-4A5C-976F-8EAC2B608ADB}">
              <a16:predDERef xmlns:a16="http://schemas.microsoft.com/office/drawing/2014/main" pred="{586325D9-2584-4F6F-8117-3463E5CCC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823378</xdr:colOff>
      <xdr:row>43</xdr:row>
      <xdr:rowOff>46555</xdr:rowOff>
    </xdr:from>
    <xdr:to>
      <xdr:col>45</xdr:col>
      <xdr:colOff>89954</xdr:colOff>
      <xdr:row>64</xdr:row>
      <xdr:rowOff>198955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11974E-59E6-48B2-BE1F-DCB5A119E275}"/>
            </a:ext>
            <a:ext uri="{147F2762-F138-4A5C-976F-8EAC2B608ADB}">
              <a16:predDERef xmlns:a16="http://schemas.microsoft.com/office/drawing/2014/main" pred="{15F4B7A0-0C00-4623-8136-AC524D25F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0</xdr:row>
      <xdr:rowOff>0</xdr:rowOff>
    </xdr:from>
    <xdr:to>
      <xdr:col>13</xdr:col>
      <xdr:colOff>6350</xdr:colOff>
      <xdr:row>22</xdr:row>
      <xdr:rowOff>9525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25" displayName="Table25" ref="B4:N40" totalsRowShown="0" headerRowDxfId="577" dataDxfId="576" headerRowBorderDxfId="575">
  <autoFilter ref="B4:N40" xr:uid="{00000000-0009-0000-0100-000004000000}"/>
  <tableColumns count="13">
    <tableColumn id="1" xr3:uid="{00000000-0010-0000-0000-000001000000}" name="Date" dataDxfId="574"/>
    <tableColumn id="12" xr3:uid="{00000000-0010-0000-0000-00000C000000}" name="Batan Target (bopd)" dataDxfId="573"/>
    <tableColumn id="13" xr3:uid="{00000000-0010-0000-0000-00000D000000}" name="Jones Creek Target (bopd)" dataDxfId="572"/>
    <tableColumn id="14" xr3:uid="{00000000-0010-0000-0000-00000E000000}" name="Egwa Target (bopd)" dataDxfId="571"/>
    <tableColumn id="15" xr3:uid="{00000000-0010-0000-0000-00000F000000}" name="Odidi Target (bopd)" dataDxfId="570"/>
    <tableColumn id="2" xr3:uid="{00000000-0010-0000-0000-000002000000}" name="Batan Daily Prod (bopd)" dataDxfId="569"/>
    <tableColumn id="3" xr3:uid="{00000000-0010-0000-0000-000003000000}" name="Jones Creek Prod (bopd)" dataDxfId="568"/>
    <tableColumn id="4" xr3:uid="{00000000-0010-0000-0000-000004000000}" name="Egwa Prod (bopd)" dataDxfId="567"/>
    <tableColumn id="5" xr3:uid="{00000000-0010-0000-0000-000005000000}" name="Odidi prod (bopd)" dataDxfId="566"/>
    <tableColumn id="6" xr3:uid="{00000000-0010-0000-0000-000006000000}" name="Batan Def" dataDxfId="565"/>
    <tableColumn id="7" xr3:uid="{00000000-0010-0000-0000-000007000000}" name="Jones Creek Def" dataDxfId="564"/>
    <tableColumn id="8" xr3:uid="{00000000-0010-0000-0000-000008000000}" name="Egwa Def" dataDxfId="563"/>
    <tableColumn id="9" xr3:uid="{00000000-0010-0000-0000-000009000000}" name="Odidi Def" dataDxfId="56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252" displayName="Table252" ref="B4:N44" totalsRowShown="0" headerRowDxfId="561" dataDxfId="560" headerRowBorderDxfId="559">
  <autoFilter ref="B4:N44" xr:uid="{00000000-0009-0000-0100-000001000000}"/>
  <tableColumns count="13">
    <tableColumn id="1" xr3:uid="{00000000-0010-0000-0100-000001000000}" name="Date" dataDxfId="558"/>
    <tableColumn id="12" xr3:uid="{00000000-0010-0000-0100-00000C000000}" name="Batan Target (bopd)" dataDxfId="557"/>
    <tableColumn id="13" xr3:uid="{00000000-0010-0000-0100-00000D000000}" name="Jones Creek Target (bopd)" dataDxfId="556"/>
    <tableColumn id="14" xr3:uid="{00000000-0010-0000-0100-00000E000000}" name="Egwa Target (bopd)" dataDxfId="555"/>
    <tableColumn id="15" xr3:uid="{00000000-0010-0000-0100-00000F000000}" name="Odidi Target (bopd)" dataDxfId="554"/>
    <tableColumn id="2" xr3:uid="{00000000-0010-0000-0100-000002000000}" name="Batan Daily Prod (bopd)" dataDxfId="553"/>
    <tableColumn id="3" xr3:uid="{00000000-0010-0000-0100-000003000000}" name="Jones Creek Prod (bopd)" dataDxfId="552"/>
    <tableColumn id="4" xr3:uid="{00000000-0010-0000-0100-000004000000}" name="Egwa Prod (bopd)" dataDxfId="551"/>
    <tableColumn id="5" xr3:uid="{00000000-0010-0000-0100-000005000000}" name="Odidi prod (bopd)" dataDxfId="550"/>
    <tableColumn id="6" xr3:uid="{00000000-0010-0000-0100-000006000000}" name="Batan Def" dataDxfId="549"/>
    <tableColumn id="7" xr3:uid="{00000000-0010-0000-0100-000007000000}" name="Jones Creek Def" dataDxfId="548"/>
    <tableColumn id="8" xr3:uid="{00000000-0010-0000-0100-000008000000}" name="Egwa Def" dataDxfId="547"/>
    <tableColumn id="9" xr3:uid="{00000000-0010-0000-0100-000009000000}" name="Odidi Def" dataDxfId="5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523" displayName="Table2523" ref="B4:N44" totalsRowShown="0" headerRowDxfId="545" dataDxfId="544" headerRowBorderDxfId="543">
  <autoFilter ref="B4:N44" xr:uid="{00000000-0009-0000-0100-000002000000}"/>
  <tableColumns count="13">
    <tableColumn id="1" xr3:uid="{00000000-0010-0000-0200-000001000000}" name="Date" dataDxfId="542"/>
    <tableColumn id="12" xr3:uid="{00000000-0010-0000-0200-00000C000000}" name="Batan Target (bopd)" dataDxfId="541"/>
    <tableColumn id="13" xr3:uid="{00000000-0010-0000-0200-00000D000000}" name="Jones Creek Target (bopd)" dataDxfId="540"/>
    <tableColumn id="14" xr3:uid="{00000000-0010-0000-0200-00000E000000}" name="Egwa Target (bopd)" dataDxfId="539"/>
    <tableColumn id="15" xr3:uid="{00000000-0010-0000-0200-00000F000000}" name="Odidi Target (bopd)" dataDxfId="538"/>
    <tableColumn id="2" xr3:uid="{00000000-0010-0000-0200-000002000000}" name="Batan Daily Prod (bopd)" dataDxfId="537"/>
    <tableColumn id="3" xr3:uid="{00000000-0010-0000-0200-000003000000}" name="Jones Creek Prod (bopd)" dataDxfId="536"/>
    <tableColumn id="4" xr3:uid="{00000000-0010-0000-0200-000004000000}" name="Egwa Prod (bopd)" dataDxfId="535"/>
    <tableColumn id="5" xr3:uid="{00000000-0010-0000-0200-000005000000}" name="Odidi prod (bopd)" dataDxfId="534"/>
    <tableColumn id="6" xr3:uid="{00000000-0010-0000-0200-000006000000}" name="Batan Def" dataDxfId="533"/>
    <tableColumn id="7" xr3:uid="{00000000-0010-0000-0200-000007000000}" name="Jones Creek Def" dataDxfId="532"/>
    <tableColumn id="8" xr3:uid="{00000000-0010-0000-0200-000008000000}" name="Egwa Def" dataDxfId="531"/>
    <tableColumn id="9" xr3:uid="{00000000-0010-0000-0200-000009000000}" name="Odidi Def" dataDxfId="5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25234" displayName="Table25234" ref="B4:O44" totalsRowShown="0" headerRowDxfId="529" dataDxfId="528" headerRowBorderDxfId="527">
  <autoFilter ref="B4:O44" xr:uid="{00000000-0009-0000-0100-000003000000}"/>
  <tableColumns count="14">
    <tableColumn id="1" xr3:uid="{00000000-0010-0000-0300-000001000000}" name="Date" dataDxfId="526"/>
    <tableColumn id="12" xr3:uid="{00000000-0010-0000-0300-00000C000000}" name="Batan Target (bopd)" dataDxfId="525"/>
    <tableColumn id="13" xr3:uid="{00000000-0010-0000-0300-00000D000000}" name="Jones Creek Target (bopd)" dataDxfId="524"/>
    <tableColumn id="14" xr3:uid="{00000000-0010-0000-0300-00000E000000}" name="Egwa Target (bopd)" dataDxfId="523"/>
    <tableColumn id="15" xr3:uid="{00000000-0010-0000-0300-00000F000000}" name="Odidi Target (bopd)" dataDxfId="522"/>
    <tableColumn id="2" xr3:uid="{00000000-0010-0000-0300-000002000000}" name="Batan Daily Prod (bopd)" dataDxfId="521"/>
    <tableColumn id="3" xr3:uid="{00000000-0010-0000-0300-000003000000}" name="Jones Creek Prod (bopd)" dataDxfId="520"/>
    <tableColumn id="4" xr3:uid="{00000000-0010-0000-0300-000004000000}" name="Egwa Prod (bopd)" dataDxfId="519"/>
    <tableColumn id="5" xr3:uid="{00000000-0010-0000-0300-000005000000}" name="Odidi prod (bopd)" dataDxfId="518"/>
    <tableColumn id="10" xr3:uid="{00000000-0010-0000-0300-00000A000000}" name="Total" dataDxfId="517">
      <calculatedColumnFormula>SUM(Table25234[[#This Row],[Batan Daily Prod (bopd)]:[Odidi prod (bopd)]])</calculatedColumnFormula>
    </tableColumn>
    <tableColumn id="6" xr3:uid="{00000000-0010-0000-0300-000006000000}" name="Batan Def" dataDxfId="516"/>
    <tableColumn id="7" xr3:uid="{00000000-0010-0000-0300-000007000000}" name="Jones Creek Def" dataDxfId="515"/>
    <tableColumn id="8" xr3:uid="{00000000-0010-0000-0300-000008000000}" name="Egwa Def" dataDxfId="514"/>
    <tableColumn id="9" xr3:uid="{00000000-0010-0000-0300-000009000000}" name="Odidi Def" dataDxfId="51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252346" displayName="Table252346" ref="B4:O44" totalsRowShown="0" headerRowDxfId="512" dataDxfId="511" headerRowBorderDxfId="510">
  <autoFilter ref="B4:O44" xr:uid="{00000000-0009-0000-0100-000005000000}"/>
  <tableColumns count="14">
    <tableColumn id="1" xr3:uid="{00000000-0010-0000-0400-000001000000}" name="Date" dataDxfId="509"/>
    <tableColumn id="12" xr3:uid="{00000000-0010-0000-0400-00000C000000}" name="Batan Target (bopd)" dataDxfId="508"/>
    <tableColumn id="13" xr3:uid="{00000000-0010-0000-0400-00000D000000}" name="Jones Creek Target (bopd)" dataDxfId="507"/>
    <tableColumn id="14" xr3:uid="{00000000-0010-0000-0400-00000E000000}" name="Egwa Target (bopd)" dataDxfId="506"/>
    <tableColumn id="15" xr3:uid="{00000000-0010-0000-0400-00000F000000}" name="Odidi Target (bopd)" dataDxfId="505"/>
    <tableColumn id="2" xr3:uid="{00000000-0010-0000-0400-000002000000}" name="Batan Daily Prod (bopd)" dataDxfId="504"/>
    <tableColumn id="3" xr3:uid="{00000000-0010-0000-0400-000003000000}" name="Jones Creek Prod (bopd)" dataDxfId="503"/>
    <tableColumn id="4" xr3:uid="{00000000-0010-0000-0400-000004000000}" name="Egwa Prod (bopd)" dataDxfId="502"/>
    <tableColumn id="5" xr3:uid="{00000000-0010-0000-0400-000005000000}" name="Odidi prod (bopd)" dataDxfId="501"/>
    <tableColumn id="10" xr3:uid="{00000000-0010-0000-0400-00000A000000}" name="Total" dataDxfId="500">
      <calculatedColumnFormula>SUM(Table252346[[#This Row],[Batan Daily Prod (bopd)]:[Odidi prod (bopd)]])</calculatedColumnFormula>
    </tableColumn>
    <tableColumn id="6" xr3:uid="{00000000-0010-0000-0400-000006000000}" name="Batan Def" dataDxfId="499"/>
    <tableColumn id="7" xr3:uid="{00000000-0010-0000-0400-000007000000}" name="Jones Creek Def" dataDxfId="498"/>
    <tableColumn id="8" xr3:uid="{00000000-0010-0000-0400-000008000000}" name="Egwa Def" dataDxfId="497"/>
    <tableColumn id="9" xr3:uid="{00000000-0010-0000-0400-000009000000}" name="Odidi Def" dataDxfId="49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2523467" displayName="Table2523467" ref="B4:O44" totalsRowShown="0" headerRowDxfId="495" dataDxfId="494" headerRowBorderDxfId="493">
  <autoFilter ref="B4:O44" xr:uid="{00000000-0009-0000-0100-000006000000}"/>
  <tableColumns count="14">
    <tableColumn id="1" xr3:uid="{00000000-0010-0000-0500-000001000000}" name="Date" dataDxfId="492"/>
    <tableColumn id="12" xr3:uid="{00000000-0010-0000-0500-00000C000000}" name="Batan Target (bopd)" dataDxfId="491"/>
    <tableColumn id="13" xr3:uid="{00000000-0010-0000-0500-00000D000000}" name="Jones Creek Target (bopd)" dataDxfId="490"/>
    <tableColumn id="14" xr3:uid="{00000000-0010-0000-0500-00000E000000}" name="Egwa Target (bopd)" dataDxfId="489"/>
    <tableColumn id="15" xr3:uid="{00000000-0010-0000-0500-00000F000000}" name="Odidi Target (bopd)" dataDxfId="488"/>
    <tableColumn id="2" xr3:uid="{00000000-0010-0000-0500-000002000000}" name="Batan Daily Prod (bopd)" dataDxfId="487"/>
    <tableColumn id="3" xr3:uid="{00000000-0010-0000-0500-000003000000}" name="Jones Creek Prod (bopd)" dataDxfId="486"/>
    <tableColumn id="4" xr3:uid="{00000000-0010-0000-0500-000004000000}" name="Egwa Prod (bopd)" dataDxfId="485"/>
    <tableColumn id="5" xr3:uid="{00000000-0010-0000-0500-000005000000}" name="Odidi prod (bopd)" dataDxfId="484"/>
    <tableColumn id="10" xr3:uid="{00000000-0010-0000-0500-00000A000000}" name="Total" dataDxfId="483">
      <calculatedColumnFormula>SUM(Table2523467[[#This Row],[Batan Daily Prod (bopd)]:[Odidi prod (bopd)]])</calculatedColumnFormula>
    </tableColumn>
    <tableColumn id="6" xr3:uid="{00000000-0010-0000-0500-000006000000}" name="Batan Def" dataDxfId="482"/>
    <tableColumn id="7" xr3:uid="{00000000-0010-0000-0500-000007000000}" name="Jones Creek Def" dataDxfId="481"/>
    <tableColumn id="8" xr3:uid="{00000000-0010-0000-0500-000008000000}" name="Egwa Def" dataDxfId="480"/>
    <tableColumn id="9" xr3:uid="{00000000-0010-0000-0500-000009000000}" name="Odidi Def" dataDxfId="47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25234678" displayName="Table25234678" ref="B4:O44" totalsRowShown="0" headerRowDxfId="478" dataDxfId="477" headerRowBorderDxfId="476">
  <autoFilter ref="B4:O44" xr:uid="{00000000-0009-0000-0100-000007000000}"/>
  <tableColumns count="14">
    <tableColumn id="1" xr3:uid="{00000000-0010-0000-0600-000001000000}" name="Date" dataDxfId="475"/>
    <tableColumn id="12" xr3:uid="{00000000-0010-0000-0600-00000C000000}" name="Batan Target (bopd)" dataDxfId="474"/>
    <tableColumn id="13" xr3:uid="{00000000-0010-0000-0600-00000D000000}" name="Jones Creek Target (bopd)" dataDxfId="473"/>
    <tableColumn id="14" xr3:uid="{00000000-0010-0000-0600-00000E000000}" name="Egwa Target (bopd)" dataDxfId="472"/>
    <tableColumn id="15" xr3:uid="{00000000-0010-0000-0600-00000F000000}" name="Odidi Target (bopd)" dataDxfId="471"/>
    <tableColumn id="2" xr3:uid="{00000000-0010-0000-0600-000002000000}" name="Batan Daily Prod (bopd)" dataDxfId="470"/>
    <tableColumn id="3" xr3:uid="{00000000-0010-0000-0600-000003000000}" name="Jones Creek Prod (bopd)" dataDxfId="469"/>
    <tableColumn id="4" xr3:uid="{00000000-0010-0000-0600-000004000000}" name="Egwa Prod (bopd)" dataDxfId="468"/>
    <tableColumn id="5" xr3:uid="{00000000-0010-0000-0600-000005000000}" name="Odidi prod (bopd)" dataDxfId="467"/>
    <tableColumn id="10" xr3:uid="{00000000-0010-0000-0600-00000A000000}" name="Total" dataDxfId="466">
      <calculatedColumnFormula>SUM(Table25234678[[#This Row],[Batan Daily Prod (bopd)]:[Odidi prod (bopd)]])</calculatedColumnFormula>
    </tableColumn>
    <tableColumn id="6" xr3:uid="{00000000-0010-0000-0600-000006000000}" name="Batan Def" dataDxfId="465"/>
    <tableColumn id="7" xr3:uid="{00000000-0010-0000-0600-000007000000}" name="Jones Creek Def" dataDxfId="464"/>
    <tableColumn id="8" xr3:uid="{00000000-0010-0000-0600-000008000000}" name="Egwa Def" dataDxfId="463"/>
    <tableColumn id="9" xr3:uid="{00000000-0010-0000-0600-000009000000}" name="Odidi Def" dataDxfId="46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252346789" displayName="Table252346789" ref="B4:O44" totalsRowShown="0" headerRowDxfId="461" dataDxfId="460" headerRowBorderDxfId="459">
  <autoFilter ref="B4:O44" xr:uid="{00000000-0009-0000-0100-000008000000}"/>
  <tableColumns count="14">
    <tableColumn id="1" xr3:uid="{00000000-0010-0000-0700-000001000000}" name="Date" dataDxfId="458"/>
    <tableColumn id="12" xr3:uid="{00000000-0010-0000-0700-00000C000000}" name="Batan Target (bopd)" dataDxfId="457"/>
    <tableColumn id="13" xr3:uid="{00000000-0010-0000-0700-00000D000000}" name="Jones Creek Target (bopd)" dataDxfId="456"/>
    <tableColumn id="14" xr3:uid="{00000000-0010-0000-0700-00000E000000}" name="Egwa Target (bopd)" dataDxfId="455"/>
    <tableColumn id="15" xr3:uid="{00000000-0010-0000-0700-00000F000000}" name="Odidi Target (bopd)" dataDxfId="454"/>
    <tableColumn id="2" xr3:uid="{00000000-0010-0000-0700-000002000000}" name="Batan Daily Prod (bopd)" dataDxfId="453"/>
    <tableColumn id="3" xr3:uid="{00000000-0010-0000-0700-000003000000}" name="Jones Creek Prod (bopd)" dataDxfId="452"/>
    <tableColumn id="4" xr3:uid="{00000000-0010-0000-0700-000004000000}" name="Egwa Prod (bopd)" dataDxfId="451"/>
    <tableColumn id="5" xr3:uid="{00000000-0010-0000-0700-000005000000}" name="Odidi prod (bopd)" dataDxfId="450"/>
    <tableColumn id="10" xr3:uid="{00000000-0010-0000-0700-00000A000000}" name="Total" dataDxfId="449">
      <calculatedColumnFormula>SUM(Table252346789[[#This Row],[Batan Daily Prod (bopd)]:[Odidi prod (bopd)]])</calculatedColumnFormula>
    </tableColumn>
    <tableColumn id="6" xr3:uid="{00000000-0010-0000-0700-000006000000}" name="Batan Def" dataDxfId="448"/>
    <tableColumn id="7" xr3:uid="{00000000-0010-0000-0700-000007000000}" name="Jones Creek Def" dataDxfId="447"/>
    <tableColumn id="8" xr3:uid="{00000000-0010-0000-0700-000008000000}" name="Egwa Def" dataDxfId="446"/>
    <tableColumn id="9" xr3:uid="{00000000-0010-0000-0700-000009000000}" name="Odidi Def" dataDxfId="44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2523467891011" displayName="Table2523467891011" ref="B4:O44" totalsRowShown="0" headerRowDxfId="444" dataDxfId="443" headerRowBorderDxfId="442">
  <autoFilter ref="B4:O44" xr:uid="{00000000-0009-0000-0100-00000A000000}"/>
  <tableColumns count="14">
    <tableColumn id="1" xr3:uid="{00000000-0010-0000-0800-000001000000}" name="Date" dataDxfId="441"/>
    <tableColumn id="12" xr3:uid="{00000000-0010-0000-0800-00000C000000}" name="Batan Target (bopd)" dataDxfId="440"/>
    <tableColumn id="13" xr3:uid="{00000000-0010-0000-0800-00000D000000}" name="Jones Creek Target (bopd)" dataDxfId="439"/>
    <tableColumn id="14" xr3:uid="{00000000-0010-0000-0800-00000E000000}" name="Egwa Target (bopd)" dataDxfId="438"/>
    <tableColumn id="15" xr3:uid="{00000000-0010-0000-0800-00000F000000}" name="Odidi Target (bopd)" dataDxfId="437"/>
    <tableColumn id="3" xr3:uid="{00000000-0010-0000-0800-000003000000}" name="Jones Creek Prod (bopd)" dataDxfId="436"/>
    <tableColumn id="11" xr3:uid="{00000000-0010-0000-0800-00000B000000}" name="Odidi prod (bopd)" dataDxfId="435"/>
    <tableColumn id="16" xr3:uid="{00000000-0010-0000-0800-000010000000}" name="Batan Daily Prod (bopd)2" dataDxfId="434"/>
    <tableColumn id="4" xr3:uid="{00000000-0010-0000-0800-000004000000}" name="Egwa Prod (bopd)" dataDxfId="433"/>
    <tableColumn id="10" xr3:uid="{00000000-0010-0000-0800-00000A000000}" name="Total" dataDxfId="432">
      <calculatedColumnFormula>SUM(#REF!)</calculatedColumnFormula>
    </tableColumn>
    <tableColumn id="6" xr3:uid="{00000000-0010-0000-0800-000006000000}" name="Jones Creek Prod (bopd)2" dataDxfId="431">
      <calculatedColumnFormula>Table2523467891011[[#This Row],[Batan Target (bopd)]]-#REF!</calculatedColumnFormula>
    </tableColumn>
    <tableColumn id="7" xr3:uid="{00000000-0010-0000-0800-000007000000}" name="Odidi prod (bopd)3" dataDxfId="430">
      <calculatedColumnFormula>Table2523467891011[[#This Row],[Jones Creek Target (bopd)]]-Table2523467891011[[#This Row],[Jones Creek Prod (bopd)]]</calculatedColumnFormula>
    </tableColumn>
    <tableColumn id="8" xr3:uid="{00000000-0010-0000-0800-000008000000}" name="Batan Daily Prod (bopd)24" dataDxfId="429">
      <calculatedColumnFormula>Table2523467891011[[#This Row],[Egwa Target (bopd)]]-Table2523467891011[[#This Row],[Egwa Prod (bopd)]]</calculatedColumnFormula>
    </tableColumn>
    <tableColumn id="9" xr3:uid="{00000000-0010-0000-0800-000009000000}" name="Egwa Prod (bopd)5" dataDxfId="428">
      <calculatedColumnFormula>Table2523467891011[[#This Row],[Odidi Target (bopd)]]-#REF!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252346789101110" displayName="Table252346789101110" ref="B4:O44" totalsRowShown="0" headerRowDxfId="427" dataDxfId="426" headerRowBorderDxfId="425">
  <autoFilter ref="B4:O44" xr:uid="{00000000-0009-0000-0100-000009000000}"/>
  <tableColumns count="14">
    <tableColumn id="1" xr3:uid="{00000000-0010-0000-0900-000001000000}" name="Date" dataDxfId="424"/>
    <tableColumn id="2" xr3:uid="{00000000-0010-0000-0900-000002000000}" name="Jones Creek Target (bopd)" dataDxfId="423"/>
    <tableColumn id="5" xr3:uid="{00000000-0010-0000-0900-000005000000}" name="Odidi Target (bopd)" dataDxfId="422"/>
    <tableColumn id="12" xr3:uid="{00000000-0010-0000-0900-00000C000000}" name="Batan Target (bopd)" dataDxfId="421"/>
    <tableColumn id="14" xr3:uid="{00000000-0010-0000-0900-00000E000000}" name="Egwa Target (bopd)" dataDxfId="420"/>
    <tableColumn id="3" xr3:uid="{00000000-0010-0000-0900-000003000000}" name="Jones Creek Prod (bopd)" dataDxfId="419"/>
    <tableColumn id="11" xr3:uid="{00000000-0010-0000-0900-00000B000000}" name="Odidi prod (bopd)" dataDxfId="418"/>
    <tableColumn id="16" xr3:uid="{00000000-0010-0000-0900-000010000000}" name="Batan Daily Prod (bopd)" dataDxfId="417"/>
    <tableColumn id="4" xr3:uid="{00000000-0010-0000-0900-000004000000}" name="Egwa Prod (bopd)" dataDxfId="416"/>
    <tableColumn id="10" xr3:uid="{00000000-0010-0000-0900-00000A000000}" name="Total" dataDxfId="415">
      <calculatedColumnFormula>SUM(#REF!)</calculatedColumnFormula>
    </tableColumn>
    <tableColumn id="6" xr3:uid="{00000000-0010-0000-0900-000006000000}" name="Jones Creek Prod (bopd)2" dataDxfId="414">
      <calculatedColumnFormula>Table252346789101110[[#This Row],[Batan Target (bopd)]]-#REF!</calculatedColumnFormula>
    </tableColumn>
    <tableColumn id="7" xr3:uid="{00000000-0010-0000-0900-000007000000}" name="Odidi prod (bopd)3" dataDxfId="413">
      <calculatedColumnFormula>#REF!-Table252346789101110[[#This Row],[Jones Creek Prod (bopd)]]</calculatedColumnFormula>
    </tableColumn>
    <tableColumn id="8" xr3:uid="{00000000-0010-0000-0900-000008000000}" name="Batan Daily Prod (bopd)24" dataDxfId="412">
      <calculatedColumnFormula>Table252346789101110[[#This Row],[Egwa Target (bopd)]]-Table252346789101110[[#This Row],[Egwa Prod (bopd)]]</calculatedColumnFormula>
    </tableColumn>
    <tableColumn id="9" xr3:uid="{00000000-0010-0000-0900-000009000000}" name="Egwa Prod (bopd)5" dataDxfId="411">
      <calculatedColumnFormula>#REF!-#REF!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2523467891011101213" displayName="Table2523467891011101213" ref="B4:O44" totalsRowShown="0" headerRowDxfId="410" dataDxfId="409" headerRowBorderDxfId="408">
  <autoFilter ref="B4:O44" xr:uid="{00000000-0009-0000-0100-00000C000000}"/>
  <tableColumns count="14">
    <tableColumn id="1" xr3:uid="{00000000-0010-0000-0A00-000001000000}" name="Date" dataDxfId="407"/>
    <tableColumn id="2" xr3:uid="{00000000-0010-0000-0A00-000002000000}" name="Jones Creek Target (bopd)" dataDxfId="406"/>
    <tableColumn id="5" xr3:uid="{00000000-0010-0000-0A00-000005000000}" name="Odidi Target (bopd)" dataDxfId="405"/>
    <tableColumn id="12" xr3:uid="{00000000-0010-0000-0A00-00000C000000}" name="Batan Target (bopd)" dataDxfId="404"/>
    <tableColumn id="14" xr3:uid="{00000000-0010-0000-0A00-00000E000000}" name="Egwa Target (bopd)" dataDxfId="403"/>
    <tableColumn id="3" xr3:uid="{00000000-0010-0000-0A00-000003000000}" name="Jones Creek Prod (bopd)" dataDxfId="402"/>
    <tableColumn id="11" xr3:uid="{00000000-0010-0000-0A00-00000B000000}" name="Odidi prod (bopd)" dataDxfId="401"/>
    <tableColumn id="16" xr3:uid="{00000000-0010-0000-0A00-000010000000}" name="Batan Daily Prod (bopd)" dataDxfId="400"/>
    <tableColumn id="4" xr3:uid="{00000000-0010-0000-0A00-000004000000}" name="Egwa Prod (bopd)" dataDxfId="399"/>
    <tableColumn id="10" xr3:uid="{00000000-0010-0000-0A00-00000A000000}" name="Total" dataDxfId="398">
      <calculatedColumnFormula>G5+H5+I5+J5</calculatedColumnFormula>
    </tableColumn>
    <tableColumn id="6" xr3:uid="{00000000-0010-0000-0A00-000006000000}" name="Jones Creek Prod (bopd)2" dataDxfId="397">
      <calculatedColumnFormula>Table2523467891011101213[[#This Row],[Jones Creek Target (bopd)]]-Table2523467891011101213[[#This Row],[Jones Creek Prod (bopd)]]</calculatedColumnFormula>
    </tableColumn>
    <tableColumn id="7" xr3:uid="{00000000-0010-0000-0A00-000007000000}" name="Odidi prod (bopd)3" dataDxfId="396">
      <calculatedColumnFormula>Table2523467891011101213[[#This Row],[Odidi Target (bopd)]]-Table2523467891011101213[[#This Row],[Odidi prod (bopd)]]</calculatedColumnFormula>
    </tableColumn>
    <tableColumn id="8" xr3:uid="{00000000-0010-0000-0A00-000008000000}" name="Batan Daily Prod (bopd)24" dataDxfId="395">
      <calculatedColumnFormula>Table2523467891011101213[[#This Row],[Batan Target (bopd)]]-Table2523467891011101213[[#This Row],[Batan Daily Prod (bopd)]]</calculatedColumnFormula>
    </tableColumn>
    <tableColumn id="9" xr3:uid="{00000000-0010-0000-0A00-000009000000}" name="Egwa Prod (bopd)5" dataDxfId="394">
      <calculatedColumnFormula>Table2523467891011101213[[#This Row],[Egwa Target (bopd)]]-Table2523467891011101213[[#This Row],[Egwa Prod (bopd)]]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B000000}" name="Table25234678910111012131214" displayName="Table25234678910111012131214" ref="B4:T44" totalsRowShown="0" headerRowDxfId="393" dataDxfId="392" headerRowBorderDxfId="391">
  <autoFilter ref="B4:T44" xr:uid="{00000000-0009-0000-0100-00000D000000}"/>
  <tableColumns count="19">
    <tableColumn id="1" xr3:uid="{00000000-0010-0000-0B00-000001000000}" name="Date" dataDxfId="390"/>
    <tableColumn id="2" xr3:uid="{00000000-0010-0000-0B00-000002000000}" name="Jones Creek Target (bopd)" dataDxfId="389"/>
    <tableColumn id="5" xr3:uid="{00000000-0010-0000-0B00-000005000000}" name="Odidi Target (bopd)" dataDxfId="388"/>
    <tableColumn id="12" xr3:uid="{00000000-0010-0000-0B00-00000C000000}" name="Batan Target (bopd)" dataDxfId="387"/>
    <tableColumn id="14" xr3:uid="{00000000-0010-0000-0B00-00000E000000}" name="Egwa Target (bopd)" dataDxfId="386"/>
    <tableColumn id="3" xr3:uid="{00000000-0010-0000-0B00-000003000000}" name="Jones Creek Prod (bopd)" dataDxfId="385"/>
    <tableColumn id="11" xr3:uid="{00000000-0010-0000-0B00-00000B000000}" name="Odidi prod (bopd)" dataDxfId="384"/>
    <tableColumn id="16" xr3:uid="{00000000-0010-0000-0B00-000010000000}" name="Batan Daily Prod (bopd)" dataDxfId="383"/>
    <tableColumn id="4" xr3:uid="{00000000-0010-0000-0B00-000004000000}" name="Egwa Prod (bopd)" dataDxfId="382"/>
    <tableColumn id="10" xr3:uid="{00000000-0010-0000-0B00-00000A000000}" name="Total" dataDxfId="381">
      <calculatedColumnFormula>G5+H5+I5+J5</calculatedColumnFormula>
    </tableColumn>
    <tableColumn id="6" xr3:uid="{00000000-0010-0000-0B00-000006000000}" name="Jones Creek Prod (bopd)2" dataDxfId="380">
      <calculatedColumnFormula>Table25234678910111012131214[[#This Row],[Jones Creek Target (bopd)]]-Table25234678910111012131214[[#This Row],[Jones Creek Prod (bopd)]]</calculatedColumnFormula>
    </tableColumn>
    <tableColumn id="7" xr3:uid="{00000000-0010-0000-0B00-000007000000}" name="Odidi prod (bopd)3" dataDxfId="379">
      <calculatedColumnFormula>Table25234678910111012131214[[#This Row],[Odidi Target (bopd)]]-Table25234678910111012131214[[#This Row],[Odidi prod (bopd)]]</calculatedColumnFormula>
    </tableColumn>
    <tableColumn id="8" xr3:uid="{00000000-0010-0000-0B00-000008000000}" name="Batan Daily Prod (bopd)24" dataDxfId="378">
      <calculatedColumnFormula>Table25234678910111012131214[[#This Row],[Batan Target (bopd)]]-Table25234678910111012131214[[#This Row],[Batan Daily Prod (bopd)]]</calculatedColumnFormula>
    </tableColumn>
    <tableColumn id="9" xr3:uid="{00000000-0010-0000-0B00-000009000000}" name="Egwa Prod (bopd)5" dataDxfId="377">
      <calculatedColumnFormula>Table25234678910111012131214[[#This Row],[Egwa Target (bopd)]]-Table25234678910111012131214[[#This Row],[Egwa Prod (bopd)]]</calculatedColumnFormula>
    </tableColumn>
    <tableColumn id="13" xr3:uid="{00000000-0010-0000-0B00-00000D000000}" name=" J/C Flared Gas (MMscf/d)" dataDxfId="376"/>
    <tableColumn id="15" xr3:uid="{00000000-0010-0000-0B00-00000F000000}" name=" Odidi Flared Gas (MMscf/d)" dataDxfId="375"/>
    <tableColumn id="17" xr3:uid="{00000000-0010-0000-0B00-000011000000}" name=" Batan Flared Gas (MMscf/d)" dataDxfId="374"/>
    <tableColumn id="19" xr3:uid="{00000000-0010-0000-0B00-000013000000}" name="Egwa Flared Gas (MMscf/d)" dataDxfId="373"/>
    <tableColumn id="18" xr3:uid="{00000000-0010-0000-0B00-000012000000}" name="Total Flared Gas (MMscf/d)" dataDxfId="372">
      <calculatedColumnFormula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C000000}" name="Table2523467891011101213121412" displayName="Table2523467891011101213121412" ref="B4:T44" totalsRowShown="0" headerRowDxfId="371" dataDxfId="370" headerRowBorderDxfId="369">
  <autoFilter ref="B4:T44" xr:uid="{00000000-0009-0000-0100-00000B000000}"/>
  <tableColumns count="19">
    <tableColumn id="1" xr3:uid="{00000000-0010-0000-0C00-000001000000}" name="Date" dataDxfId="368"/>
    <tableColumn id="2" xr3:uid="{00000000-0010-0000-0C00-000002000000}" name="Jones Creek Target (bopd)" dataDxfId="367"/>
    <tableColumn id="5" xr3:uid="{00000000-0010-0000-0C00-000005000000}" name="Odidi Target (bopd)" dataDxfId="366"/>
    <tableColumn id="12" xr3:uid="{00000000-0010-0000-0C00-00000C000000}" name="Batan Target (bopd)" dataDxfId="365"/>
    <tableColumn id="14" xr3:uid="{00000000-0010-0000-0C00-00000E000000}" name="Egwa Target (bopd)" dataDxfId="364"/>
    <tableColumn id="3" xr3:uid="{00000000-0010-0000-0C00-000003000000}" name="Jones Creek Prod (bopd)" dataDxfId="363"/>
    <tableColumn id="11" xr3:uid="{00000000-0010-0000-0C00-00000B000000}" name="Odidi prod (bopd)" dataDxfId="362"/>
    <tableColumn id="16" xr3:uid="{00000000-0010-0000-0C00-000010000000}" name="Batan Daily Prod (bopd)" dataDxfId="361"/>
    <tableColumn id="4" xr3:uid="{00000000-0010-0000-0C00-000004000000}" name="Egwa Prod (bopd)" dataDxfId="360"/>
    <tableColumn id="10" xr3:uid="{00000000-0010-0000-0C00-00000A000000}" name="Total" dataDxfId="359">
      <calculatedColumnFormula>G5+H5+I5+J5</calculatedColumnFormula>
    </tableColumn>
    <tableColumn id="6" xr3:uid="{00000000-0010-0000-0C00-000006000000}" name="Jones Creek Prod (bopd)2" dataDxfId="358">
      <calculatedColumnFormula>Table2523467891011101213121412[[#This Row],[Jones Creek Target (bopd)]]-Table2523467891011101213121412[[#This Row],[Jones Creek Prod (bopd)]]</calculatedColumnFormula>
    </tableColumn>
    <tableColumn id="7" xr3:uid="{00000000-0010-0000-0C00-000007000000}" name="Odidi prod (bopd)3" dataDxfId="357">
      <calculatedColumnFormula>Table2523467891011101213121412[[#This Row],[Odidi Target (bopd)]]-Table2523467891011101213121412[[#This Row],[Odidi prod (bopd)]]</calculatedColumnFormula>
    </tableColumn>
    <tableColumn id="8" xr3:uid="{00000000-0010-0000-0C00-000008000000}" name="Batan Daily Prod (bopd)24" dataDxfId="356">
      <calculatedColumnFormula>Table2523467891011101213121412[[#This Row],[Batan Target (bopd)]]-Table2523467891011101213121412[[#This Row],[Batan Daily Prod (bopd)]]</calculatedColumnFormula>
    </tableColumn>
    <tableColumn id="9" xr3:uid="{00000000-0010-0000-0C00-000009000000}" name="Egwa Prod (bopd)5" dataDxfId="355">
      <calculatedColumnFormula>Table2523467891011101213121412[[#This Row],[Egwa Target (bopd)]]-Table2523467891011101213121412[[#This Row],[Egwa Prod (bopd)]]</calculatedColumnFormula>
    </tableColumn>
    <tableColumn id="13" xr3:uid="{00000000-0010-0000-0C00-00000D000000}" name=" J/C Flared Gas (MMscf/d)" dataDxfId="354"/>
    <tableColumn id="15" xr3:uid="{00000000-0010-0000-0C00-00000F000000}" name=" Odidi Flared Gas (MMscf/d)" dataDxfId="353"/>
    <tableColumn id="17" xr3:uid="{00000000-0010-0000-0C00-000011000000}" name=" Batan Flared Gas (MMscf/d)" dataDxfId="352"/>
    <tableColumn id="19" xr3:uid="{00000000-0010-0000-0C00-000013000000}" name="Egwa Flared Gas (MMscf/d)" dataDxfId="351"/>
    <tableColumn id="18" xr3:uid="{00000000-0010-0000-0C00-000012000000}" name="Total Flared Gas (MMscf/d)" dataDxfId="350">
      <calculatedColumnFormula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le25234678910111012131214121516" displayName="Table25234678910111012131214121516" ref="B4:AG44" totalsRowShown="0" headerRowDxfId="349" dataDxfId="348" headerRowBorderDxfId="347">
  <autoFilter ref="B4:AG44" xr:uid="{00000000-0009-0000-0100-00000F000000}"/>
  <tableColumns count="32">
    <tableColumn id="1" xr3:uid="{00000000-0010-0000-0D00-000001000000}" name="Date" dataDxfId="346"/>
    <tableColumn id="2" xr3:uid="{00000000-0010-0000-0D00-000002000000}" name="Jones Creek Target (Mbopd)" dataDxfId="345"/>
    <tableColumn id="5" xr3:uid="{00000000-0010-0000-0D00-000005000000}" name="Odidi Target (Mbopd)" dataDxfId="344"/>
    <tableColumn id="12" xr3:uid="{00000000-0010-0000-0D00-00000C000000}" name="Batan Target (Mbopd)" dataDxfId="343"/>
    <tableColumn id="14" xr3:uid="{00000000-0010-0000-0D00-00000E000000}" name="Egwa Target (Mbopd)" dataDxfId="342"/>
    <tableColumn id="20" xr3:uid="{00000000-0010-0000-0D00-000014000000}" name="July 2021 Prod Target (Mbopd)" dataDxfId="341">
      <calculatedColumnFormula>SUM(Table25234678910111012131214121516[[#This Row],[Jones Creek Target (Mbopd)]:[Egwa Target (Mbopd)]])</calculatedColumnFormula>
    </tableColumn>
    <tableColumn id="3" xr3:uid="{00000000-0010-0000-0D00-000003000000}" name="Jones Creek (Mbopd)" dataDxfId="340"/>
    <tableColumn id="11" xr3:uid="{00000000-0010-0000-0D00-00000B000000}" name="Odidi (Mbopd)" dataDxfId="339"/>
    <tableColumn id="16" xr3:uid="{00000000-0010-0000-0D00-000010000000}" name="Batan (Mbopd)" dataDxfId="338"/>
    <tableColumn id="4" xr3:uid="{00000000-0010-0000-0D00-000004000000}" name="Egwa (Mbopd)" dataDxfId="337"/>
    <tableColumn id="10" xr3:uid="{00000000-0010-0000-0D00-00000A000000}" name="Total Daily Prod (Mbopd)" dataDxfId="336">
      <calculatedColumnFormula>H5+I5+J5+K5</calculatedColumnFormula>
    </tableColumn>
    <tableColumn id="34" xr3:uid="{00000000-0010-0000-0D00-000022000000}" name="Gas Export (MMscf/d)" dataDxfId="335"/>
    <tableColumn id="6" xr3:uid="{00000000-0010-0000-0D00-000006000000}" name="J/C Diff Prod (bopd)" dataDxfId="334">
      <calculatedColumnFormula>Table25234678910111012131214121516[[#This Row],[Jones Creek Target (Mbopd)]]-Table25234678910111012131214121516[[#This Row],[Jones Creek (Mbopd)]]</calculatedColumnFormula>
    </tableColumn>
    <tableColumn id="7" xr3:uid="{00000000-0010-0000-0D00-000007000000}" name="Odidi Diff prod (bopd)" dataDxfId="333">
      <calculatedColumnFormula>Table25234678910111012131214121516[[#This Row],[Odidi Target (Mbopd)]]-Table25234678910111012131214121516[[#This Row],[Odidi (Mbopd)]]</calculatedColumnFormula>
    </tableColumn>
    <tableColumn id="8" xr3:uid="{00000000-0010-0000-0D00-000008000000}" name="Batan Diff Prod (bopd)" dataDxfId="332">
      <calculatedColumnFormula>Table25234678910111012131214121516[[#This Row],[Batan Target (Mbopd)]]-Table25234678910111012131214121516[[#This Row],[Batan (Mbopd)]]</calculatedColumnFormula>
    </tableColumn>
    <tableColumn id="9" xr3:uid="{00000000-0010-0000-0D00-000009000000}" name="Egwa Diff prod (bopd)" dataDxfId="331">
      <calculatedColumnFormula>Table25234678910111012131214121516[[#This Row],[Egwa Target (Mbopd)]]-Table25234678910111012131214121516[[#This Row],[Egwa (Mbopd)]]</calculatedColumnFormula>
    </tableColumn>
    <tableColumn id="35" xr3:uid="{00000000-0010-0000-0D00-000023000000}" name="J/C Prod gas (MMscf)" dataDxfId="330"/>
    <tableColumn id="23" xr3:uid="{00000000-0010-0000-0D00-000017000000}" name="Odid Prod gas (MMscf)" dataDxfId="329"/>
    <tableColumn id="22" xr3:uid="{00000000-0010-0000-0D00-000016000000}" name="Batn Prod gas (MMscf)" dataDxfId="328"/>
    <tableColumn id="21" xr3:uid="{00000000-0010-0000-0D00-000015000000}" name="Egwa Prod gas (MMscf)" dataDxfId="327"/>
    <tableColumn id="26" xr3:uid="{00000000-0010-0000-0D00-00001A000000}" name="J/C Utilised gas (MMscf)" dataDxfId="326"/>
    <tableColumn id="27" xr3:uid="{00000000-0010-0000-0D00-00001B000000}" name="Odid Utilised gas (MMscf)" dataDxfId="325"/>
    <tableColumn id="29" xr3:uid="{00000000-0010-0000-0D00-00001D000000}" name="Batn Utilised gas (MMscf)" dataDxfId="324"/>
    <tableColumn id="28" xr3:uid="{00000000-0010-0000-0D00-00001C000000}" name="Egwa Utilised gas (MMscf)" dataDxfId="323"/>
    <tableColumn id="13" xr3:uid="{00000000-0010-0000-0D00-00000D000000}" name=" J/C Flared Gas (MMscf/d)" dataDxfId="322"/>
    <tableColumn id="15" xr3:uid="{00000000-0010-0000-0D00-00000F000000}" name=" Odidi Flared Gas (MMscf/d)" dataDxfId="321"/>
    <tableColumn id="17" xr3:uid="{00000000-0010-0000-0D00-000011000000}" name=" Batan Flared Gas (MMscf/d)" dataDxfId="320"/>
    <tableColumn id="19" xr3:uid="{00000000-0010-0000-0D00-000013000000}" name="Egwa Flared Gas (MMscf/d)" dataDxfId="319"/>
    <tableColumn id="32" xr3:uid="{00000000-0010-0000-0D00-000020000000}" name="Total Prod gas (MMscf)" dataDxfId="318">
      <calculatedColumnFormula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calculatedColumnFormula>
    </tableColumn>
    <tableColumn id="31" xr3:uid="{00000000-0010-0000-0D00-00001F000000}" name="Gas Export (MMscf/d)2" dataDxfId="317"/>
    <tableColumn id="33" xr3:uid="{00000000-0010-0000-0D00-000021000000}" name="Total Utilised gas (MMscf)" dataDxfId="316">
      <calculatedColumnFormula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calculatedColumnFormula>
    </tableColumn>
    <tableColumn id="18" xr3:uid="{00000000-0010-0000-0D00-000012000000}" name="Total Flared Gas (MMscf/d)" dataDxfId="315">
      <calculatedColumnFormula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Table2523467891011101213121412151615" displayName="Table2523467891011101213121412151615" ref="B4:AG44" totalsRowShown="0" headerRowDxfId="314" dataDxfId="313" headerRowBorderDxfId="312">
  <autoFilter ref="B4:AG44" xr:uid="{00000000-0009-0000-0100-00000E000000}"/>
  <tableColumns count="32">
    <tableColumn id="1" xr3:uid="{00000000-0010-0000-0E00-000001000000}" name="Date" dataDxfId="311"/>
    <tableColumn id="2" xr3:uid="{00000000-0010-0000-0E00-000002000000}" name="Jones Creek Target (Mbopd)" dataDxfId="310"/>
    <tableColumn id="5" xr3:uid="{00000000-0010-0000-0E00-000005000000}" name="Odidi Target (Mbopd)" dataDxfId="309"/>
    <tableColumn id="12" xr3:uid="{00000000-0010-0000-0E00-00000C000000}" name="Batan Target (Mbopd)" dataDxfId="308"/>
    <tableColumn id="14" xr3:uid="{00000000-0010-0000-0E00-00000E000000}" name="Egwa Target (Mbopd)" dataDxfId="307"/>
    <tableColumn id="20" xr3:uid="{00000000-0010-0000-0E00-000014000000}" name="August 2021 Prod Target (Mbopd)" dataDxfId="306">
      <calculatedColumnFormula>SUM(Table2523467891011101213121412151615[[#This Row],[Jones Creek Target (Mbopd)]:[Egwa Target (Mbopd)]])</calculatedColumnFormula>
    </tableColumn>
    <tableColumn id="3" xr3:uid="{00000000-0010-0000-0E00-000003000000}" name="Jones Creek (Mbopd)" dataDxfId="305"/>
    <tableColumn id="11" xr3:uid="{00000000-0010-0000-0E00-00000B000000}" name="Odidi (Mbopd)" dataDxfId="304"/>
    <tableColumn id="16" xr3:uid="{00000000-0010-0000-0E00-000010000000}" name="Batan (Mbopd)" dataDxfId="303"/>
    <tableColumn id="4" xr3:uid="{00000000-0010-0000-0E00-000004000000}" name="Egwa (Mbopd)" dataDxfId="302"/>
    <tableColumn id="10" xr3:uid="{00000000-0010-0000-0E00-00000A000000}" name="Total Daily Prod (Mbopd)" dataDxfId="301">
      <calculatedColumnFormula>H5+I5+J5+K5</calculatedColumnFormula>
    </tableColumn>
    <tableColumn id="34" xr3:uid="{00000000-0010-0000-0E00-000022000000}" name="Gas Export (MMscf/d)" dataDxfId="300"/>
    <tableColumn id="6" xr3:uid="{00000000-0010-0000-0E00-000006000000}" name="J/C Diff Prod (bopd)" dataDxfId="299">
      <calculatedColumnFormula>Table2523467891011101213121412151615[[#This Row],[Jones Creek Target (Mbopd)]]-Table2523467891011101213121412151615[[#This Row],[Jones Creek (Mbopd)]]</calculatedColumnFormula>
    </tableColumn>
    <tableColumn id="7" xr3:uid="{00000000-0010-0000-0E00-000007000000}" name="Odidi Diff prod (bopd)" dataDxfId="298">
      <calculatedColumnFormula>Table2523467891011101213121412151615[[#This Row],[Odidi Target (Mbopd)]]-Table2523467891011101213121412151615[[#This Row],[Odidi (Mbopd)]]</calculatedColumnFormula>
    </tableColumn>
    <tableColumn id="8" xr3:uid="{00000000-0010-0000-0E00-000008000000}" name="Batan Diff Prod (bopd)" dataDxfId="297">
      <calculatedColumnFormula>Table2523467891011101213121412151615[[#This Row],[Batan Target (Mbopd)]]-Table2523467891011101213121412151615[[#This Row],[Batan (Mbopd)]]</calculatedColumnFormula>
    </tableColumn>
    <tableColumn id="9" xr3:uid="{00000000-0010-0000-0E00-000009000000}" name="Egwa Diff prod (bopd)" dataDxfId="296">
      <calculatedColumnFormula>Table2523467891011101213121412151615[[#This Row],[Egwa Target (Mbopd)]]-Table2523467891011101213121412151615[[#This Row],[Egwa (Mbopd)]]</calculatedColumnFormula>
    </tableColumn>
    <tableColumn id="35" xr3:uid="{00000000-0010-0000-0E00-000023000000}" name="J/C Prod gas (MMscf)" dataDxfId="295"/>
    <tableColumn id="23" xr3:uid="{00000000-0010-0000-0E00-000017000000}" name="Odid Prod gas (MMscf)" dataDxfId="294"/>
    <tableColumn id="22" xr3:uid="{00000000-0010-0000-0E00-000016000000}" name="Batn Prod gas (MMscf)" dataDxfId="293"/>
    <tableColumn id="21" xr3:uid="{00000000-0010-0000-0E00-000015000000}" name="Egwa Prod gas (MMscf)" dataDxfId="292"/>
    <tableColumn id="26" xr3:uid="{00000000-0010-0000-0E00-00001A000000}" name="J/C Utilised gas (MMscf)" dataDxfId="291"/>
    <tableColumn id="27" xr3:uid="{00000000-0010-0000-0E00-00001B000000}" name="Odid Utilised gas (MMscf)" dataDxfId="290"/>
    <tableColumn id="29" xr3:uid="{00000000-0010-0000-0E00-00001D000000}" name="Batn Utilised gas (MMscf)" dataDxfId="289"/>
    <tableColumn id="28" xr3:uid="{00000000-0010-0000-0E00-00001C000000}" name="Egwa Utilised gas (MMscf)" dataDxfId="288"/>
    <tableColumn id="13" xr3:uid="{00000000-0010-0000-0E00-00000D000000}" name=" J/C Flared Gas (MMscf/d)" dataDxfId="287"/>
    <tableColumn id="15" xr3:uid="{00000000-0010-0000-0E00-00000F000000}" name=" Odidi Flared Gas (MMscf/d)" dataDxfId="286"/>
    <tableColumn id="17" xr3:uid="{00000000-0010-0000-0E00-000011000000}" name=" Batan Flared Gas (MMscf/d)" dataDxfId="285"/>
    <tableColumn id="19" xr3:uid="{00000000-0010-0000-0E00-000013000000}" name="Egwa Flared Gas (MMscf/d)" dataDxfId="284"/>
    <tableColumn id="32" xr3:uid="{00000000-0010-0000-0E00-000020000000}" name="Total Prod gas (MMscf)" dataDxfId="283">
      <calculatedColumnFormula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calculatedColumnFormula>
    </tableColumn>
    <tableColumn id="31" xr3:uid="{00000000-0010-0000-0E00-00001F000000}" name="Gas Export (MMscf/d)2" dataDxfId="282"/>
    <tableColumn id="33" xr3:uid="{00000000-0010-0000-0E00-000021000000}" name="Total Utilised gas (MMscf)" dataDxfId="281">
      <calculatedColumnFormula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calculatedColumnFormula>
    </tableColumn>
    <tableColumn id="18" xr3:uid="{00000000-0010-0000-0E00-000012000000}" name="Total Flared Gas (MMscf/d)" dataDxfId="280">
      <calculatedColumnFormula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252346789101110121312141215161517" displayName="Table252346789101110121312141215161517" ref="B4:AG44" totalsRowShown="0" headerRowDxfId="279" dataDxfId="278" headerRowBorderDxfId="277">
  <autoFilter ref="B4:AG44" xr:uid="{00000000-0009-0000-0100-000010000000}"/>
  <tableColumns count="32">
    <tableColumn id="1" xr3:uid="{00000000-0010-0000-0F00-000001000000}" name="Date" dataDxfId="276"/>
    <tableColumn id="2" xr3:uid="{00000000-0010-0000-0F00-000002000000}" name="Jones Creek Target (Mbopd)" dataDxfId="275"/>
    <tableColumn id="5" xr3:uid="{00000000-0010-0000-0F00-000005000000}" name="Odidi Target (Mbopd)" dataDxfId="274"/>
    <tableColumn id="12" xr3:uid="{00000000-0010-0000-0F00-00000C000000}" name="Batan Target (Mbopd)" dataDxfId="273"/>
    <tableColumn id="14" xr3:uid="{00000000-0010-0000-0F00-00000E000000}" name="Egwa Target (Mbopd)" dataDxfId="272"/>
    <tableColumn id="20" xr3:uid="{00000000-0010-0000-0F00-000014000000}" name="August 2021 Prod Target (Mbopd)" dataDxfId="271">
      <calculatedColumnFormula>SUM(Table252346789101110121312141215161517[[#This Row],[Jones Creek Target (Mbopd)]:[Egwa Target (Mbopd)]])</calculatedColumnFormula>
    </tableColumn>
    <tableColumn id="3" xr3:uid="{00000000-0010-0000-0F00-000003000000}" name="Jones Creek (Mbopd)" dataDxfId="270"/>
    <tableColumn id="11" xr3:uid="{00000000-0010-0000-0F00-00000B000000}" name="Odidi (Mbopd)" dataDxfId="269"/>
    <tableColumn id="16" xr3:uid="{00000000-0010-0000-0F00-000010000000}" name="Batan (Mbopd)" dataDxfId="268"/>
    <tableColumn id="4" xr3:uid="{00000000-0010-0000-0F00-000004000000}" name="Egwa (Mbopd)" dataDxfId="267"/>
    <tableColumn id="10" xr3:uid="{00000000-0010-0000-0F00-00000A000000}" name="Total Daily Prod (Mbopd)" dataDxfId="266">
      <calculatedColumnFormula>H5+I5+J5+K5</calculatedColumnFormula>
    </tableColumn>
    <tableColumn id="34" xr3:uid="{00000000-0010-0000-0F00-000022000000}" name="Gas Export (MMscf/d)" dataDxfId="265"/>
    <tableColumn id="6" xr3:uid="{00000000-0010-0000-0F00-000006000000}" name="J/C Diff Prod (bopd)" dataDxfId="264">
      <calculatedColumnFormula>Table252346789101110121312141215161517[[#This Row],[Jones Creek Target (Mbopd)]]-Table252346789101110121312141215161517[[#This Row],[Jones Creek (Mbopd)]]</calculatedColumnFormula>
    </tableColumn>
    <tableColumn id="7" xr3:uid="{00000000-0010-0000-0F00-000007000000}" name="Odidi Diff prod (bopd)" dataDxfId="263">
      <calculatedColumnFormula>Table252346789101110121312141215161517[[#This Row],[Odidi Target (Mbopd)]]-Table252346789101110121312141215161517[[#This Row],[Odidi (Mbopd)]]</calculatedColumnFormula>
    </tableColumn>
    <tableColumn id="8" xr3:uid="{00000000-0010-0000-0F00-000008000000}" name="Batan Diff Prod (bopd)" dataDxfId="262">
      <calculatedColumnFormula>Table252346789101110121312141215161517[[#This Row],[Batan Target (Mbopd)]]-Table252346789101110121312141215161517[[#This Row],[Batan (Mbopd)]]</calculatedColumnFormula>
    </tableColumn>
    <tableColumn id="9" xr3:uid="{00000000-0010-0000-0F00-000009000000}" name="Egwa Diff prod (bopd)" dataDxfId="261">
      <calculatedColumnFormula>Table252346789101110121312141215161517[[#This Row],[Egwa Target (Mbopd)]]-Table252346789101110121312141215161517[[#This Row],[Egwa (Mbopd)]]</calculatedColumnFormula>
    </tableColumn>
    <tableColumn id="35" xr3:uid="{00000000-0010-0000-0F00-000023000000}" name="J/C Prod gas (MMscf)" dataDxfId="260"/>
    <tableColumn id="23" xr3:uid="{00000000-0010-0000-0F00-000017000000}" name="Odid Prod gas (MMscf)" dataDxfId="259"/>
    <tableColumn id="22" xr3:uid="{00000000-0010-0000-0F00-000016000000}" name="Batn Prod gas (MMscf)" dataDxfId="258"/>
    <tableColumn id="21" xr3:uid="{00000000-0010-0000-0F00-000015000000}" name="Egwa Prod gas (MMscf)" dataDxfId="257"/>
    <tableColumn id="26" xr3:uid="{00000000-0010-0000-0F00-00001A000000}" name="J/C Utilised gas (MMscf)" dataDxfId="256"/>
    <tableColumn id="27" xr3:uid="{00000000-0010-0000-0F00-00001B000000}" name="Odid Utilised gas (MMscf)" dataDxfId="255"/>
    <tableColumn id="29" xr3:uid="{00000000-0010-0000-0F00-00001D000000}" name="Batn Utilised gas (MMscf)" dataDxfId="254"/>
    <tableColumn id="28" xr3:uid="{00000000-0010-0000-0F00-00001C000000}" name="Egwa Utilised gas (MMscf)" dataDxfId="253"/>
    <tableColumn id="13" xr3:uid="{00000000-0010-0000-0F00-00000D000000}" name=" J/C Flared Gas (MMscf/d)" dataDxfId="252"/>
    <tableColumn id="15" xr3:uid="{00000000-0010-0000-0F00-00000F000000}" name=" Odidi Flared Gas (MMscf/d)" dataDxfId="251"/>
    <tableColumn id="17" xr3:uid="{00000000-0010-0000-0F00-000011000000}" name=" Batan Flared Gas (MMscf/d)" dataDxfId="250"/>
    <tableColumn id="19" xr3:uid="{00000000-0010-0000-0F00-000013000000}" name="Egwa Flared Gas (MMscf/d)" dataDxfId="249"/>
    <tableColumn id="32" xr3:uid="{00000000-0010-0000-0F00-000020000000}" name="Total Prod gas (MMscf)" dataDxfId="248">
      <calculatedColumnFormula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calculatedColumnFormula>
    </tableColumn>
    <tableColumn id="31" xr3:uid="{00000000-0010-0000-0F00-00001F000000}" name="Gas Export (MMscf/d)2" dataDxfId="247"/>
    <tableColumn id="33" xr3:uid="{00000000-0010-0000-0F00-000021000000}" name="Total Utilised gas (MMscf)" dataDxfId="246">
      <calculatedColumnFormula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calculatedColumnFormula>
    </tableColumn>
    <tableColumn id="18" xr3:uid="{00000000-0010-0000-0F00-000012000000}" name="Total Flared Gas (MMscf/d)" dataDxfId="245">
      <calculatedColumnFormula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25234678910111012131214121516151718" displayName="Table25234678910111012131214121516151718" ref="B4:AG44" totalsRowShown="0" headerRowDxfId="244" dataDxfId="243" headerRowBorderDxfId="242">
  <autoFilter ref="B4:AG44" xr:uid="{00000000-0009-0000-0100-000011000000}"/>
  <tableColumns count="32">
    <tableColumn id="1" xr3:uid="{00000000-0010-0000-1000-000001000000}" name="Date" dataDxfId="241"/>
    <tableColumn id="2" xr3:uid="{00000000-0010-0000-1000-000002000000}" name="Jones Creek Target (Mbopd)" dataDxfId="240"/>
    <tableColumn id="5" xr3:uid="{00000000-0010-0000-1000-000005000000}" name="Odidi Target (Mbopd)" dataDxfId="239"/>
    <tableColumn id="12" xr3:uid="{00000000-0010-0000-1000-00000C000000}" name="Batan Target (Mbopd)" dataDxfId="238"/>
    <tableColumn id="14" xr3:uid="{00000000-0010-0000-1000-00000E000000}" name="Egwa Target (Mbopd)" dataDxfId="237"/>
    <tableColumn id="20" xr3:uid="{00000000-0010-0000-1000-000014000000}" name="August 2021 Prod Target (Mbopd)" dataDxfId="236">
      <calculatedColumnFormula>SUM(Table25234678910111012131214121516151718[[#This Row],[Jones Creek Target (Mbopd)]:[Egwa Target (Mbopd)]])</calculatedColumnFormula>
    </tableColumn>
    <tableColumn id="3" xr3:uid="{00000000-0010-0000-1000-000003000000}" name="Jones Creek (Mbopd)" dataDxfId="235"/>
    <tableColumn id="11" xr3:uid="{00000000-0010-0000-1000-00000B000000}" name="Odidi (Mbopd)" dataDxfId="234"/>
    <tableColumn id="16" xr3:uid="{00000000-0010-0000-1000-000010000000}" name="Batan (Mbopd)" dataDxfId="233"/>
    <tableColumn id="4" xr3:uid="{00000000-0010-0000-1000-000004000000}" name="Egwa (Mbopd)" dataDxfId="232"/>
    <tableColumn id="10" xr3:uid="{00000000-0010-0000-1000-00000A000000}" name="Total Daily Prod (Mbopd)" dataDxfId="231">
      <calculatedColumnFormula>H5+I5+J5+K5</calculatedColumnFormula>
    </tableColumn>
    <tableColumn id="34" xr3:uid="{00000000-0010-0000-1000-000022000000}" name="Gas Export (MMscf/d)" dataDxfId="230"/>
    <tableColumn id="6" xr3:uid="{00000000-0010-0000-1000-000006000000}" name="J/C Diff Prod (bopd)" dataDxfId="229">
      <calculatedColumnFormula>Table25234678910111012131214121516151718[[#This Row],[Jones Creek Target (Mbopd)]]-Table25234678910111012131214121516151718[[#This Row],[Jones Creek (Mbopd)]]</calculatedColumnFormula>
    </tableColumn>
    <tableColumn id="7" xr3:uid="{00000000-0010-0000-1000-000007000000}" name="Odidi Diff prod (bopd)" dataDxfId="228">
      <calculatedColumnFormula>Table25234678910111012131214121516151718[[#This Row],[Odidi Target (Mbopd)]]-Table25234678910111012131214121516151718[[#This Row],[Odidi (Mbopd)]]</calculatedColumnFormula>
    </tableColumn>
    <tableColumn id="8" xr3:uid="{00000000-0010-0000-1000-000008000000}" name="Batan Diff Prod (bopd)" dataDxfId="227">
      <calculatedColumnFormula>Table25234678910111012131214121516151718[[#This Row],[Batan Target (Mbopd)]]-Table25234678910111012131214121516151718[[#This Row],[Batan (Mbopd)]]</calculatedColumnFormula>
    </tableColumn>
    <tableColumn id="9" xr3:uid="{00000000-0010-0000-1000-000009000000}" name="Egwa Diff prod (bopd)" dataDxfId="226">
      <calculatedColumnFormula>Table25234678910111012131214121516151718[[#This Row],[Egwa Target (Mbopd)]]-Table25234678910111012131214121516151718[[#This Row],[Egwa (Mbopd)]]</calculatedColumnFormula>
    </tableColumn>
    <tableColumn id="35" xr3:uid="{00000000-0010-0000-1000-000023000000}" name="J/C Prod gas (MMscf)" dataDxfId="225"/>
    <tableColumn id="23" xr3:uid="{00000000-0010-0000-1000-000017000000}" name="Odid Prod gas (MMscf)" dataDxfId="224"/>
    <tableColumn id="22" xr3:uid="{00000000-0010-0000-1000-000016000000}" name="Batn Prod gas (MMscf)" dataDxfId="223"/>
    <tableColumn id="21" xr3:uid="{00000000-0010-0000-1000-000015000000}" name="Egwa Prod gas (MMscf)" dataDxfId="222"/>
    <tableColumn id="26" xr3:uid="{00000000-0010-0000-1000-00001A000000}" name="J/C Utilised gas (MMscf)" dataDxfId="221"/>
    <tableColumn id="27" xr3:uid="{00000000-0010-0000-1000-00001B000000}" name="Odid Utilised gas (MMscf)" dataDxfId="220"/>
    <tableColumn id="29" xr3:uid="{00000000-0010-0000-1000-00001D000000}" name="Batn Utilised gas (MMscf)" dataDxfId="219"/>
    <tableColumn id="28" xr3:uid="{00000000-0010-0000-1000-00001C000000}" name="Egwa Utilised gas (MMscf)" dataDxfId="218"/>
    <tableColumn id="13" xr3:uid="{00000000-0010-0000-1000-00000D000000}" name=" J/C Flared Gas (MMscf/d)" dataDxfId="217">
      <calculatedColumnFormula>+Table25234678910111012131214121516151718[[#This Row],[J/C Prod gas (MMscf)]]-Table25234678910111012131214121516151718[[#This Row],[J/C Utilised gas (MMscf)]]</calculatedColumnFormula>
    </tableColumn>
    <tableColumn id="15" xr3:uid="{00000000-0010-0000-1000-00000F000000}" name=" Odidi Flared Gas (MMscf/d)" dataDxfId="216">
      <calculatedColumnFormula>+Table25234678910111012131214121516151718[[#This Row],[Odid Prod gas (MMscf)]]-Table25234678910111012131214121516151718[[#This Row],[Gas Export (MMscf/d)]]-Table25234678910111012131214121516151718[[#This Row],[Odid Utilised gas (MMscf)]]</calculatedColumnFormula>
    </tableColumn>
    <tableColumn id="17" xr3:uid="{00000000-0010-0000-1000-000011000000}" name=" Batan Flared Gas (MMscf/d)" dataDxfId="215">
      <calculatedColumnFormula>+Table25234678910111012131214121516151718[[#This Row],[Batn Prod gas (MMscf)]]-Table25234678910111012131214121516151718[[#This Row],[Batn Utilised gas (MMscf)]]</calculatedColumnFormula>
    </tableColumn>
    <tableColumn id="19" xr3:uid="{00000000-0010-0000-1000-000013000000}" name="Egwa Flared Gas (MMscf/d)" dataDxfId="214">
      <calculatedColumnFormula>+Table25234678910111012131214121516151718[[#This Row],[Egwa Prod gas (MMscf)]]-Table25234678910111012131214121516151718[[#This Row],[Egwa Utilised gas (MMscf)]]</calculatedColumnFormula>
    </tableColumn>
    <tableColumn id="32" xr3:uid="{00000000-0010-0000-1000-000020000000}" name="Total Prod gas (MMscf)" dataDxfId="213">
      <calculatedColumnFormula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calculatedColumnFormula>
    </tableColumn>
    <tableColumn id="31" xr3:uid="{00000000-0010-0000-1000-00001F000000}" name="Gas Export (MMscf/d)2" dataDxfId="212">
      <calculatedColumnFormula>+Table25234678910111012131214121516151718[[#This Row],[Gas Export (MMscf/d)]]</calculatedColumnFormula>
    </tableColumn>
    <tableColumn id="33" xr3:uid="{00000000-0010-0000-1000-000021000000}" name="Total Utilised gas (MMscf)" dataDxfId="211">
      <calculatedColumnFormula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calculatedColumnFormula>
    </tableColumn>
    <tableColumn id="18" xr3:uid="{00000000-0010-0000-1000-000012000000}" name="Total Flared Gas (MMscf/d)" dataDxfId="210">
      <calculatedColumnFormula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2523467891011101213121412151615171819" displayName="Table2523467891011101213121412151615171819" ref="B4:AG44" totalsRowShown="0" headerRowDxfId="209" dataDxfId="208" headerRowBorderDxfId="207">
  <autoFilter ref="B4:AG44" xr:uid="{00000000-0009-0000-0100-000012000000}"/>
  <tableColumns count="32">
    <tableColumn id="1" xr3:uid="{00000000-0010-0000-1100-000001000000}" name="Date" dataDxfId="206"/>
    <tableColumn id="2" xr3:uid="{00000000-0010-0000-1100-000002000000}" name="Jones Creek Target (Mbopd)" dataDxfId="205"/>
    <tableColumn id="5" xr3:uid="{00000000-0010-0000-1100-000005000000}" name="Odidi Target (Mbopd)" dataDxfId="204"/>
    <tableColumn id="12" xr3:uid="{00000000-0010-0000-1100-00000C000000}" name="Batan Target (Mbopd)" dataDxfId="203"/>
    <tableColumn id="14" xr3:uid="{00000000-0010-0000-1100-00000E000000}" name="Egwa Target (Mbopd)" dataDxfId="202"/>
    <tableColumn id="20" xr3:uid="{00000000-0010-0000-1100-000014000000}" name="August 2021 Prod Target (Mbopd)" dataDxfId="201">
      <calculatedColumnFormula>SUM(Table2523467891011101213121412151615171819[[#This Row],[Jones Creek Target (Mbopd)]:[Egwa Target (Mbopd)]])</calculatedColumnFormula>
    </tableColumn>
    <tableColumn id="3" xr3:uid="{00000000-0010-0000-1100-000003000000}" name="Jones Creek (Mbopd)" dataDxfId="200"/>
    <tableColumn id="11" xr3:uid="{00000000-0010-0000-1100-00000B000000}" name="Odidi (Mbopd)" dataDxfId="199"/>
    <tableColumn id="16" xr3:uid="{00000000-0010-0000-1100-000010000000}" name="Batan (Mbopd)" dataDxfId="198"/>
    <tableColumn id="4" xr3:uid="{00000000-0010-0000-1100-000004000000}" name="Egwa (Mbopd)" dataDxfId="197"/>
    <tableColumn id="10" xr3:uid="{00000000-0010-0000-1100-00000A000000}" name="Total Daily Prod (Mbopd)" dataDxfId="196">
      <calculatedColumnFormula>H5+I5+J5+K5</calculatedColumnFormula>
    </tableColumn>
    <tableColumn id="34" xr3:uid="{00000000-0010-0000-1100-000022000000}" name="Gas Export (MMscf/d)" dataDxfId="195"/>
    <tableColumn id="6" xr3:uid="{00000000-0010-0000-1100-000006000000}" name="J/C Diff Prod (bopd)" dataDxfId="194">
      <calculatedColumnFormula>Table2523467891011101213121412151615171819[[#This Row],[Jones Creek Target (Mbopd)]]-Table2523467891011101213121412151615171819[[#This Row],[Jones Creek (Mbopd)]]</calculatedColumnFormula>
    </tableColumn>
    <tableColumn id="7" xr3:uid="{00000000-0010-0000-1100-000007000000}" name="Odidi Diff prod (bopd)" dataDxfId="193">
      <calculatedColumnFormula>Table2523467891011101213121412151615171819[[#This Row],[Odidi Target (Mbopd)]]-Table2523467891011101213121412151615171819[[#This Row],[Odidi (Mbopd)]]</calculatedColumnFormula>
    </tableColumn>
    <tableColumn id="8" xr3:uid="{00000000-0010-0000-1100-000008000000}" name="Batan Diff Prod (bopd)" dataDxfId="192">
      <calculatedColumnFormula>Table2523467891011101213121412151615171819[[#This Row],[Batan Target (Mbopd)]]-Table2523467891011101213121412151615171819[[#This Row],[Batan (Mbopd)]]</calculatedColumnFormula>
    </tableColumn>
    <tableColumn id="9" xr3:uid="{00000000-0010-0000-1100-000009000000}" name="Egwa Diff prod (bopd)" dataDxfId="191">
      <calculatedColumnFormula>Table2523467891011101213121412151615171819[[#This Row],[Egwa Target (Mbopd)]]-Table2523467891011101213121412151615171819[[#This Row],[Egwa (Mbopd)]]</calculatedColumnFormula>
    </tableColumn>
    <tableColumn id="35" xr3:uid="{00000000-0010-0000-1100-000023000000}" name="J/C Prod gas (MMscf)" dataDxfId="190"/>
    <tableColumn id="23" xr3:uid="{00000000-0010-0000-1100-000017000000}" name="Odid Prod gas (MMscf)" dataDxfId="189"/>
    <tableColumn id="22" xr3:uid="{00000000-0010-0000-1100-000016000000}" name="Batn Prod gas (MMscf)" dataDxfId="188"/>
    <tableColumn id="21" xr3:uid="{00000000-0010-0000-1100-000015000000}" name="Egwa Prod gas (MMscf)" dataDxfId="187"/>
    <tableColumn id="26" xr3:uid="{00000000-0010-0000-1100-00001A000000}" name="J/C Utilised gas (MMscf)" dataDxfId="186"/>
    <tableColumn id="27" xr3:uid="{00000000-0010-0000-1100-00001B000000}" name="Odid Utilised gas (MMscf)" dataDxfId="185"/>
    <tableColumn id="29" xr3:uid="{00000000-0010-0000-1100-00001D000000}" name="Batn Utilised gas (MMscf)" dataDxfId="184"/>
    <tableColumn id="28" xr3:uid="{00000000-0010-0000-1100-00001C000000}" name="Egwa Utilised gas (MMscf)" dataDxfId="183"/>
    <tableColumn id="13" xr3:uid="{00000000-0010-0000-1100-00000D000000}" name=" J/C Flared Gas (MMscf/d)" dataDxfId="182">
      <calculatedColumnFormula>+Table2523467891011101213121412151615171819[[#This Row],[J/C Prod gas (MMscf)]]-Table2523467891011101213121412151615171819[[#This Row],[J/C Utilised gas (MMscf)]]</calculatedColumnFormula>
    </tableColumn>
    <tableColumn id="15" xr3:uid="{00000000-0010-0000-1100-00000F000000}" name=" Odidi Flared Gas (MMscf/d)" dataDxfId="181">
      <calculatedColumnFormula>+Table2523467891011101213121412151615171819[[#This Row],[Odid Prod gas (MMscf)]]-Table2523467891011101213121412151615171819[[#This Row],[Gas Export (MMscf/d)]]</calculatedColumnFormula>
    </tableColumn>
    <tableColumn id="17" xr3:uid="{00000000-0010-0000-1100-000011000000}" name=" Batan Flared Gas (MMscf/d)" dataDxfId="180">
      <calculatedColumnFormula>+Table2523467891011101213121412151615171819[[#This Row],[Batn Prod gas (MMscf)]]-Table2523467891011101213121412151615171819[[#This Row],[Batn Utilised gas (MMscf)]]</calculatedColumnFormula>
    </tableColumn>
    <tableColumn id="19" xr3:uid="{00000000-0010-0000-1100-000013000000}" name="Egwa Flared Gas (MMscf/d)" dataDxfId="179">
      <calculatedColumnFormula>+Table2523467891011101213121412151615171819[[#This Row],[Egwa Prod gas (MMscf)]]-Table2523467891011101213121412151615171819[[#This Row],[Egwa Utilised gas (MMscf)]]</calculatedColumnFormula>
    </tableColumn>
    <tableColumn id="32" xr3:uid="{00000000-0010-0000-1100-000020000000}" name="Total Prod gas (MMscf)" dataDxfId="178">
      <calculatedColumnFormula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calculatedColumnFormula>
    </tableColumn>
    <tableColumn id="31" xr3:uid="{00000000-0010-0000-1100-00001F000000}" name="Gas Export (MMscf/d)2" dataDxfId="177">
      <calculatedColumnFormula>+Table2523467891011101213121412151615171819[[#This Row],[Gas Export (MMscf/d)]]</calculatedColumnFormula>
    </tableColumn>
    <tableColumn id="33" xr3:uid="{00000000-0010-0000-1100-000021000000}" name="Total Utilised gas (MMscf)" dataDxfId="176">
      <calculatedColumnFormula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calculatedColumnFormula>
    </tableColumn>
    <tableColumn id="18" xr3:uid="{00000000-0010-0000-1100-000012000000}" name="Total Flared Gas (MMscf/d)" dataDxfId="175">
      <calculatedColumnFormula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7995C8B-8C5A-49B9-BA8D-3F09D8AFA407}" name="Table252346789101110121312141215161517181920" displayName="Table252346789101110121312141215161517181920" ref="B4:AG39" totalsRowShown="0" headerRowDxfId="174" dataDxfId="173" headerRowBorderDxfId="172">
  <autoFilter ref="B4:AG39" xr:uid="{00000000-0009-0000-0100-000012000000}"/>
  <tableColumns count="32">
    <tableColumn id="1" xr3:uid="{F6E816A8-7506-41A8-B239-964C81A493BF}" name="Date" dataDxfId="171"/>
    <tableColumn id="2" xr3:uid="{1F2FF410-54B6-4800-8B44-B75BBFAA9696}" name="Jones Creek Target (Mbopd)" dataDxfId="170"/>
    <tableColumn id="5" xr3:uid="{7A5D36AA-920C-4915-96B6-989D3C03942E}" name="Odidi Target (Mbopd)" dataDxfId="169"/>
    <tableColumn id="12" xr3:uid="{4BD821E6-A2C4-425E-A31E-B486F1D5B290}" name="Batan Target (Mbopd)" dataDxfId="168"/>
    <tableColumn id="14" xr3:uid="{407EA7AA-9A7B-40C1-A1D5-2759264AFEE3}" name="Egwa Target (Mbopd)" dataDxfId="167"/>
    <tableColumn id="20" xr3:uid="{776310C5-5E09-4141-ABBD-15C69C6E37A2}" name="August 2021 Prod Target (Mbopd)" dataDxfId="166">
      <calculatedColumnFormula>SUM(Table252346789101110121312141215161517181920[[#This Row],[Jones Creek Target (Mbopd)]:[Egwa Target (Mbopd)]])</calculatedColumnFormula>
    </tableColumn>
    <tableColumn id="3" xr3:uid="{30E8BC35-6E3F-4C99-A277-F079EB1C7077}" name="Jones Creek (Mbopd)" dataDxfId="165"/>
    <tableColumn id="11" xr3:uid="{3B214A5D-04D5-4047-B54A-ABC96640FE81}" name="Odidi (Mbopd)" dataDxfId="164"/>
    <tableColumn id="16" xr3:uid="{09AC5CBC-3514-48A9-BBA5-E7822D97F065}" name="Batan (Mbopd)" dataDxfId="163"/>
    <tableColumn id="4" xr3:uid="{58D19662-FA9D-4F27-957D-A38174FC128C}" name="Egwa (Mbopd)" dataDxfId="162"/>
    <tableColumn id="10" xr3:uid="{55CACC0A-1974-4419-A108-096583EA1601}" name="Total Daily Prod (Mbopd)" dataDxfId="161">
      <calculatedColumnFormula>H5+I5+J5+K5</calculatedColumnFormula>
    </tableColumn>
    <tableColumn id="34" xr3:uid="{FEBA252B-DD6F-4F35-A6B3-373E61B07D40}" name="Gas Export (MMscf/d)" dataDxfId="160"/>
    <tableColumn id="6" xr3:uid="{C24FC1F1-D986-4317-B837-B15EAE3D0502}" name="J/C Diff Prod (bopd)" dataDxfId="159">
      <calculatedColumnFormula>Table252346789101110121312141215161517181920[[#This Row],[Jones Creek Target (Mbopd)]]-Table252346789101110121312141215161517181920[[#This Row],[Jones Creek (Mbopd)]]</calculatedColumnFormula>
    </tableColumn>
    <tableColumn id="7" xr3:uid="{E552311D-9C9F-429B-BF74-D79E96810D46}" name="Odidi Diff prod (bopd)" dataDxfId="158">
      <calculatedColumnFormula>Table252346789101110121312141215161517181920[[#This Row],[Odidi Target (Mbopd)]]-Table252346789101110121312141215161517181920[[#This Row],[Odidi (Mbopd)]]</calculatedColumnFormula>
    </tableColumn>
    <tableColumn id="8" xr3:uid="{D83C055D-D91A-46C3-A268-30A6FE4B8F3F}" name="Batan Diff Prod (bopd)" dataDxfId="157">
      <calculatedColumnFormula>Table252346789101110121312141215161517181920[[#This Row],[Batan Target (Mbopd)]]-Table252346789101110121312141215161517181920[[#This Row],[Batan (Mbopd)]]</calculatedColumnFormula>
    </tableColumn>
    <tableColumn id="9" xr3:uid="{A3DD00A9-4DCE-4257-89F9-35ECBA4B6C42}" name="Egwa Diff prod (bopd)" dataDxfId="156">
      <calculatedColumnFormula>Table252346789101110121312141215161517181920[[#This Row],[Egwa Target (Mbopd)]]-Table252346789101110121312141215161517181920[[#This Row],[Egwa (Mbopd)]]</calculatedColumnFormula>
    </tableColumn>
    <tableColumn id="35" xr3:uid="{84F6D9AD-E988-4535-8A50-14CAC51FD384}" name="J/C Prod gas (MMscf)" dataDxfId="155"/>
    <tableColumn id="23" xr3:uid="{048FA1B4-76A0-4E6E-A43C-422730C0EE34}" name="Odid Prod gas (MMscf)" dataDxfId="154"/>
    <tableColumn id="22" xr3:uid="{231BF017-2762-4FE9-AC4D-C4766152D5BF}" name="Batn Prod gas (MMscf)" dataDxfId="153"/>
    <tableColumn id="21" xr3:uid="{CB0D56BF-C133-4F83-A5AB-A3625C1E1A42}" name="Egwa Prod gas (MMscf)" dataDxfId="152"/>
    <tableColumn id="26" xr3:uid="{4EE0D14D-9B82-4616-9EA3-CAE953A4E619}" name="J/C Utilised gas (MMscf)" dataDxfId="151"/>
    <tableColumn id="27" xr3:uid="{822B9FBC-E84E-4A65-9D5F-CFDB9CC51420}" name="Odid Utilised gas (MMscf)" dataDxfId="150"/>
    <tableColumn id="29" xr3:uid="{A569F22E-967D-416F-BF57-A1F724981BB2}" name="Batn Utilised gas (MMscf)" dataDxfId="149"/>
    <tableColumn id="28" xr3:uid="{01F2F615-2858-42B6-ABCE-C6EC8615F8F1}" name="Egwa Utilised gas (MMscf)" dataDxfId="148"/>
    <tableColumn id="13" xr3:uid="{85128609-BE5E-42BE-8321-A163C7BE7222}" name=" J/C Flared Gas (MMscf/d)" dataDxfId="147">
      <calculatedColumnFormula>+Table252346789101110121312141215161517181920[[#This Row],[J/C Prod gas (MMscf)]]-Table252346789101110121312141215161517181920[[#This Row],[J/C Utilised gas (MMscf)]]</calculatedColumnFormula>
    </tableColumn>
    <tableColumn id="15" xr3:uid="{F40C6FA8-2141-4644-8379-3F8C8627892F}" name=" Odidi Flared Gas (MMscf/d)" dataDxfId="146">
      <calculatedColumnFormula>+Table252346789101110121312141215161517181920[[#This Row],[Odid Prod gas (MMscf)]]-Table252346789101110121312141215161517181920[[#This Row],[Gas Export (MMscf/d)]]</calculatedColumnFormula>
    </tableColumn>
    <tableColumn id="17" xr3:uid="{D15399EE-4D2E-4244-A274-77EFE4F24BB7}" name=" Batan Flared Gas (MMscf/d)" dataDxfId="145">
      <calculatedColumnFormula>+Table252346789101110121312141215161517181920[[#This Row],[Batn Prod gas (MMscf)]]-Table252346789101110121312141215161517181920[[#This Row],[Batn Utilised gas (MMscf)]]</calculatedColumnFormula>
    </tableColumn>
    <tableColumn id="19" xr3:uid="{9523D914-D46F-4754-AEB1-B57597D87711}" name="Egwa Flared Gas (MMscf/d)" dataDxfId="144">
      <calculatedColumnFormula>+Table252346789101110121312141215161517181920[[#This Row],[Egwa Prod gas (MMscf)]]-Table252346789101110121312141215161517181920[[#This Row],[Egwa Utilised gas (MMscf)]]</calculatedColumnFormula>
    </tableColumn>
    <tableColumn id="32" xr3:uid="{54FA676D-989F-40A7-B0A1-37C53B046708}" name="Total Prod gas (MMscf)" dataDxfId="143">
      <calculatedColumnFormula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calculatedColumnFormula>
    </tableColumn>
    <tableColumn id="31" xr3:uid="{4B7785E9-9EDD-4ED9-93E6-63F45271DA6C}" name="Gas Export (MMscf/d)2" dataDxfId="142">
      <calculatedColumnFormula>+Table252346789101110121312141215161517181920[[#This Row],[Gas Export (MMscf/d)]]</calculatedColumnFormula>
    </tableColumn>
    <tableColumn id="33" xr3:uid="{6B5774A8-E7AE-44EE-B94A-AF061C475A04}" name="Total Utilised gas (MMscf)" dataDxfId="141">
      <calculatedColumnFormula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calculatedColumnFormula>
    </tableColumn>
    <tableColumn id="18" xr3:uid="{773DC3BD-5932-44E4-A0E8-5E26DEDFEDC6}" name="Total Flared Gas (MMscf/d)" dataDxfId="140">
      <calculatedColumnFormula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A50232A-E044-47FD-8138-B00E14364345}" name="Table25234678910111012131214121516151718192021" displayName="Table25234678910111012131214121516151718192021" ref="B4:AG39" totalsRowShown="0" headerRowDxfId="139" dataDxfId="138" headerRowBorderDxfId="137">
  <autoFilter ref="B4:AG39" xr:uid="{00000000-0009-0000-0100-000012000000}"/>
  <tableColumns count="32">
    <tableColumn id="1" xr3:uid="{B4ADEA39-3C7E-4B1D-9875-31082B7D94F1}" name="Date" dataDxfId="136"/>
    <tableColumn id="2" xr3:uid="{E5751105-DBCB-4D8A-BA85-7AC88DAB8F5C}" name="Jones Creek Target (Mbopd)" dataDxfId="135"/>
    <tableColumn id="5" xr3:uid="{6C6A069A-4258-4CF6-9058-99CE1150A893}" name="Odidi Target (Mbopd)" dataDxfId="134"/>
    <tableColumn id="12" xr3:uid="{4279DF30-253F-4C71-BA32-1112165BF8DD}" name="Batan Target (Mbopd)" dataDxfId="133"/>
    <tableColumn id="14" xr3:uid="{0239A10B-103C-4407-8E4A-51452B4DD9DE}" name="Egwa Target (Mbopd)" dataDxfId="132"/>
    <tableColumn id="20" xr3:uid="{58BF3498-26A5-407B-8407-4161627D238A}" name="January 2022 Prod Target (Mbopd)" dataDxfId="131">
      <calculatedColumnFormula>SUM(Table25234678910111012131214121516151718192021[[#This Row],[Jones Creek Target (Mbopd)]:[Egwa Target (Mbopd)]])</calculatedColumnFormula>
    </tableColumn>
    <tableColumn id="3" xr3:uid="{48172AB3-DB31-4799-9556-7A9767BB6CD4}" name="Jones Creek (Mbopd)" dataDxfId="130"/>
    <tableColumn id="11" xr3:uid="{0C9460D0-12F4-4339-BB73-D5CC46B5C342}" name="Odidi (Mbopd)" dataDxfId="129"/>
    <tableColumn id="16" xr3:uid="{97B59925-6FD3-4A79-91D0-A47A99355FA0}" name="Batan (Mbopd)" dataDxfId="128"/>
    <tableColumn id="4" xr3:uid="{EA8C3B6E-3E31-458C-AA4B-C11D9186AB0C}" name="Egwa (Mbopd)" dataDxfId="127"/>
    <tableColumn id="10" xr3:uid="{9A83DDF2-8332-4269-8042-6A92B61A536B}" name="Total Daily Prod (Mbopd)" dataDxfId="126">
      <calculatedColumnFormula>H5+I5+J5+K5</calculatedColumnFormula>
    </tableColumn>
    <tableColumn id="34" xr3:uid="{C9639AA0-81E0-4784-B28B-B68ECB6981BA}" name="Gas Export (MMscf/d)" dataDxfId="125"/>
    <tableColumn id="6" xr3:uid="{C7F6C8E4-1AB8-4BFF-8BE5-E26FFDBB0EE1}" name="J/C Diff Prod (bopd)" dataDxfId="124">
      <calculatedColumnFormula>Table2523467891011101213121412151615171819202122[[#This Row],[Jones Creek Target (Mbopd)]]-Table2523467891011101213121412151615171819202122[[#This Row],[Jones Creek (Mbopd)]]</calculatedColumnFormula>
    </tableColumn>
    <tableColumn id="7" xr3:uid="{9665D2C2-3D81-4394-A9BB-9A1C664DF03E}" name="Odidi Diff prod (bopd)" dataDxfId="123">
      <calculatedColumnFormula>Table2523467891011101213121412151615171819202122[[#This Row],[Odidi Target (Mbopd)]]-Table2523467891011101213121412151615171819202122[[#This Row],[Odidi (Mbopd)]]</calculatedColumnFormula>
    </tableColumn>
    <tableColumn id="8" xr3:uid="{5D2F3D9B-6DE5-4F16-BC5D-8A4FC0C9D08F}" name="Batan Diff Prod (bopd)" dataDxfId="122">
      <calculatedColumnFormula>Table2523467891011101213121412151615171819202122[[#This Row],[Batan Target (Mbopd)]]-Table2523467891011101213121412151615171819202122[[#This Row],[Batan (Mbopd)]]</calculatedColumnFormula>
    </tableColumn>
    <tableColumn id="9" xr3:uid="{1A3947D5-788D-4CB5-A2E9-248DED986116}" name="Egwa Diff prod (bopd)" dataDxfId="121">
      <calculatedColumnFormula>Table2523467891011101213121412151615171819202122[[#This Row],[Egwa Target (Mbopd)]]-Table2523467891011101213121412151615171819202122[[#This Row],[Egwa (Mbopd)]]</calculatedColumnFormula>
    </tableColumn>
    <tableColumn id="35" xr3:uid="{77BD79D0-8E71-4E19-A092-011323EB0FB7}" name="J/C Prod gas (MMscf)" dataDxfId="120"/>
    <tableColumn id="23" xr3:uid="{38A57E77-3902-4DBB-9D24-27359B4BEA2F}" name="Odid Prod gas (MMscf)" dataDxfId="119"/>
    <tableColumn id="22" xr3:uid="{18DD0420-458E-4F5F-9D15-721B1562AA5B}" name="Batn Prod gas (MMscf)" dataDxfId="118"/>
    <tableColumn id="21" xr3:uid="{473E7579-8021-4376-BB66-B9CA258789D9}" name="Egwa Prod gas (MMscf)" dataDxfId="117"/>
    <tableColumn id="26" xr3:uid="{83633CCF-94E3-4E9F-AC9F-7017AE8FD545}" name="J/C Utilised gas (MMscf)" dataDxfId="116"/>
    <tableColumn id="27" xr3:uid="{71C1D22F-20A7-4E7C-A024-1CD8A88A3A46}" name="Odid Utilised gas (MMscf)" dataDxfId="115"/>
    <tableColumn id="29" xr3:uid="{5B4330F8-FA08-403B-82CE-6029F5770D2F}" name="Batn Utilised gas (MMscf)" dataDxfId="114"/>
    <tableColumn id="28" xr3:uid="{DF8998E3-3E64-40C2-AA61-C9390092A284}" name="Egwa Utilised gas (MMscf)" dataDxfId="113"/>
    <tableColumn id="13" xr3:uid="{4359AF42-3512-448F-9CE6-45493B8EF10F}" name=" J/C Flared Gas (MMscf/d)" dataDxfId="112">
      <calculatedColumnFormula>+Table25234678910111012131214121516151718192021[[#This Row],[J/C Prod gas (MMscf)]]-Table25234678910111012131214121516151718192021[[#This Row],[J/C Utilised gas (MMscf)]]</calculatedColumnFormula>
    </tableColumn>
    <tableColumn id="15" xr3:uid="{2E619D2F-B41F-46DF-BD72-E19F77E39816}" name=" Odidi Flared Gas (MMscf/d)" dataDxfId="111">
      <calculatedColumnFormula>+Table2523467891011101213121412151615171819202122[[#This Row],[Odid Prod gas (MMscf)]]-Table2523467891011101213121412151615171819202122[[#This Row],[Gas Export (MMscf/d)]]</calculatedColumnFormula>
    </tableColumn>
    <tableColumn id="17" xr3:uid="{ED5E4FFA-0723-447D-AEAE-E36056CA0D5B}" name=" Batan Flared Gas (MMscf/d)" dataDxfId="110">
      <calculatedColumnFormula>+Table2523467891011101213121412151615171819202122[[#This Row],[Batn Prod gas (MMscf)]]-Table2523467891011101213121412151615171819202122[[#This Row],[Batn Utilised gas (MMscf)]]</calculatedColumnFormula>
    </tableColumn>
    <tableColumn id="19" xr3:uid="{DADB520A-8B71-4220-A994-7D589724C08C}" name="Egwa Flared Gas (MMscf/d)" dataDxfId="109">
      <calculatedColumnFormula>+Table25234678910111012131214121516151718192021[[#This Row],[Egwa Prod gas (MMscf)]]-Table25234678910111012131214121516151718192021[[#This Row],[Egwa Utilised gas (MMscf)]]</calculatedColumnFormula>
    </tableColumn>
    <tableColumn id="32" xr3:uid="{AC8127B7-A68B-43EB-91BB-9549A0E38089}" name="Total Prod gas (MMscf)" dataDxfId="108">
      <calculatedColumnFormula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calculatedColumnFormula>
    </tableColumn>
    <tableColumn id="31" xr3:uid="{581706E5-6924-4945-8B9E-4CD9406CCEFE}" name="Gas Export (MMscf/d)2" dataDxfId="107">
      <calculatedColumnFormula>+Table2523467891011101213121412151615171819202122[[#This Row],[Gas Export (MMscf/d)]]</calculatedColumnFormula>
    </tableColumn>
    <tableColumn id="33" xr3:uid="{0E67D775-D641-4D84-9F42-3A45140D13F1}" name="Total Utilised gas (MMscf)" dataDxfId="106">
      <calculatedColumnFormula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calculatedColumnFormula>
    </tableColumn>
    <tableColumn id="18" xr3:uid="{3651AF63-3391-4894-91BD-2B7A759311B7}" name="Total Flared Gas (MMscf/d)" dataDxfId="105">
      <calculatedColumnFormula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921B34-426D-400F-9241-70C59CB1FD9D}" name="Table2523467891011101213121412151615171819202122" displayName="Table2523467891011101213121412151615171819202122" ref="B4:AG44" totalsRowShown="0" headerRowDxfId="104" dataDxfId="103" headerRowBorderDxfId="102">
  <autoFilter ref="B4:AG44" xr:uid="{00000000-0009-0000-0100-000012000000}"/>
  <tableColumns count="32">
    <tableColumn id="1" xr3:uid="{098CD1D8-A0C0-40C1-8992-FAB846B87A35}" name="Date" dataDxfId="101"/>
    <tableColumn id="2" xr3:uid="{3FEFF4B5-D6DE-475C-B23E-3F80C8529ABA}" name="Jones Creek Target (Mbopd)" dataDxfId="100"/>
    <tableColumn id="5" xr3:uid="{E0F8FC4F-63B5-4919-8577-D7058A668615}" name="Odidi Target (Mbopd)" dataDxfId="99"/>
    <tableColumn id="12" xr3:uid="{C081541F-F9BE-4AAC-A433-4F4390230A6C}" name="Batan Target (Mbopd)" dataDxfId="98"/>
    <tableColumn id="14" xr3:uid="{DD1EE631-5804-4020-A388-B68521F13764}" name="Egwa Target (Mbopd)" dataDxfId="97"/>
    <tableColumn id="20" xr3:uid="{B9E968D2-4FA7-4750-8464-AB8ACED4CC35}" name="February 2022 Prod Target (Mbopd)" dataDxfId="96">
      <calculatedColumnFormula>SUM(Table2523467891011101213121412151615171819202122[[#This Row],[Jones Creek Target (Mbopd)]:[Egwa Target (Mbopd)]])</calculatedColumnFormula>
    </tableColumn>
    <tableColumn id="3" xr3:uid="{5511CCCD-B672-430F-836A-1BB8DC0FAAA8}" name="Jones Creek (Mbopd)" dataDxfId="95"/>
    <tableColumn id="11" xr3:uid="{0E66F013-A731-4589-AC05-64D8A57FCE13}" name="Odidi (Mbopd)" dataDxfId="94"/>
    <tableColumn id="16" xr3:uid="{69B937E1-159A-4644-9EF8-E6676E678952}" name="Batan (Mbopd)" dataDxfId="93"/>
    <tableColumn id="4" xr3:uid="{39E00E48-687A-4EC0-8625-151A8F53D1A8}" name="Egwa (Mbopd)" dataDxfId="92"/>
    <tableColumn id="10" xr3:uid="{AE3A0DBA-5B12-484A-BC51-19BB5D9CB09D}" name="Total Daily Prod (Mbopd)" dataDxfId="91">
      <calculatedColumnFormula>H5+I5+J5+K5</calculatedColumnFormula>
    </tableColumn>
    <tableColumn id="34" xr3:uid="{4EA280BF-4608-4955-8144-BCB0C235A66B}" name="Gas Export (MMscf/d)" dataDxfId="90"/>
    <tableColumn id="6" xr3:uid="{5CC749A0-5220-4936-AFB6-7BE84ED1E3BE}" name="J/C Diff Prod (bopd)" dataDxfId="89">
      <calculatedColumnFormula>Table2523467891011101213121412151615171819202122[[#This Row],[Jones Creek Target (Mbopd)]]-Table2523467891011101213121412151615171819202122[[#This Row],[Jones Creek (Mbopd)]]</calculatedColumnFormula>
    </tableColumn>
    <tableColumn id="7" xr3:uid="{EAD9EE52-1903-4556-AC55-11D75DA35482}" name="Odidi Diff prod (bopd)" dataDxfId="88">
      <calculatedColumnFormula>Table2523467891011101213121412151615171819202122[[#This Row],[Odidi Target (Mbopd)]]-Table2523467891011101213121412151615171819202122[[#This Row],[Odidi (Mbopd)]]</calculatedColumnFormula>
    </tableColumn>
    <tableColumn id="8" xr3:uid="{DB3D6ED9-1C6E-4E4F-BDF1-AA8BF087E245}" name="Batan Diff Prod (bopd)" dataDxfId="87">
      <calculatedColumnFormula>Table2523467891011101213121412151615171819202122[[#This Row],[Batan Target (Mbopd)]]-Table2523467891011101213121412151615171819202122[[#This Row],[Batan (Mbopd)]]</calculatedColumnFormula>
    </tableColumn>
    <tableColumn id="9" xr3:uid="{B299B6CB-D1D1-4DED-8215-51B792A5F421}" name="Egwa Diff prod (bopd)" dataDxfId="86">
      <calculatedColumnFormula>Table2523467891011101213121412151615171819202122[[#This Row],[Egwa Target (Mbopd)]]-Table2523467891011101213121412151615171819202122[[#This Row],[Egwa (Mbopd)]]</calculatedColumnFormula>
    </tableColumn>
    <tableColumn id="35" xr3:uid="{04EC9CA7-013B-41B3-BA1E-C3421F03955E}" name="J/C Prod gas (MMscf)" dataDxfId="85"/>
    <tableColumn id="23" xr3:uid="{45B97847-72F9-45F9-AEB9-7B6DE0E9F666}" name="Odid Prod gas (MMscf)" dataDxfId="84"/>
    <tableColumn id="22" xr3:uid="{E5C208C3-63FA-4A86-B1D4-750287A56EFC}" name="Batn Prod gas (MMscf)" dataDxfId="83"/>
    <tableColumn id="21" xr3:uid="{0BD53C48-0F8C-46CE-BEC6-5A152B04549F}" name="Egwa Prod gas (MMscf)" dataDxfId="82"/>
    <tableColumn id="26" xr3:uid="{C5CA2BA2-9FCE-4C3D-ADAC-9AD0E57CB30D}" name="J/C Utilised gas (MMscf)" dataDxfId="81"/>
    <tableColumn id="27" xr3:uid="{032B71E4-3321-4F77-ACC0-DFE3786A950D}" name="Odid Utilised gas (MMscf)" dataDxfId="80"/>
    <tableColumn id="29" xr3:uid="{60D804DD-DD7D-486F-AAD7-219E6C13E23A}" name="Batn Utilised gas (MMscf)" dataDxfId="79"/>
    <tableColumn id="28" xr3:uid="{F701BDCB-6C4C-4DD5-A205-E94C5A80EF1A}" name="Egwa Utilised gas (MMscf)" dataDxfId="78"/>
    <tableColumn id="13" xr3:uid="{80D02FB4-92BB-48CA-BCBB-495BACFE1332}" name=" J/C Flared Gas (MMscf/d)" dataDxfId="77">
      <calculatedColumnFormula>+Table2523467891011101213121412151615171819202122[[#This Row],[J/C Prod gas (MMscf)]]-Table2523467891011101213121412151615171819202122[[#This Row],[J/C Utilised gas (MMscf)]]</calculatedColumnFormula>
    </tableColumn>
    <tableColumn id="15" xr3:uid="{EDC83272-952D-4CF4-A8EF-192571126319}" name=" Odidi Flared Gas (MMscf/d)" dataDxfId="76">
      <calculatedColumnFormula>+Table2523467891011101213121412151615171819202122[[#This Row],[Odid Prod gas (MMscf)]]-Table2523467891011101213121412151615171819202122[[#This Row],[Gas Export (MMscf/d)]]</calculatedColumnFormula>
    </tableColumn>
    <tableColumn id="17" xr3:uid="{3A9B0C6F-916C-4AEA-BB15-7212778A9A6D}" name=" Batan Flared Gas (MMscf/d)" dataDxfId="75">
      <calculatedColumnFormula>+Table2523467891011101213121412151615171819202122[[#This Row],[Batn Prod gas (MMscf)]]-Table2523467891011101213121412151615171819202122[[#This Row],[Batn Utilised gas (MMscf)]]</calculatedColumnFormula>
    </tableColumn>
    <tableColumn id="19" xr3:uid="{6BEB54CF-DF18-4DC5-96AE-9A8193D84AB3}" name="Egwa Flared Gas (MMscf/d)" dataDxfId="74">
      <calculatedColumnFormula>+Table2523467891011101213121412151615171819202122[[#This Row],[Egwa Prod gas (MMscf)]]-Table2523467891011101213121412151615171819202122[[#This Row],[Egwa Utilised gas (MMscf)]]</calculatedColumnFormula>
    </tableColumn>
    <tableColumn id="32" xr3:uid="{E015A62A-9D24-4CBC-B54C-F39E11EA1681}" name="Total Prod gas (MMscf)" dataDxfId="73">
      <calculatedColumnFormula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calculatedColumnFormula>
    </tableColumn>
    <tableColumn id="31" xr3:uid="{8827E1F8-F566-4BEE-8E99-173B888D4815}" name="Gas Export (MMscf/d)2" dataDxfId="72">
      <calculatedColumnFormula>+Table2523467891011101213121412151615171819202122[[#This Row],[Gas Export (MMscf/d)]]</calculatedColumnFormula>
    </tableColumn>
    <tableColumn id="33" xr3:uid="{D91DF58E-BAD2-45A4-8D7C-CF188D50955E}" name="Total Utilised gas (MMscf)" dataDxfId="71">
      <calculatedColumnFormula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calculatedColumnFormula>
    </tableColumn>
    <tableColumn id="18" xr3:uid="{10098E51-AD06-42BD-BA48-34C0656877BF}" name="Total Flared Gas (MMscf/d)" dataDxfId="70">
      <calculatedColumnFormula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29E6725-6156-4DA3-8187-2707DF4B5341}" name="Table252346789101110121312141215161517181920212223" displayName="Table252346789101110121312141215161517181920212223" ref="B4:AG44" totalsRowShown="0" headerRowDxfId="69" dataDxfId="68" headerRowBorderDxfId="67">
  <autoFilter ref="B4:AG44" xr:uid="{00000000-0009-0000-0100-000012000000}"/>
  <tableColumns count="32">
    <tableColumn id="1" xr3:uid="{539EC704-5834-4017-BC37-06ABE3E6F7AC}" name="Date" dataDxfId="66"/>
    <tableColumn id="2" xr3:uid="{1AB69393-B1A2-43D1-98B8-ECB9167CFD13}" name="Jones Creek Target (Mbopd)" dataDxfId="65"/>
    <tableColumn id="5" xr3:uid="{1C3BE467-A9BE-4C5C-9BF2-142496F88A7B}" name="Odidi Target (Mbopd)" dataDxfId="64"/>
    <tableColumn id="12" xr3:uid="{43659616-944F-4713-8C42-CBD2EE4940B5}" name="Batan Target (Mbopd)" dataDxfId="63"/>
    <tableColumn id="14" xr3:uid="{063E4756-D3D5-4F62-80DF-146EEC59CAE7}" name="Egwa Target (Mbopd)" dataDxfId="62"/>
    <tableColumn id="20" xr3:uid="{96850F19-F8C1-4B36-92A2-E9914F7C20D5}" name="Feb 22 Prod Target (Mbopd)" dataDxfId="61">
      <calculatedColumnFormula>SUM(Table252346789101110121312141215161517181920212223[[#This Row],[Jones Creek Target (Mbopd)]:[Egwa Target (Mbopd)]])</calculatedColumnFormula>
    </tableColumn>
    <tableColumn id="3" xr3:uid="{6DF32E96-4B97-48EF-A348-5928E34C2D6C}" name="Jones Creek (Mbopd)" dataDxfId="60"/>
    <tableColumn id="11" xr3:uid="{92B3247E-66CD-46FA-BE7B-58950BB37402}" name="Odidi (Mbopd)" dataDxfId="59"/>
    <tableColumn id="16" xr3:uid="{43B97E5F-F4CB-4E97-BC07-80A1CD94880D}" name="Batan (Mbopd)" dataDxfId="58"/>
    <tableColumn id="4" xr3:uid="{53228DD3-EC77-4FBE-967D-F215417B49C6}" name="Egwa (Mbopd)" dataDxfId="57"/>
    <tableColumn id="10" xr3:uid="{395E6729-71C2-473B-99C5-EB47FAE530C1}" name="Total Daily Prod (Mbopd)" dataDxfId="56">
      <calculatedColumnFormula>H5+I5+J5+K5</calculatedColumnFormula>
    </tableColumn>
    <tableColumn id="34" xr3:uid="{8B658419-F6ED-425A-8697-D01E96934E9F}" name="Gas Export (MMscf/d)" dataDxfId="55"/>
    <tableColumn id="6" xr3:uid="{755AAA40-5B6A-41D8-9443-8F278F644022}" name="J/C Diff Prod (bopd)" dataDxfId="54">
      <calculatedColumnFormula>Table252346789101110121312141215161517181920212223[[#This Row],[Jones Creek Target (Mbopd)]]-Table252346789101110121312141215161517181920212223[[#This Row],[Jones Creek (Mbopd)]]</calculatedColumnFormula>
    </tableColumn>
    <tableColumn id="7" xr3:uid="{287B0DFB-A415-4C28-B512-05EAB6D699CB}" name="Odidi Diff prod (bopd)" dataDxfId="53">
      <calculatedColumnFormula>Table252346789101110121312141215161517181920212223[[#This Row],[Odidi Target (Mbopd)]]-Table252346789101110121312141215161517181920212223[[#This Row],[Odidi (Mbopd)]]</calculatedColumnFormula>
    </tableColumn>
    <tableColumn id="8" xr3:uid="{893D03A2-05D5-464F-87E0-0CE4E229C694}" name="Batan Diff Prod (bopd)" dataDxfId="52">
      <calculatedColumnFormula>Table252346789101110121312141215161517181920212223[[#This Row],[Batan Target (Mbopd)]]-Table252346789101110121312141215161517181920212223[[#This Row],[Batan (Mbopd)]]</calculatedColumnFormula>
    </tableColumn>
    <tableColumn id="9" xr3:uid="{E7F2FC6F-BB50-41F9-98B8-07E08DD583BB}" name="Egwa Diff prod (bopd)" dataDxfId="51">
      <calculatedColumnFormula>Table252346789101110121312141215161517181920212223[[#This Row],[Egwa Target (Mbopd)]]-Table252346789101110121312141215161517181920212223[[#This Row],[Egwa (Mbopd)]]</calculatedColumnFormula>
    </tableColumn>
    <tableColumn id="35" xr3:uid="{B55123DB-F9D7-4ED2-9230-BB21EF5FB9F4}" name="J/C Prod gas (MMscf)" dataDxfId="50"/>
    <tableColumn id="23" xr3:uid="{9B452ACA-068A-454A-A24A-091CA22A3A8C}" name="Odid Prod gas (MMscf)" dataDxfId="49"/>
    <tableColumn id="22" xr3:uid="{9CFDAB4F-BD4F-4466-84E3-AC22EF068DF3}" name="Batn Prod gas (MMscf)" dataDxfId="48"/>
    <tableColumn id="21" xr3:uid="{1B64735A-30DA-433F-8CED-956DC3B41586}" name="Egwa Prod gas (MMscf)" dataDxfId="47"/>
    <tableColumn id="26" xr3:uid="{BA590573-6AF6-4477-B8E8-D2ECEA51F3FA}" name="J/C Utilised gas (MMscf)" dataDxfId="46"/>
    <tableColumn id="27" xr3:uid="{101EA780-E69B-476F-91AC-8155FE32CFB0}" name="Odid Utilised gas (MMscf)" dataDxfId="45"/>
    <tableColumn id="29" xr3:uid="{EBCE105A-FC22-4C28-9EF0-E895D8939EEE}" name="Batn Utilised gas (MMscf)" dataDxfId="44"/>
    <tableColumn id="28" xr3:uid="{EE517BAF-E5BF-4A13-ACE4-F8B3D5D271F4}" name="Egwa Utilised gas (MMscf)" dataDxfId="43"/>
    <tableColumn id="13" xr3:uid="{122F52EE-D248-4F63-A0D3-E144A355A683}" name=" J/C Flared Gas (MMscf/d)" dataDxfId="42">
      <calculatedColumnFormula>+Table252346789101110121312141215161517181920212223[[#This Row],[J/C Prod gas (MMscf)]]-Table252346789101110121312141215161517181920212223[[#This Row],[J/C Utilised gas (MMscf)]]</calculatedColumnFormula>
    </tableColumn>
    <tableColumn id="15" xr3:uid="{37B31E53-6996-4D59-99F2-4CDC00815F9D}" name=" Odidi Flared Gas (MMscf/d)" dataDxfId="41">
      <calculatedColumnFormula>+Table252346789101110121312141215161517181920212223[[#This Row],[Odid Prod gas (MMscf)]]-Table252346789101110121312141215161517181920212223[[#This Row],[Gas Export (MMscf/d)]]</calculatedColumnFormula>
    </tableColumn>
    <tableColumn id="17" xr3:uid="{E05782F2-E685-4174-9A75-192A93826A08}" name=" Batan Flared Gas (MMscf/d)" dataDxfId="40">
      <calculatedColumnFormula>+Table252346789101110121312141215161517181920212223[[#This Row],[Batn Prod gas (MMscf)]]-Table252346789101110121312141215161517181920212223[[#This Row],[Batn Utilised gas (MMscf)]]</calculatedColumnFormula>
    </tableColumn>
    <tableColumn id="19" xr3:uid="{CEAD5298-A5EC-4D1A-8798-B6094E0DE5B3}" name="Egwa Flared Gas (MMscf/d)" dataDxfId="39">
      <calculatedColumnFormula>+Table252346789101110121312141215161517181920212223[[#This Row],[Egwa Prod gas (MMscf)]]-Table252346789101110121312141215161517181920212223[[#This Row],[Egwa Utilised gas (MMscf)]]</calculatedColumnFormula>
    </tableColumn>
    <tableColumn id="32" xr3:uid="{AC39F922-0F34-4D1B-8755-DAFFA741ECD2}" name="Total Prod gas (MMscf)" dataDxfId="38">
      <calculatedColumnFormula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calculatedColumnFormula>
    </tableColumn>
    <tableColumn id="31" xr3:uid="{628B21BA-8E24-4533-A537-2B6EAD486E80}" name="Gas Export (MMscf/d)2" dataDxfId="37">
      <calculatedColumnFormula>+Table252346789101110121312141215161517181920212223[[#This Row],[Gas Export (MMscf/d)]]</calculatedColumnFormula>
    </tableColumn>
    <tableColumn id="33" xr3:uid="{24120C8B-EEB6-4D81-9BFB-26671B074D66}" name="Total Utilised gas (MMscf)" dataDxfId="36">
      <calculatedColumnFormula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calculatedColumnFormula>
    </tableColumn>
    <tableColumn id="18" xr3:uid="{31A19AB0-097B-460E-902E-84CDC49C0150}" name="Total Flared Gas (MMscf/d)" dataDxfId="35">
      <calculatedColumnFormula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5856EA4-B286-4FB5-953A-A73580A3B259}" name="Table25234678910111012131214121516151718192021222324" displayName="Table25234678910111012131214121516151718192021222324" ref="B4:AG40" totalsRowShown="0" headerRowDxfId="34" dataDxfId="33" headerRowBorderDxfId="32">
  <autoFilter ref="B4:AG40" xr:uid="{00000000-0009-0000-0100-000012000000}"/>
  <tableColumns count="32">
    <tableColumn id="1" xr3:uid="{EE297078-6BBF-4BA1-A94B-B42475C7E7EA}" name="Date" dataDxfId="31"/>
    <tableColumn id="2" xr3:uid="{E7612560-145B-45ED-91C5-3D039B90E430}" name="Jones Creek Target (Mbopd)" dataDxfId="30"/>
    <tableColumn id="5" xr3:uid="{8BB52940-8890-49F8-8489-EC38298F9B02}" name="Odidi Target (Mbopd)" dataDxfId="29"/>
    <tableColumn id="12" xr3:uid="{E2A267D9-4E92-4A23-A08A-9CF71BF17BD8}" name="Batan Target (Mbopd)" dataDxfId="28"/>
    <tableColumn id="14" xr3:uid="{14A5C38A-D617-41C2-B22C-ED8E7DF5B747}" name="Egwa Target (Mbopd)" dataDxfId="27"/>
    <tableColumn id="20" xr3:uid="{DB490DC1-C176-43EB-8442-44DDC78B3850}" name="February 2022 Prod Target (Mbopd)" dataDxfId="26">
      <calculatedColumnFormula>SUM(Table25234678910111012131214121516151718192021222324[[#This Row],[Jones Creek Target (Mbopd)]:[Egwa Target (Mbopd)]])</calculatedColumnFormula>
    </tableColumn>
    <tableColumn id="3" xr3:uid="{F45129B7-0B72-4C76-9452-EFF6F648979B}" name="Jones Creek (Mbopd)" dataDxfId="25"/>
    <tableColumn id="11" xr3:uid="{F4E1BCB1-5BCC-4B87-9E0D-A2CC790B864B}" name="Odidi (Mbopd)" dataDxfId="24"/>
    <tableColumn id="16" xr3:uid="{6357127C-47CC-4BA1-A466-EC3D51BD2E29}" name="Batan (Mbopd)" dataDxfId="23"/>
    <tableColumn id="4" xr3:uid="{58F97C34-8DA5-4FC4-A35D-959A36508DB8}" name="Egwa (Mbopd)" dataDxfId="22"/>
    <tableColumn id="10" xr3:uid="{AA09D720-2D08-442A-AC40-5BCDFA528C94}" name="Total Daily Prod (Mbopd)" dataDxfId="21">
      <calculatedColumnFormula>H5+I5+J5+K5</calculatedColumnFormula>
    </tableColumn>
    <tableColumn id="34" xr3:uid="{13248F44-3E6D-4C15-BB9A-3115E0EB5707}" name="Gas Export (MMscf/d)" dataDxfId="20"/>
    <tableColumn id="6" xr3:uid="{C97E7C00-EC05-45D0-ACA9-F82B5C6EA48C}" name="J/C Diff Prod (bopd)" dataDxfId="19">
      <calculatedColumnFormula>Table25234678910111012131214121516151718192021222324[[#This Row],[Jones Creek Target (Mbopd)]]-Table25234678910111012131214121516151718192021222324[[#This Row],[Jones Creek (Mbopd)]]</calculatedColumnFormula>
    </tableColumn>
    <tableColumn id="7" xr3:uid="{3D1B40BD-BA63-49A5-B967-050CBF9A83FB}" name="Odidi Diff prod (bopd)" dataDxfId="18">
      <calculatedColumnFormula>Table25234678910111012131214121516151718192021222324[[#This Row],[Odidi Target (Mbopd)]]-Table25234678910111012131214121516151718192021222324[[#This Row],[Odidi (Mbopd)]]</calculatedColumnFormula>
    </tableColumn>
    <tableColumn id="8" xr3:uid="{17680686-BB92-4486-B9A1-36200F33C8AD}" name="Batan Diff Prod (bopd)" dataDxfId="17">
      <calculatedColumnFormula>Table25234678910111012131214121516151718192021222324[[#This Row],[Batan Target (Mbopd)]]-Table25234678910111012131214121516151718192021222324[[#This Row],[Batan (Mbopd)]]</calculatedColumnFormula>
    </tableColumn>
    <tableColumn id="9" xr3:uid="{805D9D6A-A45E-4492-8D20-AFBB56DEA3B1}" name="Egwa Diff prod (bopd)" dataDxfId="16">
      <calculatedColumnFormula>Table25234678910111012131214121516151718192021222324[[#This Row],[Egwa Target (Mbopd)]]-Table25234678910111012131214121516151718192021222324[[#This Row],[Egwa (Mbopd)]]</calculatedColumnFormula>
    </tableColumn>
    <tableColumn id="35" xr3:uid="{001752F7-8F14-4DF1-A41E-5176002D5F4B}" name="J/C Prod gas (MMscf)" dataDxfId="15"/>
    <tableColumn id="23" xr3:uid="{31905BCD-C487-4BC7-8082-5657DF5657D2}" name="Odid Prod gas (MMscf)" dataDxfId="14"/>
    <tableColumn id="22" xr3:uid="{7DEDE4F2-EC34-44A7-AE9F-44EE4B87953E}" name="Batn Prod gas (MMscf)" dataDxfId="13"/>
    <tableColumn id="21" xr3:uid="{9DA78C09-E649-42DA-A8F3-B40330E92ADA}" name="Egwa Prod gas (MMscf)" dataDxfId="12"/>
    <tableColumn id="26" xr3:uid="{799FD08A-17C4-4893-B21C-7FD082CD9BDD}" name="J/C Utilised gas (MMscf)" dataDxfId="11"/>
    <tableColumn id="27" xr3:uid="{04E59DB7-25BE-4CF7-B676-EBAE9C3D53F6}" name="Odid Utilised gas (MMscf)" dataDxfId="10"/>
    <tableColumn id="29" xr3:uid="{B4C6BBD2-98DA-4483-B01F-F5DC59916C7F}" name="Batn Utilised gas (MMscf)" dataDxfId="9"/>
    <tableColumn id="28" xr3:uid="{6ED24F3E-887C-4588-9FAA-029B1E3A665E}" name="Egwa Utilised gas (MMscf)" dataDxfId="8"/>
    <tableColumn id="13" xr3:uid="{8727BD2A-268A-4021-A1C9-5E55A5E57873}" name=" J/C Flared Gas (MMscf/d)" dataDxfId="7">
      <calculatedColumnFormula>+Table25234678910111012131214121516151718192021222324[[#This Row],[J/C Prod gas (MMscf)]]-Table25234678910111012131214121516151718192021222324[[#This Row],[J/C Utilised gas (MMscf)]]</calculatedColumnFormula>
    </tableColumn>
    <tableColumn id="15" xr3:uid="{4B17C28E-56B2-42E2-B9FA-395C87CDE804}" name=" Odidi Flared Gas (MMscf/d)" dataDxfId="6">
      <calculatedColumnFormula>+Table25234678910111012131214121516151718192021222324[[#This Row],[Odid Prod gas (MMscf)]]-Table25234678910111012131214121516151718192021222324[[#This Row],[Gas Export (MMscf/d)]]</calculatedColumnFormula>
    </tableColumn>
    <tableColumn id="17" xr3:uid="{2FBD2DFE-17EA-4743-806A-7DC1C18860F0}" name=" Batan Flared Gas (MMscf/d)" dataDxfId="5">
      <calculatedColumnFormula>+Table25234678910111012131214121516151718192021222324[[#This Row],[Batn Prod gas (MMscf)]]-Table25234678910111012131214121516151718192021222324[[#This Row],[Batn Utilised gas (MMscf)]]</calculatedColumnFormula>
    </tableColumn>
    <tableColumn id="19" xr3:uid="{E073C777-8CE4-49A5-AE1A-A36D9D72D21A}" name="Egwa Flared Gas (MMscf/d)" dataDxfId="4">
      <calculatedColumnFormula>+Table25234678910111012131214121516151718192021222324[[#This Row],[Egwa Prod gas (MMscf)]]-Table25234678910111012131214121516151718192021222324[[#This Row],[Egwa Utilised gas (MMscf)]]</calculatedColumnFormula>
    </tableColumn>
    <tableColumn id="32" xr3:uid="{84CD47BC-F810-4C80-85B3-D4EB2888DB66}" name="Total Prod gas (MMscf)" dataDxfId="3">
      <calculatedColumnFormula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calculatedColumnFormula>
    </tableColumn>
    <tableColumn id="31" xr3:uid="{619E3AFF-C17B-4524-84F5-62869A9C40F6}" name="Gas Export (MMscf/d)2" dataDxfId="2">
      <calculatedColumnFormula>+Table25234678910111012131214121516151718192021222324[[#This Row],[Gas Export (MMscf/d)]]</calculatedColumnFormula>
    </tableColumn>
    <tableColumn id="33" xr3:uid="{D5ECF932-15D9-4413-8D37-FFE4EC8B0040}" name="Total Utilised gas (MMscf)" dataDxfId="1">
      <calculatedColumnFormula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calculatedColumnFormula>
    </tableColumn>
    <tableColumn id="18" xr3:uid="{5EAEF033-9E0E-4743-9664-62462653BD65}" name="Total Flared Gas (MMscf/d)" dataDxfId="0">
      <calculatedColumnFormula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U58"/>
  <sheetViews>
    <sheetView showGridLines="0" topLeftCell="B1" zoomScale="60" zoomScaleNormal="60" workbookViewId="0">
      <selection activeCell="K32" sqref="K32"/>
    </sheetView>
  </sheetViews>
  <sheetFormatPr defaultRowHeight="15"/>
  <cols>
    <col min="1" max="1" width="10.77734375" customWidth="1"/>
    <col min="2" max="2" width="13" customWidth="1"/>
    <col min="3" max="3" width="17.6640625" customWidth="1"/>
    <col min="4" max="4" width="16.33203125" customWidth="1"/>
    <col min="5" max="6" width="9.33203125" bestFit="1" customWidth="1"/>
    <col min="7" max="8" width="10.77734375" customWidth="1"/>
    <col min="9" max="9" width="10.6640625" bestFit="1" customWidth="1"/>
    <col min="10" max="10" width="10.21875" customWidth="1"/>
    <col min="11" max="13" width="9.33203125" bestFit="1" customWidth="1"/>
    <col min="14" max="14" width="9.44140625" bestFit="1" customWidth="1"/>
    <col min="17" max="17" width="14.6640625" customWidth="1"/>
    <col min="18" max="18" width="12.109375" customWidth="1"/>
    <col min="19" max="20" width="14.21875" customWidth="1"/>
    <col min="21" max="21" width="15.33203125" customWidth="1"/>
  </cols>
  <sheetData>
    <row r="3" spans="2:21" ht="21" thickBot="1">
      <c r="Q3" s="23"/>
      <c r="R3" s="23"/>
      <c r="S3" s="1213" t="s">
        <v>0</v>
      </c>
      <c r="T3" s="1213"/>
      <c r="U3" s="1213"/>
    </row>
    <row r="4" spans="2:21" ht="70.150000000000006" thickBot="1">
      <c r="B4" s="2" t="s">
        <v>1</v>
      </c>
      <c r="C4" s="3" t="s">
        <v>2</v>
      </c>
      <c r="D4" s="4" t="s">
        <v>3</v>
      </c>
      <c r="E4" s="4" t="s">
        <v>4</v>
      </c>
      <c r="F4" s="5" t="s">
        <v>5</v>
      </c>
      <c r="G4" s="6" t="s">
        <v>6</v>
      </c>
      <c r="H4" s="7" t="s">
        <v>7</v>
      </c>
      <c r="I4" s="7" t="s">
        <v>8</v>
      </c>
      <c r="J4" s="8" t="s">
        <v>9</v>
      </c>
      <c r="K4" s="6" t="s">
        <v>10</v>
      </c>
      <c r="L4" s="7" t="s">
        <v>11</v>
      </c>
      <c r="M4" s="7" t="s">
        <v>12</v>
      </c>
      <c r="N4" s="9" t="s">
        <v>13</v>
      </c>
      <c r="Q4" s="23"/>
      <c r="R4" s="24" t="s">
        <v>14</v>
      </c>
      <c r="S4" s="24" t="s">
        <v>15</v>
      </c>
      <c r="T4" s="24" t="s">
        <v>15</v>
      </c>
      <c r="U4" s="24" t="s">
        <v>15</v>
      </c>
    </row>
    <row r="5" spans="2:21" ht="18">
      <c r="B5" s="10">
        <v>43919</v>
      </c>
      <c r="C5" s="11">
        <v>9000</v>
      </c>
      <c r="D5" s="12">
        <v>25000</v>
      </c>
      <c r="E5" s="12">
        <v>3900</v>
      </c>
      <c r="F5" s="13">
        <v>15000</v>
      </c>
      <c r="G5" s="11">
        <v>7797.33</v>
      </c>
      <c r="H5" s="12">
        <v>24966.42</v>
      </c>
      <c r="I5" s="12">
        <v>3856.18</v>
      </c>
      <c r="J5" s="13">
        <v>13245.6</v>
      </c>
      <c r="K5" s="14"/>
      <c r="L5" s="15"/>
      <c r="M5" s="15"/>
      <c r="N5" s="16"/>
      <c r="Q5" s="25"/>
      <c r="R5" s="26"/>
      <c r="S5" s="27">
        <f>B38</f>
        <v>43952</v>
      </c>
      <c r="T5" s="27">
        <f>B39</f>
        <v>43953</v>
      </c>
      <c r="U5" s="27">
        <f>B40</f>
        <v>43954</v>
      </c>
    </row>
    <row r="6" spans="2:21" ht="18">
      <c r="B6" s="17">
        <v>43920</v>
      </c>
      <c r="C6" s="11">
        <v>9000</v>
      </c>
      <c r="D6" s="12">
        <v>25000</v>
      </c>
      <c r="E6" s="12">
        <v>3900</v>
      </c>
      <c r="F6" s="13">
        <v>15000</v>
      </c>
      <c r="G6" s="11">
        <v>9129.83</v>
      </c>
      <c r="H6" s="12">
        <v>24787.119999999999</v>
      </c>
      <c r="I6" s="12">
        <v>3804.72</v>
      </c>
      <c r="J6" s="13">
        <v>14172.58</v>
      </c>
      <c r="K6" s="14"/>
      <c r="L6" s="15"/>
      <c r="M6" s="15"/>
      <c r="N6" s="16"/>
      <c r="Q6" s="25" t="s">
        <v>16</v>
      </c>
      <c r="R6" s="28">
        <v>9</v>
      </c>
      <c r="S6" s="29">
        <v>0.442</v>
      </c>
      <c r="T6" s="28">
        <v>0</v>
      </c>
      <c r="U6" s="43">
        <v>0</v>
      </c>
    </row>
    <row r="7" spans="2:21" ht="18">
      <c r="B7" s="17">
        <v>43921</v>
      </c>
      <c r="C7" s="11">
        <v>9000</v>
      </c>
      <c r="D7" s="12">
        <v>25000</v>
      </c>
      <c r="E7" s="12">
        <v>3900</v>
      </c>
      <c r="F7" s="13">
        <v>15000</v>
      </c>
      <c r="G7" s="11">
        <v>9368.82</v>
      </c>
      <c r="H7" s="12">
        <v>25613.53</v>
      </c>
      <c r="I7" s="12">
        <v>3818.83</v>
      </c>
      <c r="J7" s="13">
        <v>12319.08</v>
      </c>
      <c r="K7" s="14"/>
      <c r="L7" s="15"/>
      <c r="M7" s="15"/>
      <c r="N7" s="16"/>
      <c r="Q7" s="25" t="s">
        <v>17</v>
      </c>
      <c r="R7" s="28">
        <v>24.5</v>
      </c>
      <c r="S7" s="29">
        <v>22.99</v>
      </c>
      <c r="T7" s="29">
        <v>23.58</v>
      </c>
      <c r="U7" s="43">
        <v>23.5</v>
      </c>
    </row>
    <row r="8" spans="2:21" ht="18">
      <c r="B8" s="17">
        <v>43922</v>
      </c>
      <c r="C8" s="11">
        <v>9000</v>
      </c>
      <c r="D8" s="12">
        <v>25000</v>
      </c>
      <c r="E8" s="12">
        <v>3900</v>
      </c>
      <c r="F8" s="13">
        <v>15000</v>
      </c>
      <c r="G8" s="11">
        <v>9225.77</v>
      </c>
      <c r="H8" s="12">
        <v>24963.87</v>
      </c>
      <c r="I8" s="12">
        <v>3825.47</v>
      </c>
      <c r="J8" s="13">
        <v>12329.99</v>
      </c>
      <c r="K8" s="14"/>
      <c r="L8" s="15"/>
      <c r="M8" s="15"/>
      <c r="N8" s="16"/>
      <c r="Q8" s="25" t="s">
        <v>18</v>
      </c>
      <c r="R8" s="28">
        <v>4</v>
      </c>
      <c r="S8" s="29">
        <v>2.5590000000000002</v>
      </c>
      <c r="T8" s="29">
        <v>4.26</v>
      </c>
      <c r="U8" s="43">
        <v>4.2</v>
      </c>
    </row>
    <row r="9" spans="2:21" ht="18">
      <c r="B9" s="17">
        <v>43923</v>
      </c>
      <c r="C9" s="11">
        <v>9000</v>
      </c>
      <c r="D9" s="12">
        <v>25000</v>
      </c>
      <c r="E9" s="12">
        <v>3900</v>
      </c>
      <c r="F9" s="13">
        <v>15000</v>
      </c>
      <c r="G9" s="11">
        <v>9272.2999999999993</v>
      </c>
      <c r="H9" s="12">
        <v>24578.51</v>
      </c>
      <c r="I9" s="12">
        <v>3826.3</v>
      </c>
      <c r="J9" s="13">
        <v>13510.47</v>
      </c>
      <c r="K9" s="14"/>
      <c r="L9" s="15"/>
      <c r="M9" s="15"/>
      <c r="N9" s="16"/>
      <c r="Q9" s="25" t="s">
        <v>19</v>
      </c>
      <c r="R9" s="28">
        <v>14.6</v>
      </c>
      <c r="S9" s="29">
        <v>12.135</v>
      </c>
      <c r="T9" s="28">
        <v>11.064</v>
      </c>
      <c r="U9" s="43">
        <v>11</v>
      </c>
    </row>
    <row r="10" spans="2:21" ht="18">
      <c r="B10" s="17">
        <v>43924</v>
      </c>
      <c r="C10" s="11">
        <v>9000</v>
      </c>
      <c r="D10" s="12">
        <v>25000</v>
      </c>
      <c r="E10" s="12">
        <v>3900</v>
      </c>
      <c r="F10" s="13">
        <v>15000</v>
      </c>
      <c r="G10" s="11">
        <v>9306.09</v>
      </c>
      <c r="H10" s="12">
        <v>24584.01</v>
      </c>
      <c r="I10" s="12">
        <v>3834.6</v>
      </c>
      <c r="J10" s="13">
        <v>11572.74</v>
      </c>
      <c r="K10" s="14"/>
      <c r="L10" s="15"/>
      <c r="M10" s="15"/>
      <c r="N10" s="16"/>
    </row>
    <row r="11" spans="2:21" ht="18">
      <c r="B11" s="17">
        <v>43925</v>
      </c>
      <c r="C11" s="11">
        <v>9000</v>
      </c>
      <c r="D11" s="12">
        <v>25000</v>
      </c>
      <c r="E11" s="12">
        <v>3900</v>
      </c>
      <c r="F11" s="13">
        <v>15000</v>
      </c>
      <c r="G11" s="11">
        <v>739.31</v>
      </c>
      <c r="H11" s="12">
        <v>24018.73</v>
      </c>
      <c r="I11" s="12">
        <v>3905.15</v>
      </c>
      <c r="J11" s="13">
        <v>12333.91</v>
      </c>
      <c r="K11" s="14"/>
      <c r="L11" s="15"/>
      <c r="M11" s="15"/>
      <c r="N11" s="16"/>
    </row>
    <row r="12" spans="2:21" ht="18">
      <c r="B12" s="17">
        <v>43926</v>
      </c>
      <c r="C12" s="11">
        <v>9000</v>
      </c>
      <c r="D12" s="12">
        <v>25000</v>
      </c>
      <c r="E12" s="12">
        <v>3900</v>
      </c>
      <c r="F12" s="13">
        <v>15000</v>
      </c>
      <c r="G12" s="11" t="s">
        <v>20</v>
      </c>
      <c r="H12" s="12">
        <v>24482.75</v>
      </c>
      <c r="I12" s="12">
        <v>3847.05</v>
      </c>
      <c r="J12" s="13">
        <v>11931.81</v>
      </c>
      <c r="K12" s="14"/>
      <c r="L12" s="15"/>
      <c r="M12" s="15"/>
      <c r="N12" s="16"/>
    </row>
    <row r="13" spans="2:21" ht="18">
      <c r="B13" s="17">
        <v>43927</v>
      </c>
      <c r="C13" s="11">
        <v>9000</v>
      </c>
      <c r="D13" s="12">
        <v>25000</v>
      </c>
      <c r="E13" s="12">
        <v>3900</v>
      </c>
      <c r="F13" s="13">
        <v>15000</v>
      </c>
      <c r="G13" s="11" t="s">
        <v>20</v>
      </c>
      <c r="H13" s="12">
        <v>24626.7</v>
      </c>
      <c r="I13" s="12">
        <v>3910.96</v>
      </c>
      <c r="J13" s="13">
        <v>11578.72</v>
      </c>
      <c r="K13" s="14"/>
      <c r="L13" s="15"/>
      <c r="M13" s="15"/>
      <c r="N13" s="16"/>
    </row>
    <row r="14" spans="2:21" ht="18">
      <c r="B14" s="17">
        <v>43928</v>
      </c>
      <c r="C14" s="11">
        <v>9000</v>
      </c>
      <c r="D14" s="12">
        <v>25000</v>
      </c>
      <c r="E14" s="12">
        <v>3900</v>
      </c>
      <c r="F14" s="13">
        <v>15000</v>
      </c>
      <c r="G14" s="11" t="s">
        <v>20</v>
      </c>
      <c r="H14" s="12">
        <v>24654.48</v>
      </c>
      <c r="I14" s="12">
        <v>3848.71</v>
      </c>
      <c r="J14" s="13">
        <v>13334.08</v>
      </c>
      <c r="K14" s="14"/>
      <c r="L14" s="15"/>
      <c r="M14" s="15"/>
      <c r="N14" s="16"/>
    </row>
    <row r="15" spans="2:21" ht="18">
      <c r="B15" s="17">
        <v>43929</v>
      </c>
      <c r="C15" s="11">
        <v>9000</v>
      </c>
      <c r="D15" s="12">
        <v>25000</v>
      </c>
      <c r="E15" s="12">
        <v>3900</v>
      </c>
      <c r="F15" s="13">
        <v>15000</v>
      </c>
      <c r="G15" s="11" t="s">
        <v>20</v>
      </c>
      <c r="H15" s="12">
        <v>24548.06</v>
      </c>
      <c r="I15" s="12">
        <v>1881.61</v>
      </c>
      <c r="J15" s="13">
        <v>12697.8</v>
      </c>
      <c r="K15" s="14"/>
      <c r="L15" s="15"/>
      <c r="M15" s="15"/>
      <c r="N15" s="16"/>
    </row>
    <row r="16" spans="2:21" ht="18">
      <c r="B16" s="17">
        <v>43930</v>
      </c>
      <c r="C16" s="11">
        <v>9000</v>
      </c>
      <c r="D16" s="12">
        <v>25000</v>
      </c>
      <c r="E16" s="12">
        <v>3900</v>
      </c>
      <c r="F16" s="13">
        <v>15000</v>
      </c>
      <c r="G16" s="11" t="s">
        <v>20</v>
      </c>
      <c r="H16" s="12">
        <v>23997.29</v>
      </c>
      <c r="I16" s="12">
        <v>3896.02</v>
      </c>
      <c r="J16" s="13">
        <v>13969.89</v>
      </c>
      <c r="K16" s="14"/>
      <c r="L16" s="15"/>
      <c r="M16" s="15"/>
      <c r="N16" s="16"/>
    </row>
    <row r="17" spans="2:14" ht="18">
      <c r="B17" s="17">
        <v>43931</v>
      </c>
      <c r="C17" s="11">
        <v>9000</v>
      </c>
      <c r="D17" s="12">
        <v>25000</v>
      </c>
      <c r="E17" s="12">
        <v>3900</v>
      </c>
      <c r="F17" s="13">
        <v>15000</v>
      </c>
      <c r="G17" s="11">
        <v>1000</v>
      </c>
      <c r="H17" s="12">
        <v>24689.84</v>
      </c>
      <c r="I17" s="12">
        <v>3932.54</v>
      </c>
      <c r="J17" s="13">
        <v>14342.33</v>
      </c>
      <c r="K17" s="11">
        <v>12500</v>
      </c>
      <c r="L17" s="12">
        <v>10610</v>
      </c>
      <c r="M17" s="12">
        <v>4500</v>
      </c>
      <c r="N17" s="18">
        <v>7858</v>
      </c>
    </row>
    <row r="18" spans="2:14" ht="18">
      <c r="B18" s="17">
        <v>43932</v>
      </c>
      <c r="C18" s="11">
        <v>9000</v>
      </c>
      <c r="D18" s="12">
        <v>25000</v>
      </c>
      <c r="E18" s="12">
        <v>3900</v>
      </c>
      <c r="F18" s="13">
        <v>15000</v>
      </c>
      <c r="G18" s="11"/>
      <c r="H18" s="12">
        <v>14149</v>
      </c>
      <c r="I18" s="12">
        <v>2861</v>
      </c>
      <c r="J18" s="13">
        <v>13486</v>
      </c>
      <c r="K18" s="11"/>
      <c r="L18" s="12"/>
      <c r="M18" s="12"/>
      <c r="N18" s="18"/>
    </row>
    <row r="19" spans="2:14" ht="18">
      <c r="B19" s="17">
        <v>43933</v>
      </c>
      <c r="C19" s="11">
        <v>9000</v>
      </c>
      <c r="D19" s="12">
        <v>25000</v>
      </c>
      <c r="E19" s="12">
        <v>3900</v>
      </c>
      <c r="F19" s="13">
        <v>15000</v>
      </c>
      <c r="G19" s="11">
        <v>8022.4</v>
      </c>
      <c r="H19" s="12">
        <v>776</v>
      </c>
      <c r="I19" s="12">
        <v>193.92</v>
      </c>
      <c r="J19" s="13">
        <v>1314</v>
      </c>
      <c r="K19" s="11"/>
      <c r="L19" s="12"/>
      <c r="M19" s="12"/>
      <c r="N19" s="18"/>
    </row>
    <row r="20" spans="2:14" ht="18">
      <c r="B20" s="17">
        <v>43934</v>
      </c>
      <c r="C20" s="11">
        <v>9000</v>
      </c>
      <c r="D20" s="12">
        <v>25000</v>
      </c>
      <c r="E20" s="12">
        <v>3900</v>
      </c>
      <c r="F20" s="13">
        <v>15000</v>
      </c>
      <c r="G20" s="11">
        <v>7715.6</v>
      </c>
      <c r="H20" s="12">
        <v>0</v>
      </c>
      <c r="I20" s="12">
        <v>0</v>
      </c>
      <c r="J20" s="13">
        <v>0</v>
      </c>
      <c r="K20" s="11">
        <v>0</v>
      </c>
      <c r="L20" s="12">
        <v>35473</v>
      </c>
      <c r="M20" s="12">
        <v>4949</v>
      </c>
      <c r="N20" s="18">
        <v>14554</v>
      </c>
    </row>
    <row r="21" spans="2:14" ht="18">
      <c r="B21" s="17">
        <v>43935</v>
      </c>
      <c r="C21" s="11">
        <v>9000</v>
      </c>
      <c r="D21" s="12">
        <v>25000</v>
      </c>
      <c r="E21" s="12">
        <v>3900</v>
      </c>
      <c r="F21" s="13">
        <v>15000</v>
      </c>
      <c r="G21" s="11">
        <v>9285</v>
      </c>
      <c r="H21" s="12">
        <v>7535</v>
      </c>
      <c r="I21" s="12">
        <v>942</v>
      </c>
      <c r="J21" s="13">
        <v>6676</v>
      </c>
      <c r="K21" s="11">
        <v>285</v>
      </c>
      <c r="L21" s="12">
        <v>17465</v>
      </c>
      <c r="M21" s="12">
        <v>2958</v>
      </c>
      <c r="N21" s="18">
        <v>8324</v>
      </c>
    </row>
    <row r="22" spans="2:14" ht="18">
      <c r="B22" s="17">
        <v>43936</v>
      </c>
      <c r="C22" s="11">
        <v>9000</v>
      </c>
      <c r="D22" s="12">
        <v>25000</v>
      </c>
      <c r="E22" s="12">
        <v>3900</v>
      </c>
      <c r="F22" s="13">
        <v>15000</v>
      </c>
      <c r="G22" s="19">
        <v>8511</v>
      </c>
      <c r="H22" s="12">
        <v>16178.99</v>
      </c>
      <c r="I22" s="12">
        <v>2846.6</v>
      </c>
      <c r="J22" s="13">
        <v>15980</v>
      </c>
      <c r="K22" s="11">
        <v>489</v>
      </c>
      <c r="L22" s="12">
        <v>8821</v>
      </c>
      <c r="M22" s="12">
        <v>1053</v>
      </c>
      <c r="N22" s="18">
        <v>0</v>
      </c>
    </row>
    <row r="23" spans="2:14" ht="18">
      <c r="B23" s="17">
        <v>43937</v>
      </c>
      <c r="C23" s="11">
        <v>9000</v>
      </c>
      <c r="D23" s="12">
        <v>25000</v>
      </c>
      <c r="E23" s="12">
        <v>3900</v>
      </c>
      <c r="F23" s="13">
        <v>15000</v>
      </c>
      <c r="G23" s="19">
        <v>8705.9</v>
      </c>
      <c r="H23" s="12">
        <v>22058.05</v>
      </c>
      <c r="I23" s="12">
        <v>3808</v>
      </c>
      <c r="J23" s="13">
        <v>17364</v>
      </c>
      <c r="K23" s="11">
        <v>294</v>
      </c>
      <c r="L23" s="12">
        <v>2942</v>
      </c>
      <c r="M23" s="12">
        <v>92</v>
      </c>
      <c r="N23" s="18"/>
    </row>
    <row r="24" spans="2:14" ht="18">
      <c r="B24" s="17">
        <v>43938</v>
      </c>
      <c r="C24" s="11">
        <v>9000</v>
      </c>
      <c r="D24" s="12">
        <v>25000</v>
      </c>
      <c r="E24" s="12">
        <v>3900</v>
      </c>
      <c r="F24" s="13">
        <v>15000</v>
      </c>
      <c r="G24" s="19">
        <v>8453</v>
      </c>
      <c r="H24" s="12">
        <v>22580</v>
      </c>
      <c r="I24" s="12">
        <v>3952</v>
      </c>
      <c r="J24" s="13">
        <v>10203</v>
      </c>
      <c r="K24" s="11"/>
      <c r="L24" s="12"/>
      <c r="M24" s="12"/>
      <c r="N24" s="18"/>
    </row>
    <row r="25" spans="2:14" ht="18">
      <c r="B25" s="17">
        <v>43939</v>
      </c>
      <c r="C25" s="11">
        <v>9000</v>
      </c>
      <c r="D25" s="12">
        <v>25000</v>
      </c>
      <c r="E25" s="12">
        <v>3900</v>
      </c>
      <c r="F25" s="13">
        <v>15000</v>
      </c>
      <c r="G25" s="19">
        <v>8702.7999999999993</v>
      </c>
      <c r="H25" s="12">
        <v>23064</v>
      </c>
      <c r="I25" s="12">
        <v>4021.36</v>
      </c>
      <c r="J25" s="18">
        <v>14559</v>
      </c>
      <c r="K25" s="11">
        <f>Table25[[#This Row],[Batan Target (bopd)]]-Table25[[#This Row],[Batan Daily Prod (bopd)]]</f>
        <v>297.20000000000073</v>
      </c>
      <c r="L25" s="12">
        <f>Table25[[#This Row],[Jones Creek Target (bopd)]]-Table25[[#This Row],[Jones Creek Prod (bopd)]]</f>
        <v>1936</v>
      </c>
      <c r="M25" s="12">
        <v>0</v>
      </c>
      <c r="N25" s="20">
        <f>Table25[[#This Row],[Odidi Target (bopd)]]-Table25[[#This Row],[Odidi prod (bopd)]]</f>
        <v>441</v>
      </c>
    </row>
    <row r="26" spans="2:14" ht="18">
      <c r="B26" s="17">
        <v>43940</v>
      </c>
      <c r="C26" s="11">
        <v>9000</v>
      </c>
      <c r="D26" s="12">
        <v>25000</v>
      </c>
      <c r="E26" s="12">
        <v>3900</v>
      </c>
      <c r="F26" s="13">
        <v>15000</v>
      </c>
      <c r="G26" s="11">
        <v>9035.2000000000007</v>
      </c>
      <c r="H26" s="12">
        <v>21459</v>
      </c>
      <c r="I26" s="12">
        <v>4045</v>
      </c>
      <c r="J26" s="18">
        <v>13024</v>
      </c>
      <c r="K26" s="11">
        <v>0</v>
      </c>
      <c r="L26" s="12">
        <f>Table25[[#This Row],[Jones Creek Target (bopd)]]-Table25[[#This Row],[Jones Creek Prod (bopd)]]</f>
        <v>3541</v>
      </c>
      <c r="M26" s="12">
        <v>0</v>
      </c>
      <c r="N26" s="20">
        <f>Table25[[#This Row],[Odidi Target (bopd)]]-Table25[[#This Row],[Odidi prod (bopd)]]</f>
        <v>1976</v>
      </c>
    </row>
    <row r="27" spans="2:14" ht="18">
      <c r="B27" s="17">
        <v>43941</v>
      </c>
      <c r="C27" s="11">
        <v>9000</v>
      </c>
      <c r="D27" s="12">
        <v>25000</v>
      </c>
      <c r="E27" s="12">
        <v>3900</v>
      </c>
      <c r="F27" s="13">
        <v>15000</v>
      </c>
      <c r="G27" s="11">
        <v>9206</v>
      </c>
      <c r="H27" s="12">
        <v>23233.32</v>
      </c>
      <c r="I27" s="12">
        <v>2310.8200000000002</v>
      </c>
      <c r="J27" s="18">
        <v>12387</v>
      </c>
      <c r="K27" s="11">
        <f>Table25[[#This Row],[Batan Target (bopd)]]-Table25[[#This Row],[Batan Daily Prod (bopd)]]</f>
        <v>-206</v>
      </c>
      <c r="L27" s="12">
        <f>Table25[[#This Row],[Jones Creek Target (bopd)]]-Table25[[#This Row],[Jones Creek Prod (bopd)]]</f>
        <v>1766.6800000000003</v>
      </c>
      <c r="M27" s="12">
        <f>Table25[[#This Row],[Egwa Target (bopd)]]-Table25[[#This Row],[Egwa Prod (bopd)]]</f>
        <v>1589.1799999999998</v>
      </c>
      <c r="N27" s="20">
        <f>Table25[[#This Row],[Odidi Target (bopd)]]-Table25[[#This Row],[Odidi prod (bopd)]]</f>
        <v>2613</v>
      </c>
    </row>
    <row r="28" spans="2:14" ht="18">
      <c r="B28" s="17">
        <v>43942</v>
      </c>
      <c r="C28" s="11">
        <v>9000</v>
      </c>
      <c r="D28" s="12">
        <v>25000</v>
      </c>
      <c r="E28" s="12">
        <v>3900</v>
      </c>
      <c r="F28" s="13">
        <v>15000</v>
      </c>
      <c r="G28" s="11">
        <v>9245.2999999999993</v>
      </c>
      <c r="H28" s="12">
        <v>23338</v>
      </c>
      <c r="I28" s="12">
        <v>2722</v>
      </c>
      <c r="J28" s="18">
        <v>12306</v>
      </c>
      <c r="K28" s="11">
        <f>Table25[[#This Row],[Batan Target (bopd)]]-Table25[[#This Row],[Batan Daily Prod (bopd)]]</f>
        <v>-245.29999999999927</v>
      </c>
      <c r="L28" s="12">
        <f>Table25[[#This Row],[Jones Creek Target (bopd)]]-Table25[[#This Row],[Jones Creek Prod (bopd)]]</f>
        <v>1662</v>
      </c>
      <c r="M28" s="12">
        <f>Table25[[#This Row],[Egwa Target (bopd)]]-Table25[[#This Row],[Egwa Prod (bopd)]]</f>
        <v>1178</v>
      </c>
      <c r="N28" s="20">
        <f>Table25[[#This Row],[Odidi Target (bopd)]]-Table25[[#This Row],[Odidi prod (bopd)]]</f>
        <v>2694</v>
      </c>
    </row>
    <row r="29" spans="2:14" ht="18">
      <c r="B29" s="17">
        <v>43943</v>
      </c>
      <c r="C29" s="11">
        <v>9000</v>
      </c>
      <c r="D29" s="12">
        <v>25000</v>
      </c>
      <c r="E29" s="12">
        <v>3900</v>
      </c>
      <c r="F29" s="13">
        <v>15000</v>
      </c>
      <c r="G29" s="11">
        <v>8757</v>
      </c>
      <c r="H29" s="12">
        <v>23495</v>
      </c>
      <c r="I29" s="12">
        <v>4098.57</v>
      </c>
      <c r="J29" s="18">
        <v>13299</v>
      </c>
      <c r="K29" s="11">
        <f>Table25[[#This Row],[Batan Target (bopd)]]-Table25[[#This Row],[Batan Daily Prod (bopd)]]</f>
        <v>243</v>
      </c>
      <c r="L29" s="12">
        <f>Table25[[#This Row],[Jones Creek Target (bopd)]]-Table25[[#This Row],[Jones Creek Prod (bopd)]]</f>
        <v>1505</v>
      </c>
      <c r="M29" s="12">
        <f>Table25[[#This Row],[Egwa Target (bopd)]]-Table25[[#This Row],[Egwa Prod (bopd)]]</f>
        <v>-198.56999999999971</v>
      </c>
      <c r="N29" s="20">
        <f>Table25[[#This Row],[Odidi Target (bopd)]]-Table25[[#This Row],[Odidi prod (bopd)]]</f>
        <v>1701</v>
      </c>
    </row>
    <row r="30" spans="2:14" ht="18">
      <c r="B30" s="17">
        <v>43944</v>
      </c>
      <c r="C30" s="11">
        <v>9000</v>
      </c>
      <c r="D30" s="12">
        <v>25000</v>
      </c>
      <c r="E30" s="12">
        <v>3900</v>
      </c>
      <c r="F30" s="13">
        <v>15000</v>
      </c>
      <c r="G30" s="11">
        <v>8812</v>
      </c>
      <c r="H30" s="12">
        <v>21906</v>
      </c>
      <c r="I30" s="12">
        <v>4096</v>
      </c>
      <c r="J30" s="18">
        <v>12018</v>
      </c>
      <c r="K30" s="11">
        <f>Table25[[#This Row],[Batan Target (bopd)]]-Table25[[#This Row],[Batan Daily Prod (bopd)]]</f>
        <v>188</v>
      </c>
      <c r="L30" s="12">
        <f>Table25[[#This Row],[Jones Creek Target (bopd)]]-Table25[[#This Row],[Jones Creek Prod (bopd)]]</f>
        <v>3094</v>
      </c>
      <c r="M30" s="12">
        <f>Table25[[#This Row],[Egwa Target (bopd)]]-Table25[[#This Row],[Egwa Prod (bopd)]]</f>
        <v>-196</v>
      </c>
      <c r="N30" s="20">
        <f>Table25[[#This Row],[Odidi Target (bopd)]]-Table25[[#This Row],[Odidi prod (bopd)]]</f>
        <v>2982</v>
      </c>
    </row>
    <row r="31" spans="2:14" ht="18">
      <c r="B31" s="17">
        <v>43945</v>
      </c>
      <c r="C31" s="11">
        <v>9000</v>
      </c>
      <c r="D31" s="12">
        <v>25000</v>
      </c>
      <c r="E31" s="12">
        <v>3900</v>
      </c>
      <c r="F31" s="13">
        <v>15000</v>
      </c>
      <c r="G31" s="11">
        <v>8924.6</v>
      </c>
      <c r="H31" s="12">
        <v>23293</v>
      </c>
      <c r="I31" s="12">
        <v>4177.66</v>
      </c>
      <c r="J31" s="18">
        <v>10712</v>
      </c>
      <c r="K31" s="11">
        <f>Table25[[#This Row],[Batan Target (bopd)]]-Table25[[#This Row],[Batan Daily Prod (bopd)]]</f>
        <v>75.399999999999636</v>
      </c>
      <c r="L31" s="12">
        <f>Table25[[#This Row],[Jones Creek Target (bopd)]]-Table25[[#This Row],[Jones Creek Prod (bopd)]]</f>
        <v>1707</v>
      </c>
      <c r="M31" s="12">
        <f>Table25[[#This Row],[Egwa Target (bopd)]]-Table25[[#This Row],[Egwa Prod (bopd)]]</f>
        <v>-277.65999999999985</v>
      </c>
      <c r="N31" s="20">
        <f>Table25[[#This Row],[Odidi Target (bopd)]]-Table25[[#This Row],[Odidi prod (bopd)]]</f>
        <v>4288</v>
      </c>
    </row>
    <row r="32" spans="2:14" ht="18">
      <c r="B32" s="17">
        <v>43946</v>
      </c>
      <c r="C32" s="11">
        <v>9000</v>
      </c>
      <c r="D32" s="12">
        <v>25000</v>
      </c>
      <c r="E32" s="12">
        <v>3900</v>
      </c>
      <c r="F32" s="13">
        <v>15000</v>
      </c>
      <c r="G32" s="11">
        <v>8869.4</v>
      </c>
      <c r="H32" s="12">
        <v>23350</v>
      </c>
      <c r="I32" s="12">
        <v>4136</v>
      </c>
      <c r="J32" s="18">
        <v>12180</v>
      </c>
      <c r="K32" s="11">
        <f>Table25[[#This Row],[Batan Target (bopd)]]-Table25[[#This Row],[Batan Daily Prod (bopd)]]</f>
        <v>130.60000000000036</v>
      </c>
      <c r="L32" s="12">
        <f>Table25[[#This Row],[Jones Creek Target (bopd)]]-Table25[[#This Row],[Jones Creek Prod (bopd)]]</f>
        <v>1650</v>
      </c>
      <c r="M32" s="12">
        <f>Table25[[#This Row],[Egwa Target (bopd)]]-Table25[[#This Row],[Egwa Prod (bopd)]]</f>
        <v>-236</v>
      </c>
      <c r="N32" s="20">
        <f>Table25[[#This Row],[Odidi Target (bopd)]]-Table25[[#This Row],[Odidi prod (bopd)]]</f>
        <v>2820</v>
      </c>
    </row>
    <row r="33" spans="2:14" ht="18">
      <c r="B33" s="17">
        <v>43947</v>
      </c>
      <c r="C33" s="11">
        <v>9000</v>
      </c>
      <c r="D33" s="12">
        <v>25000</v>
      </c>
      <c r="E33" s="12">
        <v>3900</v>
      </c>
      <c r="F33" s="13">
        <v>15000</v>
      </c>
      <c r="G33" s="11">
        <v>8911.4</v>
      </c>
      <c r="H33" s="12">
        <v>23096</v>
      </c>
      <c r="I33" s="12">
        <v>4226</v>
      </c>
      <c r="J33" s="18">
        <v>11648</v>
      </c>
      <c r="K33" s="11">
        <f>Table25[[#This Row],[Batan Target (bopd)]]-Table25[[#This Row],[Batan Daily Prod (bopd)]]</f>
        <v>88.600000000000364</v>
      </c>
      <c r="L33" s="12">
        <f>Table25[[#This Row],[Jones Creek Target (bopd)]]-Table25[[#This Row],[Jones Creek Prod (bopd)]]</f>
        <v>1904</v>
      </c>
      <c r="M33" s="12">
        <f>Table25[[#This Row],[Egwa Target (bopd)]]-Table25[[#This Row],[Egwa Prod (bopd)]]</f>
        <v>-326</v>
      </c>
      <c r="N33" s="20">
        <f>Table25[[#This Row],[Odidi Target (bopd)]]-Table25[[#This Row],[Odidi prod (bopd)]]</f>
        <v>3352</v>
      </c>
    </row>
    <row r="34" spans="2:14" ht="18">
      <c r="B34" s="17">
        <v>43948</v>
      </c>
      <c r="C34" s="11">
        <v>9000</v>
      </c>
      <c r="D34" s="12">
        <v>25000</v>
      </c>
      <c r="E34" s="12">
        <v>3900</v>
      </c>
      <c r="F34" s="13">
        <v>15000</v>
      </c>
      <c r="G34" s="11">
        <v>8905</v>
      </c>
      <c r="H34" s="12">
        <v>22964</v>
      </c>
      <c r="I34" s="12">
        <v>4129.8</v>
      </c>
      <c r="J34" s="18">
        <v>11131</v>
      </c>
      <c r="K34" s="11">
        <f>Table25[[#This Row],[Batan Target (bopd)]]-Table25[[#This Row],[Batan Daily Prod (bopd)]]</f>
        <v>95</v>
      </c>
      <c r="L34" s="12">
        <f>Table25[[#This Row],[Jones Creek Target (bopd)]]-Table25[[#This Row],[Jones Creek Prod (bopd)]]</f>
        <v>2036</v>
      </c>
      <c r="M34" s="12">
        <f>Table25[[#This Row],[Egwa Target (bopd)]]-Table25[[#This Row],[Egwa Prod (bopd)]]</f>
        <v>-229.80000000000018</v>
      </c>
      <c r="N34" s="20">
        <f>Table25[[#This Row],[Odidi Target (bopd)]]-Table25[[#This Row],[Odidi prod (bopd)]]</f>
        <v>3869</v>
      </c>
    </row>
    <row r="35" spans="2:14" ht="18">
      <c r="B35" s="17">
        <v>43949</v>
      </c>
      <c r="C35" s="11">
        <v>9000</v>
      </c>
      <c r="D35" s="12">
        <v>25000</v>
      </c>
      <c r="E35" s="12">
        <v>3900</v>
      </c>
      <c r="F35" s="13">
        <v>15000</v>
      </c>
      <c r="G35" s="11">
        <v>8895</v>
      </c>
      <c r="H35" s="12">
        <v>22764</v>
      </c>
      <c r="I35" s="12">
        <v>4166</v>
      </c>
      <c r="J35" s="18">
        <v>11916</v>
      </c>
      <c r="K35" s="11">
        <f>Table25[[#This Row],[Batan Target (bopd)]]-Table25[[#This Row],[Batan Daily Prod (bopd)]]</f>
        <v>105</v>
      </c>
      <c r="L35" s="12">
        <f>Table25[[#This Row],[Jones Creek Target (bopd)]]-Table25[[#This Row],[Jones Creek Prod (bopd)]]</f>
        <v>2236</v>
      </c>
      <c r="M35" s="12">
        <f>Table25[[#This Row],[Egwa Target (bopd)]]-Table25[[#This Row],[Egwa Prod (bopd)]]</f>
        <v>-266</v>
      </c>
      <c r="N35" s="20">
        <f>Table25[[#This Row],[Odidi Target (bopd)]]-Table25[[#This Row],[Odidi prod (bopd)]]</f>
        <v>3084</v>
      </c>
    </row>
    <row r="36" spans="2:14" ht="18">
      <c r="B36" s="17">
        <v>43950</v>
      </c>
      <c r="C36" s="11">
        <v>9000</v>
      </c>
      <c r="D36" s="12">
        <v>25000</v>
      </c>
      <c r="E36" s="12">
        <v>3900</v>
      </c>
      <c r="F36" s="13">
        <v>15000</v>
      </c>
      <c r="G36" s="11">
        <v>8874.5</v>
      </c>
      <c r="H36" s="12">
        <v>23023</v>
      </c>
      <c r="I36" s="12">
        <v>4192.5</v>
      </c>
      <c r="J36" s="18">
        <v>11997</v>
      </c>
      <c r="K36" s="11">
        <f>Table25[[#This Row],[Batan Target (bopd)]]-Table25[[#This Row],[Batan Daily Prod (bopd)]]</f>
        <v>125.5</v>
      </c>
      <c r="L36" s="12">
        <f>Table25[[#This Row],[Jones Creek Target (bopd)]]-Table25[[#This Row],[Jones Creek Prod (bopd)]]</f>
        <v>1977</v>
      </c>
      <c r="M36" s="12">
        <f>Table25[[#This Row],[Egwa Target (bopd)]]-Table25[[#This Row],[Egwa Prod (bopd)]]</f>
        <v>-292.5</v>
      </c>
      <c r="N36" s="20">
        <f>Table25[[#This Row],[Odidi Target (bopd)]]-Table25[[#This Row],[Odidi prod (bopd)]]</f>
        <v>3003</v>
      </c>
    </row>
    <row r="37" spans="2:14" ht="15.75" customHeight="1">
      <c r="B37" s="17">
        <v>43951</v>
      </c>
      <c r="C37" s="11">
        <v>9000</v>
      </c>
      <c r="D37" s="12">
        <v>25000</v>
      </c>
      <c r="E37" s="12">
        <v>3900</v>
      </c>
      <c r="F37" s="13">
        <v>15000</v>
      </c>
      <c r="G37" s="11">
        <v>8898</v>
      </c>
      <c r="H37" s="12">
        <v>23313.85</v>
      </c>
      <c r="I37" s="12">
        <v>4208</v>
      </c>
      <c r="J37" s="18">
        <v>12056</v>
      </c>
      <c r="K37" s="11">
        <f>Table25[[#This Row],[Batan Target (bopd)]]-Table25[[#This Row],[Batan Daily Prod (bopd)]]</f>
        <v>102</v>
      </c>
      <c r="L37" s="12">
        <f>Table25[[#This Row],[Jones Creek Target (bopd)]]-Table25[[#This Row],[Jones Creek Prod (bopd)]]</f>
        <v>1686.1500000000015</v>
      </c>
      <c r="M37" s="12">
        <f>Table25[[#This Row],[Egwa Target (bopd)]]-Table25[[#This Row],[Egwa Prod (bopd)]]</f>
        <v>-308</v>
      </c>
      <c r="N37" s="20">
        <f>Table25[[#This Row],[Odidi Target (bopd)]]-Table25[[#This Row],[Odidi prod (bopd)]]</f>
        <v>2944</v>
      </c>
    </row>
    <row r="38" spans="2:14" ht="15.75" customHeight="1">
      <c r="B38" s="17">
        <v>43952</v>
      </c>
      <c r="C38" s="11">
        <v>9000</v>
      </c>
      <c r="D38" s="21">
        <v>24500</v>
      </c>
      <c r="E38" s="21">
        <v>4000</v>
      </c>
      <c r="F38" s="22">
        <v>14600</v>
      </c>
      <c r="G38" s="11">
        <v>441.6</v>
      </c>
      <c r="H38" s="12">
        <v>22991</v>
      </c>
      <c r="I38" s="12">
        <v>2558.67</v>
      </c>
      <c r="J38" s="18">
        <v>12135</v>
      </c>
      <c r="K38" s="11">
        <f>Table25[[#This Row],[Batan Target (bopd)]]-Table25[[#This Row],[Batan Daily Prod (bopd)]]</f>
        <v>8558.4</v>
      </c>
      <c r="L38" s="12">
        <f>Table25[[#This Row],[Jones Creek Target (bopd)]]-Table25[[#This Row],[Jones Creek Prod (bopd)]]</f>
        <v>1509</v>
      </c>
      <c r="M38" s="12">
        <f>Table25[[#This Row],[Egwa Target (bopd)]]-Table25[[#This Row],[Egwa Prod (bopd)]]</f>
        <v>1441.33</v>
      </c>
      <c r="N38" s="20">
        <f>Table25[[#This Row],[Odidi Target (bopd)]]-Table25[[#This Row],[Odidi prod (bopd)]]</f>
        <v>2465</v>
      </c>
    </row>
    <row r="39" spans="2:14" ht="15.75" customHeight="1">
      <c r="B39" s="17">
        <v>43953</v>
      </c>
      <c r="C39" s="11">
        <v>9000</v>
      </c>
      <c r="D39" s="21">
        <v>24500</v>
      </c>
      <c r="E39" s="21">
        <v>4000</v>
      </c>
      <c r="F39" s="22">
        <v>14600</v>
      </c>
      <c r="G39" s="11">
        <v>0</v>
      </c>
      <c r="H39" s="12">
        <v>23584</v>
      </c>
      <c r="I39" s="12">
        <v>4260</v>
      </c>
      <c r="J39" s="18">
        <v>11064</v>
      </c>
      <c r="K39" s="11"/>
      <c r="L39" s="12"/>
      <c r="M39" s="12"/>
      <c r="N39" s="16"/>
    </row>
    <row r="40" spans="2:14" ht="15.75" customHeight="1">
      <c r="B40" s="17">
        <v>43954</v>
      </c>
      <c r="C40" s="11">
        <v>9000</v>
      </c>
      <c r="D40" s="21">
        <v>24500</v>
      </c>
      <c r="E40" s="21">
        <v>4000</v>
      </c>
      <c r="F40" s="22">
        <v>14600</v>
      </c>
      <c r="G40" s="11"/>
      <c r="H40" s="12"/>
      <c r="I40" s="12"/>
      <c r="J40" s="18"/>
      <c r="K40" s="11"/>
      <c r="L40" s="12"/>
      <c r="M40" s="12"/>
      <c r="N40" s="16"/>
    </row>
    <row r="42" spans="2:14">
      <c r="H42" s="42"/>
    </row>
    <row r="46" spans="2:14" ht="15.6" thickBot="1"/>
    <row r="47" spans="2:14" ht="33.950000000000003" customHeight="1" thickBot="1">
      <c r="C47" s="1214" t="s">
        <v>21</v>
      </c>
      <c r="D47" s="1215"/>
      <c r="E47" s="1215"/>
      <c r="F47" s="1215"/>
      <c r="G47" s="1215"/>
      <c r="H47" s="1215"/>
      <c r="I47" s="1215"/>
      <c r="J47" s="1215"/>
      <c r="K47" s="1215"/>
      <c r="L47" s="1215"/>
      <c r="M47" s="1216"/>
    </row>
    <row r="48" spans="2:14" ht="38.450000000000003">
      <c r="C48" s="32" t="s">
        <v>22</v>
      </c>
      <c r="D48" s="33" t="s">
        <v>23</v>
      </c>
      <c r="E48" s="1217" t="s">
        <v>24</v>
      </c>
      <c r="F48" s="1218"/>
      <c r="G48" s="1218"/>
      <c r="H48" s="1218"/>
      <c r="I48" s="1218"/>
      <c r="J48" s="1218"/>
      <c r="K48" s="1218"/>
      <c r="L48" s="1218"/>
      <c r="M48" s="1219"/>
    </row>
    <row r="49" spans="3:13" ht="27.95" customHeight="1">
      <c r="C49" s="34" t="s">
        <v>16</v>
      </c>
      <c r="D49" s="40">
        <v>0.126</v>
      </c>
      <c r="E49" s="1207" t="s">
        <v>25</v>
      </c>
      <c r="F49" s="1208"/>
      <c r="G49" s="1208"/>
      <c r="H49" s="1208"/>
      <c r="I49" s="1208"/>
      <c r="J49" s="1208"/>
      <c r="K49" s="1208"/>
      <c r="L49" s="1208"/>
      <c r="M49" s="1209"/>
    </row>
    <row r="50" spans="3:13" ht="41.25" customHeight="1">
      <c r="C50" s="34" t="s">
        <v>17</v>
      </c>
      <c r="D50" s="37">
        <v>1.9770000000000001</v>
      </c>
      <c r="E50" s="1207" t="s">
        <v>26</v>
      </c>
      <c r="F50" s="1208"/>
      <c r="G50" s="1208"/>
      <c r="H50" s="1208"/>
      <c r="I50" s="1208"/>
      <c r="J50" s="1208"/>
      <c r="K50" s="1208"/>
      <c r="L50" s="1208"/>
      <c r="M50" s="1209"/>
    </row>
    <row r="51" spans="3:13" ht="39.950000000000003" customHeight="1">
      <c r="C51" s="34" t="s">
        <v>18</v>
      </c>
      <c r="D51" s="38">
        <v>0</v>
      </c>
      <c r="E51" s="1207" t="s">
        <v>27</v>
      </c>
      <c r="F51" s="1208"/>
      <c r="G51" s="1208"/>
      <c r="H51" s="1208"/>
      <c r="I51" s="1208"/>
      <c r="J51" s="1208"/>
      <c r="K51" s="1208"/>
      <c r="L51" s="1208"/>
      <c r="M51" s="1209"/>
    </row>
    <row r="52" spans="3:13" ht="38.450000000000003" customHeight="1" thickBot="1">
      <c r="C52" s="35" t="s">
        <v>19</v>
      </c>
      <c r="D52" s="39">
        <v>3.0030000000000001</v>
      </c>
      <c r="E52" s="1210" t="s">
        <v>28</v>
      </c>
      <c r="F52" s="1211"/>
      <c r="G52" s="1211"/>
      <c r="H52" s="1211"/>
      <c r="I52" s="1211"/>
      <c r="J52" s="1211"/>
      <c r="K52" s="1211"/>
      <c r="L52" s="1211"/>
      <c r="M52" s="1212"/>
    </row>
    <row r="56" spans="3:13" ht="21" thickBot="1">
      <c r="E56" s="30"/>
    </row>
    <row r="57" spans="3:13" ht="35.450000000000003" customHeight="1" thickBot="1">
      <c r="D57" s="41">
        <f>11997+2570</f>
        <v>14567</v>
      </c>
      <c r="H57" s="31"/>
    </row>
    <row r="58" spans="3:13" ht="22.9">
      <c r="F58" s="30"/>
      <c r="G58" s="30"/>
      <c r="H58" s="36"/>
    </row>
  </sheetData>
  <mergeCells count="7">
    <mergeCell ref="E51:M51"/>
    <mergeCell ref="E52:M52"/>
    <mergeCell ref="S3:U3"/>
    <mergeCell ref="C47:M47"/>
    <mergeCell ref="E48:M48"/>
    <mergeCell ref="E49:M49"/>
    <mergeCell ref="E50:M50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C2:AA87"/>
  <sheetViews>
    <sheetView topLeftCell="C74" workbookViewId="0">
      <pane xSplit="1" topLeftCell="D1" activePane="topRight" state="frozen"/>
      <selection pane="topRight" activeCell="J86" sqref="J86:L86"/>
      <selection activeCell="C19" sqref="C19"/>
    </sheetView>
  </sheetViews>
  <sheetFormatPr defaultRowHeight="15"/>
  <cols>
    <col min="3" max="3" width="10.33203125" customWidth="1"/>
    <col min="4" max="4" width="10.21875" style="1" customWidth="1"/>
    <col min="5" max="5" width="9.21875" style="1"/>
    <col min="6" max="6" width="10.77734375" style="1" customWidth="1"/>
    <col min="7" max="7" width="9.21875" style="1"/>
    <col min="8" max="8" width="11.109375" style="1" customWidth="1"/>
    <col min="9" max="10" width="9.21875" style="1"/>
    <col min="11" max="11" width="8.6640625" style="1" customWidth="1"/>
    <col min="12" max="12" width="35.77734375" customWidth="1"/>
  </cols>
  <sheetData>
    <row r="2" spans="3:12" ht="21">
      <c r="C2" s="1226" t="s">
        <v>29</v>
      </c>
      <c r="D2" s="1226"/>
      <c r="E2" s="1226"/>
      <c r="F2" s="1226"/>
      <c r="G2" s="1226"/>
      <c r="H2" s="1226"/>
      <c r="I2" s="1226"/>
      <c r="J2" s="1226"/>
      <c r="K2" s="1226"/>
      <c r="L2" s="1226"/>
    </row>
    <row r="3" spans="3:12" ht="18.75" customHeight="1" thickBot="1"/>
    <row r="4" spans="3:12" ht="24" customHeight="1" thickBot="1">
      <c r="C4" s="1223" t="s">
        <v>30</v>
      </c>
      <c r="D4" s="1224"/>
      <c r="E4" s="1224"/>
      <c r="F4" s="1224"/>
      <c r="G4" s="1224"/>
      <c r="H4" s="1224"/>
      <c r="I4" s="1224"/>
      <c r="J4" s="1224"/>
      <c r="K4" s="1224"/>
      <c r="L4" s="1225"/>
    </row>
    <row r="5" spans="3:12" ht="27" thickBot="1">
      <c r="C5" s="66" t="s">
        <v>31</v>
      </c>
      <c r="D5" s="50" t="s">
        <v>32</v>
      </c>
      <c r="E5" s="50" t="s">
        <v>33</v>
      </c>
      <c r="F5" s="50" t="s">
        <v>34</v>
      </c>
      <c r="G5" s="50" t="s">
        <v>35</v>
      </c>
      <c r="H5" s="50" t="s">
        <v>36</v>
      </c>
      <c r="I5" s="50" t="s">
        <v>37</v>
      </c>
      <c r="J5" s="153" t="s">
        <v>38</v>
      </c>
      <c r="K5" s="153" t="s">
        <v>39</v>
      </c>
      <c r="L5" s="160" t="s">
        <v>40</v>
      </c>
    </row>
    <row r="6" spans="3:12">
      <c r="C6" s="80" t="s">
        <v>41</v>
      </c>
      <c r="D6" s="59" t="s">
        <v>42</v>
      </c>
      <c r="E6" s="49">
        <v>28</v>
      </c>
      <c r="F6" s="49">
        <v>1932</v>
      </c>
      <c r="G6" s="78">
        <v>560.28</v>
      </c>
      <c r="H6" s="78">
        <v>1371.72</v>
      </c>
      <c r="I6" s="74">
        <v>0.71140000000000003</v>
      </c>
      <c r="J6" s="154"/>
      <c r="K6" s="154"/>
      <c r="L6" s="60"/>
    </row>
    <row r="7" spans="3:12">
      <c r="C7" s="81" t="s">
        <v>43</v>
      </c>
      <c r="D7" s="61" t="s">
        <v>44</v>
      </c>
      <c r="E7" s="46">
        <v>28</v>
      </c>
      <c r="F7" s="46">
        <v>1160</v>
      </c>
      <c r="G7" s="71">
        <v>629.88</v>
      </c>
      <c r="H7" s="71">
        <v>530.12</v>
      </c>
      <c r="I7" s="75">
        <v>0.45650000000000002</v>
      </c>
      <c r="J7" s="155"/>
      <c r="K7" s="155"/>
      <c r="L7" s="62"/>
    </row>
    <row r="8" spans="3:12">
      <c r="C8" s="81" t="s">
        <v>45</v>
      </c>
      <c r="D8" s="61" t="s">
        <v>44</v>
      </c>
      <c r="E8" s="46">
        <v>32</v>
      </c>
      <c r="F8" s="46">
        <v>2096</v>
      </c>
      <c r="G8" s="71">
        <v>976.73599999999988</v>
      </c>
      <c r="H8" s="71">
        <v>1119.2640000000001</v>
      </c>
      <c r="I8" s="75">
        <v>0.53400000000000003</v>
      </c>
      <c r="J8" s="155"/>
      <c r="K8" s="155"/>
      <c r="L8" s="62"/>
    </row>
    <row r="9" spans="3:12">
      <c r="C9" s="81" t="s">
        <v>46</v>
      </c>
      <c r="D9" s="61" t="s">
        <v>47</v>
      </c>
      <c r="E9" s="46">
        <v>40</v>
      </c>
      <c r="F9" s="46">
        <v>1680</v>
      </c>
      <c r="G9" s="71">
        <v>907.19999999999993</v>
      </c>
      <c r="H9" s="71">
        <v>772.80000000000007</v>
      </c>
      <c r="I9" s="75">
        <v>0.46</v>
      </c>
      <c r="J9" s="155"/>
      <c r="K9" s="155"/>
      <c r="L9" s="62"/>
    </row>
    <row r="10" spans="3:12">
      <c r="C10" s="81" t="s">
        <v>48</v>
      </c>
      <c r="D10" s="61" t="s">
        <v>47</v>
      </c>
      <c r="E10" s="46" t="s">
        <v>49</v>
      </c>
      <c r="F10" s="46">
        <v>1712</v>
      </c>
      <c r="G10" s="71">
        <v>975.84</v>
      </c>
      <c r="H10" s="71">
        <v>736.16</v>
      </c>
      <c r="I10" s="75">
        <v>0.43</v>
      </c>
      <c r="J10" s="155"/>
      <c r="K10" s="155"/>
      <c r="L10" s="62"/>
    </row>
    <row r="11" spans="3:12">
      <c r="C11" s="81" t="s">
        <v>50</v>
      </c>
      <c r="D11" s="61" t="s">
        <v>47</v>
      </c>
      <c r="E11" s="46" t="s">
        <v>51</v>
      </c>
      <c r="F11" s="79">
        <v>1372</v>
      </c>
      <c r="G11" s="71">
        <v>521.36</v>
      </c>
      <c r="H11" s="71">
        <v>850.64</v>
      </c>
      <c r="I11" s="75">
        <v>0.62029999999999996</v>
      </c>
      <c r="J11" s="155"/>
      <c r="K11" s="155"/>
      <c r="L11" s="62"/>
    </row>
    <row r="12" spans="3:12">
      <c r="C12" s="81" t="s">
        <v>52</v>
      </c>
      <c r="D12" s="61" t="s">
        <v>47</v>
      </c>
      <c r="E12" s="46">
        <v>40</v>
      </c>
      <c r="F12" s="46">
        <v>1524</v>
      </c>
      <c r="G12" s="46">
        <v>683</v>
      </c>
      <c r="H12" s="46">
        <v>842</v>
      </c>
      <c r="I12" s="75">
        <v>0.55210000000000004</v>
      </c>
      <c r="J12" s="155"/>
      <c r="K12" s="155"/>
      <c r="L12" s="62"/>
    </row>
    <row r="13" spans="3:12">
      <c r="C13" s="81" t="s">
        <v>53</v>
      </c>
      <c r="D13" s="61" t="s">
        <v>47</v>
      </c>
      <c r="E13" s="46" t="s">
        <v>51</v>
      </c>
      <c r="F13" s="46">
        <v>1363</v>
      </c>
      <c r="G13" s="46">
        <v>566</v>
      </c>
      <c r="H13" s="46">
        <v>797</v>
      </c>
      <c r="I13" s="75">
        <v>0.58460000000000001</v>
      </c>
      <c r="J13" s="155"/>
      <c r="K13" s="155"/>
      <c r="L13" s="62"/>
    </row>
    <row r="14" spans="3:12">
      <c r="C14" s="81" t="s">
        <v>54</v>
      </c>
      <c r="D14" s="61" t="s">
        <v>47</v>
      </c>
      <c r="E14" s="46" t="s">
        <v>55</v>
      </c>
      <c r="F14" s="46">
        <v>1548</v>
      </c>
      <c r="G14" s="71">
        <v>928.8</v>
      </c>
      <c r="H14" s="71">
        <v>619.20000000000005</v>
      </c>
      <c r="I14" s="75">
        <v>0.40129999999999999</v>
      </c>
      <c r="J14" s="155"/>
      <c r="K14" s="155"/>
      <c r="L14" s="62"/>
    </row>
    <row r="15" spans="3:12">
      <c r="C15" s="81" t="s">
        <v>56</v>
      </c>
      <c r="D15" s="61" t="s">
        <v>47</v>
      </c>
      <c r="E15" s="46">
        <v>44</v>
      </c>
      <c r="F15" s="46">
        <v>3895</v>
      </c>
      <c r="G15" s="46">
        <v>1962</v>
      </c>
      <c r="H15" s="46">
        <v>1934</v>
      </c>
      <c r="I15" s="75">
        <v>0.49640000000000001</v>
      </c>
      <c r="J15" s="155"/>
      <c r="K15" s="155"/>
      <c r="L15" s="62"/>
    </row>
    <row r="16" spans="3:12" ht="15.6" thickBot="1">
      <c r="C16" s="82" t="s">
        <v>57</v>
      </c>
      <c r="D16" s="61" t="s">
        <v>47</v>
      </c>
      <c r="E16" s="48" t="s">
        <v>55</v>
      </c>
      <c r="F16" s="48">
        <v>1684</v>
      </c>
      <c r="G16" s="73">
        <v>311.54000000000019</v>
      </c>
      <c r="H16" s="73">
        <v>1372.4599999999998</v>
      </c>
      <c r="I16" s="77">
        <v>0.81510000000000005</v>
      </c>
      <c r="J16" s="156"/>
      <c r="K16" s="156"/>
      <c r="L16" s="64"/>
    </row>
    <row r="17" spans="3:14" ht="15.6" thickBot="1">
      <c r="C17" s="67"/>
      <c r="D17" s="68"/>
      <c r="E17" s="68"/>
      <c r="F17" s="44">
        <f>SUM(F6:F16)</f>
        <v>19966</v>
      </c>
      <c r="G17" s="72">
        <f>SUM(G6:G16)</f>
        <v>9022.6360000000004</v>
      </c>
      <c r="H17" s="72">
        <f>SUM(H6:H16)</f>
        <v>10945.364</v>
      </c>
      <c r="I17" s="69"/>
      <c r="J17" s="69"/>
      <c r="K17" s="69"/>
    </row>
    <row r="19" spans="3:14" ht="15.6" thickBot="1"/>
    <row r="20" spans="3:14" ht="28.5" customHeight="1" thickBot="1">
      <c r="C20" s="1223" t="s">
        <v>58</v>
      </c>
      <c r="D20" s="1224"/>
      <c r="E20" s="1224"/>
      <c r="F20" s="1224"/>
      <c r="G20" s="1224"/>
      <c r="H20" s="1224"/>
      <c r="I20" s="1224"/>
      <c r="J20" s="1224"/>
      <c r="K20" s="1224"/>
      <c r="L20" s="1225"/>
    </row>
    <row r="21" spans="3:14" ht="27" thickBot="1">
      <c r="C21" s="66" t="s">
        <v>31</v>
      </c>
      <c r="D21" s="50" t="s">
        <v>32</v>
      </c>
      <c r="E21" s="50" t="s">
        <v>33</v>
      </c>
      <c r="F21" s="50" t="s">
        <v>34</v>
      </c>
      <c r="G21" s="50" t="s">
        <v>35</v>
      </c>
      <c r="H21" s="50" t="s">
        <v>36</v>
      </c>
      <c r="I21" s="50" t="s">
        <v>37</v>
      </c>
      <c r="J21" s="153" t="s">
        <v>38</v>
      </c>
      <c r="K21" s="153" t="s">
        <v>39</v>
      </c>
      <c r="L21" s="160" t="s">
        <v>40</v>
      </c>
    </row>
    <row r="22" spans="3:14">
      <c r="C22" s="83" t="s">
        <v>59</v>
      </c>
      <c r="D22" s="61" t="s">
        <v>60</v>
      </c>
      <c r="E22" s="46">
        <v>56</v>
      </c>
      <c r="F22" s="46">
        <v>1007</v>
      </c>
      <c r="G22" s="46">
        <v>984</v>
      </c>
      <c r="H22" s="46">
        <v>23</v>
      </c>
      <c r="I22" s="75">
        <v>2.3E-2</v>
      </c>
      <c r="J22" s="155"/>
      <c r="K22" s="155"/>
      <c r="L22" s="86"/>
    </row>
    <row r="23" spans="3:14">
      <c r="C23" s="83" t="s">
        <v>61</v>
      </c>
      <c r="D23" s="61" t="s">
        <v>62</v>
      </c>
      <c r="E23" s="46">
        <v>28</v>
      </c>
      <c r="F23" s="46">
        <v>964</v>
      </c>
      <c r="G23" s="46">
        <v>511</v>
      </c>
      <c r="H23" s="46">
        <v>453</v>
      </c>
      <c r="I23" s="75">
        <v>0.47</v>
      </c>
      <c r="J23" s="155"/>
      <c r="K23" s="155"/>
      <c r="L23" s="86" t="s">
        <v>63</v>
      </c>
    </row>
    <row r="24" spans="3:14">
      <c r="C24" s="83" t="s">
        <v>64</v>
      </c>
      <c r="D24" s="61" t="s">
        <v>65</v>
      </c>
      <c r="E24" s="46">
        <v>32</v>
      </c>
      <c r="F24" s="46">
        <v>2378</v>
      </c>
      <c r="G24" s="46">
        <v>1408</v>
      </c>
      <c r="H24" s="46">
        <v>970</v>
      </c>
      <c r="I24" s="75">
        <v>0.40799999999999997</v>
      </c>
      <c r="J24" s="155"/>
      <c r="K24" s="155"/>
      <c r="L24" s="86"/>
    </row>
    <row r="25" spans="3:14">
      <c r="C25" s="83" t="s">
        <v>66</v>
      </c>
      <c r="D25" s="61" t="s">
        <v>67</v>
      </c>
      <c r="E25" s="46">
        <v>28</v>
      </c>
      <c r="F25" s="84">
        <v>699</v>
      </c>
      <c r="G25" s="84">
        <v>423</v>
      </c>
      <c r="H25" s="84">
        <v>276</v>
      </c>
      <c r="I25" s="85">
        <v>0.3952</v>
      </c>
      <c r="J25" s="157"/>
      <c r="K25" s="157"/>
      <c r="L25" s="86" t="s">
        <v>68</v>
      </c>
    </row>
    <row r="26" spans="3:14">
      <c r="C26" s="83" t="s">
        <v>69</v>
      </c>
      <c r="D26" s="61" t="s">
        <v>70</v>
      </c>
      <c r="E26" s="46">
        <v>24</v>
      </c>
      <c r="F26" s="46">
        <v>946</v>
      </c>
      <c r="G26" s="46">
        <v>311</v>
      </c>
      <c r="H26" s="46">
        <v>635</v>
      </c>
      <c r="I26" s="75">
        <v>0.67149999999999999</v>
      </c>
      <c r="J26" s="155"/>
      <c r="K26" s="155"/>
      <c r="L26" s="86"/>
    </row>
    <row r="27" spans="3:14">
      <c r="C27" s="83" t="s">
        <v>71</v>
      </c>
      <c r="D27" s="61" t="s">
        <v>72</v>
      </c>
      <c r="E27" s="46">
        <v>28</v>
      </c>
      <c r="F27" s="46">
        <v>843</v>
      </c>
      <c r="G27" s="46">
        <v>280</v>
      </c>
      <c r="H27" s="46">
        <v>563</v>
      </c>
      <c r="I27" s="75">
        <v>0.66769999999999996</v>
      </c>
      <c r="J27" s="155"/>
      <c r="K27" s="155"/>
      <c r="L27" s="86"/>
    </row>
    <row r="28" spans="3:14">
      <c r="C28" s="83" t="s">
        <v>73</v>
      </c>
      <c r="D28" s="61" t="s">
        <v>72</v>
      </c>
      <c r="E28" s="46">
        <v>36</v>
      </c>
      <c r="F28" s="46">
        <v>1079</v>
      </c>
      <c r="G28" s="46">
        <v>723</v>
      </c>
      <c r="H28" s="46">
        <v>355</v>
      </c>
      <c r="I28" s="75">
        <v>0.32950000000000002</v>
      </c>
      <c r="J28" s="155"/>
      <c r="K28" s="155"/>
      <c r="L28" s="86"/>
    </row>
    <row r="29" spans="3:14">
      <c r="C29" s="83" t="s">
        <v>74</v>
      </c>
      <c r="D29" s="61" t="s">
        <v>75</v>
      </c>
      <c r="E29" s="46">
        <v>36</v>
      </c>
      <c r="F29" s="46">
        <v>3138</v>
      </c>
      <c r="G29" s="46">
        <v>1246</v>
      </c>
      <c r="H29" s="46">
        <v>1893</v>
      </c>
      <c r="I29" s="75">
        <v>0.60309999999999997</v>
      </c>
      <c r="J29" s="155"/>
      <c r="K29" s="155"/>
      <c r="L29" s="86"/>
      <c r="N29">
        <f>G23+G30+G33</f>
        <v>1819</v>
      </c>
    </row>
    <row r="30" spans="3:14">
      <c r="C30" s="83" t="s">
        <v>76</v>
      </c>
      <c r="D30" s="61" t="s">
        <v>77</v>
      </c>
      <c r="E30" s="46">
        <v>20</v>
      </c>
      <c r="F30" s="46">
        <v>704</v>
      </c>
      <c r="G30" s="46">
        <v>305</v>
      </c>
      <c r="H30" s="46">
        <v>399</v>
      </c>
      <c r="I30" s="75">
        <v>0.56720000000000004</v>
      </c>
      <c r="J30" s="155"/>
      <c r="K30" s="155"/>
      <c r="L30" s="86"/>
    </row>
    <row r="31" spans="3:14">
      <c r="C31" s="83" t="s">
        <v>78</v>
      </c>
      <c r="D31" s="61" t="s">
        <v>79</v>
      </c>
      <c r="E31" s="46">
        <v>48</v>
      </c>
      <c r="F31" s="46">
        <v>1027</v>
      </c>
      <c r="G31" s="46">
        <v>1024</v>
      </c>
      <c r="H31" s="46">
        <v>3</v>
      </c>
      <c r="I31" s="75">
        <v>2.5000000000000001E-3</v>
      </c>
      <c r="J31" s="155"/>
      <c r="K31" s="155"/>
      <c r="L31" s="86"/>
    </row>
    <row r="32" spans="3:14">
      <c r="C32" s="83" t="s">
        <v>80</v>
      </c>
      <c r="D32" s="61" t="s">
        <v>81</v>
      </c>
      <c r="E32" s="46">
        <v>32</v>
      </c>
      <c r="F32" s="46">
        <v>1609</v>
      </c>
      <c r="G32" s="46">
        <v>592</v>
      </c>
      <c r="H32" s="46">
        <v>1017</v>
      </c>
      <c r="I32" s="75">
        <v>0.63190000000000002</v>
      </c>
      <c r="J32" s="155"/>
      <c r="K32" s="155"/>
      <c r="L32" s="86"/>
    </row>
    <row r="33" spans="3:12">
      <c r="C33" s="83" t="s">
        <v>82</v>
      </c>
      <c r="D33" s="61" t="s">
        <v>65</v>
      </c>
      <c r="E33" s="46">
        <v>24</v>
      </c>
      <c r="F33" s="46">
        <v>1004</v>
      </c>
      <c r="G33" s="46">
        <v>1003</v>
      </c>
      <c r="H33" s="46">
        <v>1</v>
      </c>
      <c r="I33" s="75">
        <v>5.9999999999999995E-4</v>
      </c>
      <c r="J33" s="155"/>
      <c r="K33" s="155"/>
      <c r="L33" s="86" t="s">
        <v>63</v>
      </c>
    </row>
    <row r="34" spans="3:12">
      <c r="C34" s="83" t="s">
        <v>83</v>
      </c>
      <c r="D34" s="61" t="s">
        <v>84</v>
      </c>
      <c r="E34" s="46">
        <v>48</v>
      </c>
      <c r="F34" s="46">
        <v>2549</v>
      </c>
      <c r="G34" s="46">
        <v>1041</v>
      </c>
      <c r="H34" s="46">
        <v>1508</v>
      </c>
      <c r="I34" s="75">
        <v>0.5917</v>
      </c>
      <c r="J34" s="155"/>
      <c r="K34" s="155"/>
      <c r="L34" s="86"/>
    </row>
    <row r="35" spans="3:12">
      <c r="C35" s="83" t="s">
        <v>85</v>
      </c>
      <c r="D35" s="61" t="s">
        <v>72</v>
      </c>
      <c r="E35" s="46">
        <v>32</v>
      </c>
      <c r="F35" s="46">
        <v>1401</v>
      </c>
      <c r="G35" s="46">
        <v>881</v>
      </c>
      <c r="H35" s="46">
        <v>521</v>
      </c>
      <c r="I35" s="75">
        <v>0.3715</v>
      </c>
      <c r="J35" s="155"/>
      <c r="K35" s="155"/>
      <c r="L35" s="86"/>
    </row>
    <row r="36" spans="3:12">
      <c r="C36" s="83" t="s">
        <v>86</v>
      </c>
      <c r="D36" s="61" t="s">
        <v>87</v>
      </c>
      <c r="E36" s="46">
        <v>28</v>
      </c>
      <c r="F36" s="46">
        <v>885</v>
      </c>
      <c r="G36" s="46">
        <v>350</v>
      </c>
      <c r="H36" s="46">
        <v>535</v>
      </c>
      <c r="I36" s="75">
        <v>0.60470000000000002</v>
      </c>
      <c r="J36" s="155"/>
      <c r="K36" s="155"/>
      <c r="L36" s="86"/>
    </row>
    <row r="37" spans="3:12">
      <c r="C37" s="83" t="s">
        <v>88</v>
      </c>
      <c r="D37" s="61" t="s">
        <v>89</v>
      </c>
      <c r="E37" s="46">
        <v>28</v>
      </c>
      <c r="F37" s="46">
        <v>1151</v>
      </c>
      <c r="G37" s="46">
        <v>505</v>
      </c>
      <c r="H37" s="46">
        <v>646</v>
      </c>
      <c r="I37" s="75">
        <v>0.56159999999999999</v>
      </c>
      <c r="J37" s="155"/>
      <c r="K37" s="155"/>
      <c r="L37" s="86"/>
    </row>
    <row r="38" spans="3:12">
      <c r="C38" s="83" t="s">
        <v>90</v>
      </c>
      <c r="D38" s="61" t="s">
        <v>84</v>
      </c>
      <c r="E38" s="46">
        <v>48</v>
      </c>
      <c r="F38" s="46">
        <v>537</v>
      </c>
      <c r="G38" s="46">
        <v>498</v>
      </c>
      <c r="H38" s="46">
        <v>39</v>
      </c>
      <c r="I38" s="75">
        <v>7.2800000000000004E-2</v>
      </c>
      <c r="J38" s="155"/>
      <c r="K38" s="155"/>
      <c r="L38" s="86"/>
    </row>
    <row r="39" spans="3:12">
      <c r="C39" s="83" t="s">
        <v>91</v>
      </c>
      <c r="D39" s="61" t="s">
        <v>89</v>
      </c>
      <c r="E39" s="46">
        <v>36</v>
      </c>
      <c r="F39" s="46">
        <v>488</v>
      </c>
      <c r="G39" s="46">
        <v>487</v>
      </c>
      <c r="H39" s="46">
        <v>0</v>
      </c>
      <c r="I39" s="75">
        <v>5.9999999999999995E-4</v>
      </c>
      <c r="J39" s="155"/>
      <c r="K39" s="155"/>
      <c r="L39" s="86"/>
    </row>
    <row r="40" spans="3:12">
      <c r="C40" s="83" t="s">
        <v>92</v>
      </c>
      <c r="D40" s="61" t="s">
        <v>93</v>
      </c>
      <c r="E40" s="46">
        <v>24</v>
      </c>
      <c r="F40" s="46">
        <v>487</v>
      </c>
      <c r="G40" s="46">
        <v>212</v>
      </c>
      <c r="H40" s="46">
        <v>274</v>
      </c>
      <c r="I40" s="75">
        <v>0.56389999999999996</v>
      </c>
      <c r="J40" s="155"/>
      <c r="K40" s="155"/>
      <c r="L40" s="86"/>
    </row>
    <row r="41" spans="3:12">
      <c r="C41" s="83" t="s">
        <v>94</v>
      </c>
      <c r="D41" s="61" t="s">
        <v>67</v>
      </c>
      <c r="E41" s="46">
        <v>16</v>
      </c>
      <c r="F41" s="46">
        <v>1571</v>
      </c>
      <c r="G41" s="46">
        <v>914</v>
      </c>
      <c r="H41" s="46">
        <v>658</v>
      </c>
      <c r="I41" s="75">
        <v>0.41870000000000002</v>
      </c>
      <c r="J41" s="155"/>
      <c r="K41" s="155"/>
      <c r="L41" s="86"/>
    </row>
    <row r="42" spans="3:12">
      <c r="C42" s="83" t="s">
        <v>95</v>
      </c>
      <c r="D42" s="61" t="s">
        <v>65</v>
      </c>
      <c r="E42" s="46">
        <v>20</v>
      </c>
      <c r="F42" s="46">
        <v>566</v>
      </c>
      <c r="G42" s="46">
        <v>251</v>
      </c>
      <c r="H42" s="46">
        <v>315</v>
      </c>
      <c r="I42" s="75">
        <v>0.55700000000000005</v>
      </c>
      <c r="J42" s="155"/>
      <c r="K42" s="155"/>
      <c r="L42" s="86" t="s">
        <v>63</v>
      </c>
    </row>
    <row r="43" spans="3:12" ht="15.6" thickBot="1">
      <c r="C43" s="87" t="s">
        <v>96</v>
      </c>
      <c r="D43" s="63" t="s">
        <v>67</v>
      </c>
      <c r="E43" s="48">
        <v>32</v>
      </c>
      <c r="F43" s="48">
        <v>1201</v>
      </c>
      <c r="G43" s="48">
        <v>555</v>
      </c>
      <c r="H43" s="48">
        <v>646</v>
      </c>
      <c r="I43" s="77">
        <v>0.53759999999999997</v>
      </c>
      <c r="J43" s="158"/>
      <c r="K43" s="158"/>
      <c r="L43" s="86"/>
    </row>
    <row r="44" spans="3:12" ht="15.6" thickBot="1">
      <c r="C44" s="67"/>
      <c r="D44" s="68"/>
      <c r="E44" s="68"/>
      <c r="F44" s="44">
        <f>SUM(F22:F43)</f>
        <v>26234</v>
      </c>
      <c r="G44" s="44">
        <f>SUM(G22:G43)</f>
        <v>14504</v>
      </c>
      <c r="H44" s="44">
        <f>SUM(H22:H43)</f>
        <v>11730</v>
      </c>
      <c r="I44" s="69"/>
      <c r="J44" s="69"/>
      <c r="K44" s="69"/>
    </row>
    <row r="46" spans="3:12" ht="20.45" customHeight="1" thickBot="1"/>
    <row r="47" spans="3:12" s="23" customFormat="1" ht="30.75" customHeight="1" thickBot="1">
      <c r="C47" s="1223" t="s">
        <v>97</v>
      </c>
      <c r="D47" s="1224"/>
      <c r="E47" s="1224"/>
      <c r="F47" s="1224"/>
      <c r="G47" s="1224"/>
      <c r="H47" s="1224"/>
      <c r="I47" s="1224"/>
      <c r="J47" s="1224"/>
      <c r="K47" s="1224"/>
      <c r="L47" s="1225"/>
    </row>
    <row r="48" spans="3:12" ht="27" thickBot="1">
      <c r="C48" s="66" t="s">
        <v>31</v>
      </c>
      <c r="D48" s="50" t="s">
        <v>32</v>
      </c>
      <c r="E48" s="50" t="s">
        <v>33</v>
      </c>
      <c r="F48" s="50" t="s">
        <v>34</v>
      </c>
      <c r="G48" s="50" t="s">
        <v>35</v>
      </c>
      <c r="H48" s="50" t="s">
        <v>36</v>
      </c>
      <c r="I48" s="50" t="s">
        <v>37</v>
      </c>
      <c r="J48" s="153" t="s">
        <v>38</v>
      </c>
      <c r="K48" s="153" t="s">
        <v>39</v>
      </c>
      <c r="L48" s="160" t="s">
        <v>40</v>
      </c>
    </row>
    <row r="49" spans="3:27">
      <c r="C49" s="90" t="s">
        <v>98</v>
      </c>
      <c r="D49" s="59" t="s">
        <v>99</v>
      </c>
      <c r="E49" s="49">
        <v>36</v>
      </c>
      <c r="F49" s="49">
        <v>1827</v>
      </c>
      <c r="G49" s="49">
        <v>1240</v>
      </c>
      <c r="H49" s="49">
        <v>587</v>
      </c>
      <c r="I49" s="74">
        <v>0.32119999999999999</v>
      </c>
      <c r="J49" s="154"/>
      <c r="K49" s="154"/>
      <c r="L49" s="60"/>
    </row>
    <row r="50" spans="3:27" ht="15.75" customHeight="1">
      <c r="C50" s="91" t="s">
        <v>100</v>
      </c>
      <c r="D50" s="61" t="s">
        <v>101</v>
      </c>
      <c r="E50" s="46">
        <v>36</v>
      </c>
      <c r="F50" s="46">
        <v>1007</v>
      </c>
      <c r="G50" s="46">
        <v>774</v>
      </c>
      <c r="H50" s="46">
        <v>234</v>
      </c>
      <c r="I50" s="75">
        <v>0.2321</v>
      </c>
      <c r="J50" s="155"/>
      <c r="K50" s="155"/>
      <c r="L50" s="62"/>
      <c r="M50" s="122"/>
    </row>
    <row r="51" spans="3:27">
      <c r="C51" s="91" t="s">
        <v>102</v>
      </c>
      <c r="D51" s="61" t="s">
        <v>103</v>
      </c>
      <c r="E51" s="46">
        <v>28</v>
      </c>
      <c r="F51" s="46">
        <v>504</v>
      </c>
      <c r="G51" s="46">
        <v>171</v>
      </c>
      <c r="H51" s="46">
        <v>332</v>
      </c>
      <c r="I51" s="75">
        <v>0.65959999999999996</v>
      </c>
      <c r="J51" s="155"/>
      <c r="K51" s="155"/>
      <c r="L51" s="62" t="s">
        <v>68</v>
      </c>
      <c r="N51" s="1220"/>
      <c r="O51" s="1221"/>
      <c r="P51" s="1221"/>
      <c r="Q51" s="1221"/>
      <c r="R51" s="1221"/>
      <c r="S51" s="1221"/>
      <c r="T51" s="1221"/>
      <c r="U51" s="1221"/>
      <c r="V51" s="1221"/>
      <c r="W51" s="1221"/>
      <c r="X51" s="1221"/>
      <c r="Y51" s="1221"/>
      <c r="Z51" s="1221"/>
      <c r="AA51" s="1222"/>
    </row>
    <row r="52" spans="3:27">
      <c r="C52" s="91" t="s">
        <v>104</v>
      </c>
      <c r="D52" s="61" t="s">
        <v>105</v>
      </c>
      <c r="E52" s="46">
        <v>24</v>
      </c>
      <c r="F52" s="46">
        <v>802</v>
      </c>
      <c r="G52" s="46">
        <v>407</v>
      </c>
      <c r="H52" s="46">
        <v>395</v>
      </c>
      <c r="I52" s="75">
        <v>0.49249999999999999</v>
      </c>
      <c r="J52" s="155"/>
      <c r="K52" s="155"/>
      <c r="L52" s="62"/>
    </row>
    <row r="53" spans="3:27">
      <c r="C53" s="91" t="s">
        <v>106</v>
      </c>
      <c r="D53" s="61" t="s">
        <v>103</v>
      </c>
      <c r="E53" s="46">
        <v>28</v>
      </c>
      <c r="F53" s="46">
        <v>1361</v>
      </c>
      <c r="G53" s="46">
        <v>403</v>
      </c>
      <c r="H53" s="46">
        <v>958</v>
      </c>
      <c r="I53" s="75">
        <f>H53/F53</f>
        <v>0.70389419544452614</v>
      </c>
      <c r="J53" s="155"/>
      <c r="K53" s="155"/>
      <c r="L53" s="62"/>
    </row>
    <row r="54" spans="3:27">
      <c r="C54" s="91" t="s">
        <v>107</v>
      </c>
      <c r="D54" s="61" t="s">
        <v>103</v>
      </c>
      <c r="E54" s="46">
        <v>40</v>
      </c>
      <c r="F54" s="46">
        <v>2327</v>
      </c>
      <c r="G54" s="46">
        <v>1371</v>
      </c>
      <c r="H54" s="46">
        <v>957</v>
      </c>
      <c r="I54" s="75">
        <v>0.41110000000000002</v>
      </c>
      <c r="J54" s="155"/>
      <c r="K54" s="155"/>
      <c r="L54" s="62" t="s">
        <v>108</v>
      </c>
    </row>
    <row r="55" spans="3:27">
      <c r="C55" s="91" t="s">
        <v>109</v>
      </c>
      <c r="D55" s="61" t="s">
        <v>110</v>
      </c>
      <c r="E55" s="46">
        <v>32</v>
      </c>
      <c r="F55" s="46">
        <v>1398</v>
      </c>
      <c r="G55" s="46">
        <v>664</v>
      </c>
      <c r="H55" s="46">
        <v>734</v>
      </c>
      <c r="I55" s="75">
        <v>0.52480000000000004</v>
      </c>
      <c r="J55" s="155"/>
      <c r="K55" s="155"/>
      <c r="L55" s="62"/>
    </row>
    <row r="56" spans="3:27">
      <c r="C56" s="91" t="s">
        <v>111</v>
      </c>
      <c r="D56" s="61" t="s">
        <v>99</v>
      </c>
      <c r="E56" s="46">
        <v>36</v>
      </c>
      <c r="F56" s="46">
        <v>2372</v>
      </c>
      <c r="G56" s="46">
        <v>1277</v>
      </c>
      <c r="H56" s="46">
        <v>1095</v>
      </c>
      <c r="I56" s="75">
        <v>0.46160000000000001</v>
      </c>
      <c r="J56" s="155"/>
      <c r="K56" s="155"/>
      <c r="L56" s="62"/>
      <c r="M56" s="151"/>
    </row>
    <row r="57" spans="3:27">
      <c r="C57" s="91" t="s">
        <v>112</v>
      </c>
      <c r="D57" s="61" t="s">
        <v>103</v>
      </c>
      <c r="E57" s="46">
        <v>56</v>
      </c>
      <c r="F57" s="46">
        <v>6298</v>
      </c>
      <c r="G57" s="46">
        <v>6298</v>
      </c>
      <c r="H57" s="46">
        <v>0</v>
      </c>
      <c r="I57" s="75">
        <v>6.9999999999999999E-4</v>
      </c>
      <c r="J57" s="155"/>
      <c r="K57" s="155"/>
      <c r="L57" s="62"/>
    </row>
    <row r="58" spans="3:27">
      <c r="C58" s="91" t="s">
        <v>113</v>
      </c>
      <c r="D58" s="61" t="s">
        <v>103</v>
      </c>
      <c r="E58" s="46" t="s">
        <v>20</v>
      </c>
      <c r="F58" s="46">
        <v>2125</v>
      </c>
      <c r="G58" s="46">
        <v>2111</v>
      </c>
      <c r="H58" s="46">
        <v>14</v>
      </c>
      <c r="I58" s="75">
        <v>6.4000000000000003E-3</v>
      </c>
      <c r="J58" s="155"/>
      <c r="K58" s="155"/>
      <c r="L58" s="62"/>
    </row>
    <row r="59" spans="3:27">
      <c r="C59" s="91" t="s">
        <v>114</v>
      </c>
      <c r="D59" s="61" t="s">
        <v>99</v>
      </c>
      <c r="E59" s="46">
        <v>40</v>
      </c>
      <c r="F59" s="46">
        <v>778</v>
      </c>
      <c r="G59" s="46">
        <v>539</v>
      </c>
      <c r="H59" s="46">
        <v>239</v>
      </c>
      <c r="I59" s="75">
        <v>0.307</v>
      </c>
      <c r="J59" s="155"/>
      <c r="K59" s="155"/>
      <c r="L59" s="62"/>
    </row>
    <row r="60" spans="3:27">
      <c r="C60" s="91" t="s">
        <v>115</v>
      </c>
      <c r="D60" s="61" t="s">
        <v>105</v>
      </c>
      <c r="E60" s="46">
        <v>20</v>
      </c>
      <c r="F60" s="46">
        <v>2410</v>
      </c>
      <c r="G60" s="46">
        <v>1259</v>
      </c>
      <c r="H60" s="46">
        <v>1151</v>
      </c>
      <c r="I60" s="75">
        <v>0.47760000000000002</v>
      </c>
      <c r="J60" s="155"/>
      <c r="K60" s="155"/>
      <c r="L60" s="62"/>
    </row>
    <row r="61" spans="3:27">
      <c r="C61" s="91" t="s">
        <v>116</v>
      </c>
      <c r="D61" s="61" t="s">
        <v>117</v>
      </c>
      <c r="E61" s="46">
        <v>28</v>
      </c>
      <c r="F61" s="46">
        <v>948</v>
      </c>
      <c r="G61" s="46">
        <v>375</v>
      </c>
      <c r="H61" s="46">
        <v>572</v>
      </c>
      <c r="I61" s="75">
        <v>0.6038</v>
      </c>
      <c r="J61" s="155"/>
      <c r="K61" s="155"/>
      <c r="L61" s="62"/>
    </row>
    <row r="62" spans="3:27">
      <c r="C62" s="91" t="s">
        <v>118</v>
      </c>
      <c r="D62" s="61" t="s">
        <v>99</v>
      </c>
      <c r="E62" s="46">
        <v>24</v>
      </c>
      <c r="F62" s="46">
        <v>1060</v>
      </c>
      <c r="G62" s="46">
        <v>448</v>
      </c>
      <c r="H62" s="46">
        <v>612</v>
      </c>
      <c r="I62" s="75">
        <v>0.57730000000000004</v>
      </c>
      <c r="J62" s="155"/>
      <c r="K62" s="155"/>
      <c r="L62" s="62"/>
    </row>
    <row r="63" spans="3:27">
      <c r="C63" s="91" t="s">
        <v>119</v>
      </c>
      <c r="D63" s="61" t="s">
        <v>103</v>
      </c>
      <c r="E63" s="46">
        <v>28</v>
      </c>
      <c r="F63" s="46">
        <v>629</v>
      </c>
      <c r="G63" s="46">
        <v>365</v>
      </c>
      <c r="H63" s="46">
        <v>265</v>
      </c>
      <c r="I63" s="75">
        <v>0.42080000000000001</v>
      </c>
      <c r="J63" s="155"/>
      <c r="K63" s="155"/>
      <c r="L63" s="62"/>
    </row>
    <row r="64" spans="3:27">
      <c r="C64" s="91" t="s">
        <v>120</v>
      </c>
      <c r="D64" s="61" t="s">
        <v>101</v>
      </c>
      <c r="E64" s="46">
        <v>20</v>
      </c>
      <c r="F64" s="46">
        <v>471</v>
      </c>
      <c r="G64" s="46">
        <v>291</v>
      </c>
      <c r="H64" s="46">
        <v>181</v>
      </c>
      <c r="I64" s="75">
        <v>0.38340000000000002</v>
      </c>
      <c r="J64" s="155"/>
      <c r="K64" s="155"/>
      <c r="L64" s="62"/>
    </row>
    <row r="65" spans="3:14">
      <c r="C65" s="91" t="s">
        <v>121</v>
      </c>
      <c r="D65" s="61" t="s">
        <v>105</v>
      </c>
      <c r="E65" s="46">
        <v>24</v>
      </c>
      <c r="F65" s="46">
        <v>324</v>
      </c>
      <c r="G65" s="46">
        <v>221</v>
      </c>
      <c r="H65" s="46">
        <v>103</v>
      </c>
      <c r="I65" s="75">
        <v>0.31890000000000002</v>
      </c>
      <c r="J65" s="155"/>
      <c r="K65" s="155"/>
      <c r="L65" s="62"/>
    </row>
    <row r="66" spans="3:14">
      <c r="C66" s="91" t="s">
        <v>122</v>
      </c>
      <c r="D66" s="61" t="s">
        <v>110</v>
      </c>
      <c r="E66" s="46">
        <v>24</v>
      </c>
      <c r="F66" s="46">
        <v>938</v>
      </c>
      <c r="G66" s="46">
        <v>875</v>
      </c>
      <c r="H66" s="46">
        <v>63</v>
      </c>
      <c r="I66" s="75">
        <v>6.7199999999999996E-2</v>
      </c>
      <c r="J66" s="155"/>
      <c r="K66" s="155"/>
      <c r="L66" s="62"/>
    </row>
    <row r="67" spans="3:14" ht="15.75" customHeight="1">
      <c r="C67" s="91" t="s">
        <v>123</v>
      </c>
      <c r="D67" s="61" t="s">
        <v>124</v>
      </c>
      <c r="E67" s="46">
        <v>28</v>
      </c>
      <c r="F67" s="46">
        <v>326</v>
      </c>
      <c r="G67" s="71">
        <v>97.800000000000011</v>
      </c>
      <c r="H67" s="71">
        <v>228.2</v>
      </c>
      <c r="I67" s="76">
        <v>0.7</v>
      </c>
      <c r="J67" s="159"/>
      <c r="K67" s="159"/>
      <c r="L67" s="62" t="s">
        <v>68</v>
      </c>
    </row>
    <row r="68" spans="3:14">
      <c r="C68" s="91" t="s">
        <v>125</v>
      </c>
      <c r="D68" s="61" t="s">
        <v>126</v>
      </c>
      <c r="E68" s="46">
        <v>24</v>
      </c>
      <c r="F68" s="46">
        <v>668</v>
      </c>
      <c r="G68" s="71">
        <v>220.44</v>
      </c>
      <c r="H68" s="71">
        <v>447.56</v>
      </c>
      <c r="I68" s="76">
        <v>0.67</v>
      </c>
      <c r="J68" s="159"/>
      <c r="K68" s="159"/>
      <c r="L68" s="62"/>
      <c r="N68" s="151"/>
    </row>
    <row r="69" spans="3:14">
      <c r="C69" s="91" t="s">
        <v>127</v>
      </c>
      <c r="D69" s="61" t="s">
        <v>101</v>
      </c>
      <c r="E69" s="46">
        <v>36</v>
      </c>
      <c r="F69" s="46">
        <v>3153</v>
      </c>
      <c r="G69" s="46">
        <v>1022</v>
      </c>
      <c r="H69" s="46">
        <v>2132</v>
      </c>
      <c r="I69" s="75">
        <v>0.67600000000000005</v>
      </c>
      <c r="J69" s="155"/>
      <c r="K69" s="155"/>
      <c r="L69" s="62"/>
    </row>
    <row r="70" spans="3:14">
      <c r="C70" s="91" t="s">
        <v>128</v>
      </c>
      <c r="D70" s="61" t="s">
        <v>105</v>
      </c>
      <c r="E70" s="46">
        <v>24</v>
      </c>
      <c r="F70" s="46">
        <v>827</v>
      </c>
      <c r="G70" s="46">
        <v>276</v>
      </c>
      <c r="H70" s="46">
        <v>551</v>
      </c>
      <c r="I70" s="75">
        <v>0.66620000000000001</v>
      </c>
      <c r="J70" s="155"/>
      <c r="K70" s="155"/>
      <c r="L70" s="62" t="s">
        <v>68</v>
      </c>
    </row>
    <row r="71" spans="3:14">
      <c r="C71" s="91" t="s">
        <v>129</v>
      </c>
      <c r="D71" s="61" t="s">
        <v>99</v>
      </c>
      <c r="E71" s="46">
        <v>20</v>
      </c>
      <c r="F71" s="46">
        <v>441</v>
      </c>
      <c r="G71" s="46">
        <v>166</v>
      </c>
      <c r="H71" s="46">
        <v>274</v>
      </c>
      <c r="I71" s="75">
        <v>0.62229999999999996</v>
      </c>
      <c r="J71" s="155"/>
      <c r="K71" s="155"/>
      <c r="L71" s="62"/>
    </row>
    <row r="72" spans="3:14">
      <c r="C72" s="91" t="s">
        <v>130</v>
      </c>
      <c r="D72" s="61" t="s">
        <v>105</v>
      </c>
      <c r="E72" s="46">
        <v>16</v>
      </c>
      <c r="F72" s="46">
        <v>1042</v>
      </c>
      <c r="G72" s="46">
        <v>405</v>
      </c>
      <c r="H72" s="46">
        <v>638</v>
      </c>
      <c r="I72" s="75">
        <v>0.61180000000000001</v>
      </c>
      <c r="J72" s="155"/>
      <c r="K72" s="155"/>
      <c r="L72" s="62"/>
    </row>
    <row r="73" spans="3:14">
      <c r="C73" s="91" t="s">
        <v>131</v>
      </c>
      <c r="D73" s="61" t="s">
        <v>110</v>
      </c>
      <c r="E73" s="46">
        <v>20</v>
      </c>
      <c r="F73" s="46">
        <v>684</v>
      </c>
      <c r="G73" s="46">
        <v>344</v>
      </c>
      <c r="H73" s="46">
        <v>339</v>
      </c>
      <c r="I73" s="75">
        <v>0.4965</v>
      </c>
      <c r="J73" s="155"/>
      <c r="K73" s="155"/>
      <c r="L73" s="62"/>
    </row>
    <row r="74" spans="3:14" ht="26.45">
      <c r="C74" s="91" t="s">
        <v>132</v>
      </c>
      <c r="D74" s="61" t="s">
        <v>133</v>
      </c>
      <c r="E74" s="46">
        <v>24</v>
      </c>
      <c r="F74" s="46">
        <v>860</v>
      </c>
      <c r="G74" s="46">
        <v>409</v>
      </c>
      <c r="H74" s="46">
        <v>451</v>
      </c>
      <c r="I74" s="75">
        <v>0.52410000000000001</v>
      </c>
      <c r="J74" s="155"/>
      <c r="K74" s="155"/>
      <c r="L74" s="62"/>
    </row>
    <row r="75" spans="3:14">
      <c r="C75" s="91" t="s">
        <v>134</v>
      </c>
      <c r="D75" s="61" t="s">
        <v>135</v>
      </c>
      <c r="E75" s="46">
        <v>20</v>
      </c>
      <c r="F75" s="46">
        <v>580</v>
      </c>
      <c r="G75" s="46">
        <v>322</v>
      </c>
      <c r="H75" s="46">
        <v>258</v>
      </c>
      <c r="I75" s="75">
        <v>0.44490000000000002</v>
      </c>
      <c r="J75" s="155"/>
      <c r="K75" s="155"/>
      <c r="L75" s="62"/>
    </row>
    <row r="76" spans="3:14">
      <c r="C76" s="91" t="s">
        <v>136</v>
      </c>
      <c r="D76" s="61" t="s">
        <v>105</v>
      </c>
      <c r="E76" s="46">
        <v>40</v>
      </c>
      <c r="F76" s="46">
        <v>2412</v>
      </c>
      <c r="G76" s="46">
        <v>1043</v>
      </c>
      <c r="H76" s="46">
        <v>1369</v>
      </c>
      <c r="I76" s="75">
        <v>0.5675</v>
      </c>
      <c r="J76" s="155"/>
      <c r="K76" s="155"/>
      <c r="L76" s="62"/>
    </row>
    <row r="77" spans="3:14" ht="15.6" thickBot="1">
      <c r="C77" s="92" t="s">
        <v>137</v>
      </c>
      <c r="D77" s="63" t="s">
        <v>110</v>
      </c>
      <c r="E77" s="48">
        <v>40</v>
      </c>
      <c r="F77" s="48">
        <v>2099</v>
      </c>
      <c r="G77" s="48">
        <v>941</v>
      </c>
      <c r="H77" s="48">
        <v>1159</v>
      </c>
      <c r="I77" s="77">
        <v>0.55189999999999995</v>
      </c>
      <c r="J77" s="156"/>
      <c r="K77" s="156"/>
      <c r="L77" s="64"/>
    </row>
    <row r="78" spans="3:14" ht="15.6" thickBot="1">
      <c r="C78" s="67"/>
      <c r="D78" s="68"/>
      <c r="E78" s="68"/>
      <c r="F78" s="65">
        <f>SUM(F49:F77)</f>
        <v>40671</v>
      </c>
      <c r="G78" s="65">
        <f>SUM(G49:G77)</f>
        <v>24335.239999999998</v>
      </c>
      <c r="H78" s="65">
        <f>SUM(H49:H77)</f>
        <v>16338.76</v>
      </c>
      <c r="I78" s="70"/>
      <c r="J78" s="70"/>
      <c r="K78" s="70"/>
    </row>
    <row r="80" spans="3:14" ht="15.6" thickBot="1"/>
    <row r="81" spans="3:12" ht="26.25" customHeight="1" thickBot="1">
      <c r="C81" s="1223" t="s">
        <v>138</v>
      </c>
      <c r="D81" s="1224"/>
      <c r="E81" s="1224"/>
      <c r="F81" s="1224"/>
      <c r="G81" s="1224"/>
      <c r="H81" s="1224"/>
      <c r="I81" s="1224"/>
      <c r="J81" s="1224"/>
      <c r="K81" s="1224"/>
      <c r="L81" s="1225"/>
    </row>
    <row r="82" spans="3:12" ht="27" thickBot="1">
      <c r="C82" s="66" t="s">
        <v>31</v>
      </c>
      <c r="D82" s="50" t="s">
        <v>32</v>
      </c>
      <c r="E82" s="50" t="s">
        <v>33</v>
      </c>
      <c r="F82" s="50" t="s">
        <v>34</v>
      </c>
      <c r="G82" s="50" t="s">
        <v>35</v>
      </c>
      <c r="H82" s="50" t="s">
        <v>36</v>
      </c>
      <c r="I82" s="50" t="s">
        <v>37</v>
      </c>
      <c r="J82" s="153" t="s">
        <v>38</v>
      </c>
      <c r="K82" s="153" t="s">
        <v>39</v>
      </c>
      <c r="L82" s="51" t="s">
        <v>40</v>
      </c>
    </row>
    <row r="83" spans="3:12" ht="26.45">
      <c r="C83" s="93" t="s">
        <v>139</v>
      </c>
      <c r="D83" s="52" t="s">
        <v>140</v>
      </c>
      <c r="E83" s="49">
        <v>20</v>
      </c>
      <c r="F83" s="49">
        <v>430</v>
      </c>
      <c r="G83" s="49">
        <v>207</v>
      </c>
      <c r="H83" s="49">
        <v>223</v>
      </c>
      <c r="I83" s="74">
        <v>0.62</v>
      </c>
      <c r="J83" s="174"/>
      <c r="K83" s="175"/>
      <c r="L83" s="94" t="s">
        <v>141</v>
      </c>
    </row>
    <row r="84" spans="3:12" ht="26.45">
      <c r="C84" s="95" t="s">
        <v>142</v>
      </c>
      <c r="D84" s="53" t="s">
        <v>143</v>
      </c>
      <c r="E84" s="46">
        <v>24</v>
      </c>
      <c r="F84" s="46">
        <v>908</v>
      </c>
      <c r="G84" s="46">
        <v>879</v>
      </c>
      <c r="H84" s="46">
        <v>29</v>
      </c>
      <c r="I84" s="75">
        <v>0.04</v>
      </c>
      <c r="J84" s="154"/>
      <c r="K84" s="74"/>
      <c r="L84" s="94" t="s">
        <v>141</v>
      </c>
    </row>
    <row r="85" spans="3:12" ht="26.45">
      <c r="C85" s="95" t="s">
        <v>144</v>
      </c>
      <c r="D85" s="53" t="s">
        <v>140</v>
      </c>
      <c r="E85" s="46">
        <v>36</v>
      </c>
      <c r="F85" s="46">
        <v>1296</v>
      </c>
      <c r="G85" s="46">
        <v>1055</v>
      </c>
      <c r="H85" s="46">
        <v>242</v>
      </c>
      <c r="I85" s="75">
        <v>0.21</v>
      </c>
      <c r="J85" s="154"/>
      <c r="K85" s="74"/>
      <c r="L85" s="94" t="s">
        <v>141</v>
      </c>
    </row>
    <row r="86" spans="3:12" ht="27" thickBot="1">
      <c r="C86" s="96" t="s">
        <v>145</v>
      </c>
      <c r="D86" s="55" t="s">
        <v>146</v>
      </c>
      <c r="E86" s="48">
        <v>36</v>
      </c>
      <c r="F86" s="48">
        <v>2155</v>
      </c>
      <c r="G86" s="48">
        <v>2027</v>
      </c>
      <c r="H86" s="48">
        <v>129</v>
      </c>
      <c r="I86" s="77">
        <v>6.5000000000000002E-2</v>
      </c>
      <c r="J86" s="156"/>
      <c r="K86" s="77"/>
      <c r="L86" s="176" t="s">
        <v>141</v>
      </c>
    </row>
    <row r="87" spans="3:12" ht="19.5" customHeight="1" thickBot="1">
      <c r="C87" s="67"/>
      <c r="D87" s="68"/>
      <c r="E87" s="68"/>
      <c r="F87" s="65">
        <f>SUM(F83:F86)</f>
        <v>4789</v>
      </c>
      <c r="G87" s="65">
        <f>SUM(G83:G86)</f>
        <v>4168</v>
      </c>
      <c r="H87" s="65">
        <f>SUM(H83:H86)</f>
        <v>623</v>
      </c>
      <c r="I87" s="69"/>
      <c r="J87" s="69"/>
      <c r="K87" s="69"/>
    </row>
  </sheetData>
  <mergeCells count="6">
    <mergeCell ref="N51:AA51"/>
    <mergeCell ref="C81:L81"/>
    <mergeCell ref="C2:L2"/>
    <mergeCell ref="C4:L4"/>
    <mergeCell ref="C20:L20"/>
    <mergeCell ref="C47:L4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3:W60"/>
  <sheetViews>
    <sheetView showGridLines="0" topLeftCell="A22" zoomScale="57" zoomScaleNormal="57" workbookViewId="0">
      <selection activeCell="N38" sqref="N38"/>
    </sheetView>
  </sheetViews>
  <sheetFormatPr defaultRowHeight="15"/>
  <cols>
    <col min="1" max="1" width="10.77734375" customWidth="1"/>
    <col min="2" max="2" width="13" customWidth="1"/>
    <col min="3" max="3" width="17.6640625" customWidth="1"/>
    <col min="4" max="4" width="16.33203125" customWidth="1"/>
    <col min="5" max="5" width="9.33203125" bestFit="1" customWidth="1"/>
    <col min="6" max="6" width="10.21875" customWidth="1"/>
    <col min="7" max="7" width="11.33203125" customWidth="1"/>
    <col min="8" max="8" width="10.77734375" customWidth="1"/>
    <col min="9" max="9" width="10.6640625" bestFit="1" customWidth="1"/>
    <col min="10" max="10" width="10.21875" customWidth="1"/>
    <col min="11" max="11" width="9.33203125" bestFit="1" customWidth="1"/>
    <col min="12" max="12" width="10.109375" customWidth="1"/>
    <col min="13" max="13" width="9.33203125" bestFit="1" customWidth="1"/>
    <col min="14" max="14" width="9.44140625" style="1" bestFit="1" customWidth="1"/>
    <col min="17" max="17" width="14.6640625" customWidth="1"/>
    <col min="18" max="18" width="14.77734375" customWidth="1"/>
    <col min="19" max="20" width="14.21875" customWidth="1"/>
    <col min="21" max="21" width="15.33203125" customWidth="1"/>
    <col min="22" max="22" width="15.109375" customWidth="1"/>
    <col min="23" max="23" width="13.77734375" customWidth="1"/>
  </cols>
  <sheetData>
    <row r="3" spans="2:23" ht="25.15" thickBot="1">
      <c r="Q3" s="142"/>
      <c r="R3" s="142"/>
      <c r="S3" s="1227" t="s">
        <v>0</v>
      </c>
      <c r="T3" s="1227"/>
      <c r="U3" s="1227"/>
    </row>
    <row r="4" spans="2:23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7" t="s">
        <v>6</v>
      </c>
      <c r="H4" s="128" t="s">
        <v>7</v>
      </c>
      <c r="I4" s="128" t="s">
        <v>8</v>
      </c>
      <c r="J4" s="129" t="s">
        <v>9</v>
      </c>
      <c r="K4" s="127" t="s">
        <v>10</v>
      </c>
      <c r="L4" s="128" t="s">
        <v>11</v>
      </c>
      <c r="M4" s="128" t="s">
        <v>12</v>
      </c>
      <c r="N4" s="146" t="s">
        <v>13</v>
      </c>
      <c r="Q4" s="142"/>
      <c r="R4" s="143" t="s">
        <v>14</v>
      </c>
      <c r="S4" s="143" t="s">
        <v>147</v>
      </c>
      <c r="T4" s="143" t="s">
        <v>147</v>
      </c>
      <c r="U4" s="143" t="s">
        <v>147</v>
      </c>
      <c r="V4" s="143" t="s">
        <v>147</v>
      </c>
      <c r="W4" s="143" t="s">
        <v>147</v>
      </c>
    </row>
    <row r="5" spans="2:23" ht="43.15">
      <c r="B5" s="130">
        <v>43949</v>
      </c>
      <c r="C5" s="131">
        <v>9000</v>
      </c>
      <c r="D5" s="132">
        <v>25000</v>
      </c>
      <c r="E5" s="132">
        <v>3900</v>
      </c>
      <c r="F5" s="133">
        <v>15000</v>
      </c>
      <c r="G5" s="131">
        <v>8905</v>
      </c>
      <c r="H5" s="132">
        <v>22964</v>
      </c>
      <c r="I5" s="132">
        <v>4129.8</v>
      </c>
      <c r="J5" s="134">
        <v>11131</v>
      </c>
      <c r="K5" s="131">
        <f>Table25[[#This Row],[Batan Target (bopd)]]-Table25[[#This Row],[Batan Daily Prod (bopd)]]</f>
        <v>1202.67</v>
      </c>
      <c r="L5" s="132">
        <f>Table25[[#This Row],[Jones Creek Target (bopd)]]-Table25[[#This Row],[Jones Creek Prod (bopd)]]</f>
        <v>33.580000000001746</v>
      </c>
      <c r="M5" s="132">
        <f>Table25[[#This Row],[Egwa Target (bopd)]]-Table25[[#This Row],[Egwa Prod (bopd)]]</f>
        <v>43.820000000000164</v>
      </c>
      <c r="N5" s="134">
        <f>Table25[[#This Row],[Odidi Target (bopd)]]-Table25[[#This Row],[Odidi prod (bopd)]]</f>
        <v>1754.3999999999996</v>
      </c>
      <c r="Q5" s="144"/>
      <c r="R5" s="148" t="s">
        <v>148</v>
      </c>
      <c r="S5" s="152">
        <f>B38</f>
        <v>43982</v>
      </c>
      <c r="T5" s="152">
        <f>B39</f>
        <v>43983</v>
      </c>
      <c r="U5" s="152">
        <f>B40</f>
        <v>43984</v>
      </c>
      <c r="V5" s="152">
        <f>B41</f>
        <v>43985</v>
      </c>
      <c r="W5" s="152">
        <f>B42</f>
        <v>43986</v>
      </c>
    </row>
    <row r="6" spans="2:23" ht="21.6">
      <c r="B6" s="130">
        <v>43950</v>
      </c>
      <c r="C6" s="131">
        <v>9000</v>
      </c>
      <c r="D6" s="132">
        <v>25000</v>
      </c>
      <c r="E6" s="132">
        <v>3900</v>
      </c>
      <c r="F6" s="133">
        <v>15000</v>
      </c>
      <c r="G6" s="131">
        <v>8895</v>
      </c>
      <c r="H6" s="132">
        <v>22764</v>
      </c>
      <c r="I6" s="132">
        <v>4166</v>
      </c>
      <c r="J6" s="134">
        <v>11916</v>
      </c>
      <c r="K6" s="131">
        <f>Table252[[#This Row],[Batan Target (bopd)]]-Table252[[#This Row],[Batan Daily Prod (bopd)]]</f>
        <v>105</v>
      </c>
      <c r="L6" s="132">
        <f>Table252[[#This Row],[Jones Creek Target (bopd)]]-Table252[[#This Row],[Jones Creek Prod (bopd)]]</f>
        <v>2236</v>
      </c>
      <c r="M6" s="132">
        <f>Table252[[#This Row],[Egwa Target (bopd)]]-Table252[[#This Row],[Egwa Prod (bopd)]]</f>
        <v>-266</v>
      </c>
      <c r="N6" s="134">
        <f>Table252[[#This Row],[Odidi Target (bopd)]]-Table252[[#This Row],[Odidi prod (bopd)]]</f>
        <v>3084</v>
      </c>
      <c r="Q6" s="145" t="s">
        <v>16</v>
      </c>
      <c r="R6" s="150">
        <v>9.1300000000000008</v>
      </c>
      <c r="S6" s="149">
        <v>0</v>
      </c>
      <c r="T6" s="149">
        <v>0</v>
      </c>
      <c r="U6" s="149">
        <v>0</v>
      </c>
      <c r="V6" s="149">
        <v>0</v>
      </c>
      <c r="W6" s="149">
        <v>0</v>
      </c>
    </row>
    <row r="7" spans="2:23" ht="21.6">
      <c r="B7" s="130">
        <v>43951</v>
      </c>
      <c r="C7" s="131">
        <v>9000</v>
      </c>
      <c r="D7" s="132">
        <v>25000</v>
      </c>
      <c r="E7" s="132">
        <v>3900</v>
      </c>
      <c r="F7" s="133">
        <v>15000</v>
      </c>
      <c r="G7" s="131">
        <v>8874.5</v>
      </c>
      <c r="H7" s="132">
        <v>23023</v>
      </c>
      <c r="I7" s="132">
        <v>4192.5</v>
      </c>
      <c r="J7" s="134">
        <v>11997</v>
      </c>
      <c r="K7" s="131">
        <f>Table252[[#This Row],[Batan Target (bopd)]]-Table252[[#This Row],[Batan Daily Prod (bopd)]]</f>
        <v>125.5</v>
      </c>
      <c r="L7" s="132">
        <f>D6-Table252[[#This Row],[Jones Creek Prod (bopd)]]</f>
        <v>1977</v>
      </c>
      <c r="M7" s="132">
        <f>Table252[[#This Row],[Egwa Target (bopd)]]-Table252[[#This Row],[Egwa Prod (bopd)]]</f>
        <v>-292.5</v>
      </c>
      <c r="N7" s="134">
        <f>Table252[[#This Row],[Odidi Target (bopd)]]-Table252[[#This Row],[Odidi prod (bopd)]]</f>
        <v>3003</v>
      </c>
      <c r="Q7" s="145" t="s">
        <v>17</v>
      </c>
      <c r="R7" s="150">
        <v>24.11</v>
      </c>
      <c r="S7" s="149">
        <v>23.087</v>
      </c>
      <c r="T7" s="149">
        <v>23.411999999999999</v>
      </c>
      <c r="U7" s="149">
        <v>22.649000000000001</v>
      </c>
      <c r="V7" s="149">
        <v>22.782</v>
      </c>
      <c r="W7" s="149">
        <v>22.702000000000002</v>
      </c>
    </row>
    <row r="8" spans="2:23" ht="21.6">
      <c r="B8" s="130">
        <v>43952</v>
      </c>
      <c r="C8" s="131">
        <v>9000</v>
      </c>
      <c r="D8" s="135">
        <v>24500</v>
      </c>
      <c r="E8" s="135">
        <v>4000</v>
      </c>
      <c r="F8" s="136">
        <v>14600</v>
      </c>
      <c r="G8" s="131">
        <v>8898</v>
      </c>
      <c r="H8" s="132">
        <v>23313.85</v>
      </c>
      <c r="I8" s="132">
        <v>4208</v>
      </c>
      <c r="J8" s="134">
        <v>12056</v>
      </c>
      <c r="K8" s="131">
        <f>Table252[[#This Row],[Batan Target (bopd)]]-Table252[[#This Row],[Batan Daily Prod (bopd)]]</f>
        <v>102</v>
      </c>
      <c r="L8" s="132">
        <f>D7-Table252[[#This Row],[Jones Creek Prod (bopd)]]</f>
        <v>1686.1500000000015</v>
      </c>
      <c r="M8" s="132">
        <f>Table252[[#This Row],[Egwa Target (bopd)]]-Table252[[#This Row],[Egwa Prod (bopd)]]</f>
        <v>-208</v>
      </c>
      <c r="N8" s="134">
        <f>Table252[[#This Row],[Odidi Target (bopd)]]-Table252[[#This Row],[Odidi prod (bopd)]]</f>
        <v>2544</v>
      </c>
      <c r="Q8" s="145" t="s">
        <v>18</v>
      </c>
      <c r="R8" s="150">
        <v>4.05</v>
      </c>
      <c r="S8" s="149">
        <v>4.0359999999999996</v>
      </c>
      <c r="T8" s="149">
        <v>4.032</v>
      </c>
      <c r="U8" s="149">
        <v>3.504</v>
      </c>
      <c r="V8" s="149">
        <v>4.0259999999999998</v>
      </c>
      <c r="W8" s="149">
        <v>4.0330000000000004</v>
      </c>
    </row>
    <row r="9" spans="2:23" ht="21.6">
      <c r="B9" s="130">
        <v>43953</v>
      </c>
      <c r="C9" s="131">
        <v>9000</v>
      </c>
      <c r="D9" s="135">
        <v>24500</v>
      </c>
      <c r="E9" s="135">
        <v>4000</v>
      </c>
      <c r="F9" s="136">
        <v>14600</v>
      </c>
      <c r="G9" s="131">
        <v>441.6</v>
      </c>
      <c r="H9" s="132">
        <v>22991</v>
      </c>
      <c r="I9" s="132">
        <v>2558.67</v>
      </c>
      <c r="J9" s="134">
        <v>12135</v>
      </c>
      <c r="K9" s="131">
        <f>Table252[[#This Row],[Batan Target (bopd)]]-Table252[[#This Row],[Batan Daily Prod (bopd)]]</f>
        <v>8558.4</v>
      </c>
      <c r="L9" s="132">
        <f>D8-Table252[[#This Row],[Jones Creek Prod (bopd)]]</f>
        <v>1509</v>
      </c>
      <c r="M9" s="132">
        <f>Table252[[#This Row],[Egwa Target (bopd)]]-Table252[[#This Row],[Egwa Prod (bopd)]]</f>
        <v>1441.33</v>
      </c>
      <c r="N9" s="134">
        <f>Table252[[#This Row],[Odidi Target (bopd)]]-Table252[[#This Row],[Odidi prod (bopd)]]</f>
        <v>2465</v>
      </c>
      <c r="Q9" s="145" t="s">
        <v>19</v>
      </c>
      <c r="R9" s="150">
        <v>14.59</v>
      </c>
      <c r="S9" s="149">
        <v>11.93</v>
      </c>
      <c r="T9" s="149">
        <v>11.54</v>
      </c>
      <c r="U9" s="149">
        <v>12.494999999999999</v>
      </c>
      <c r="V9" s="149">
        <v>10.616</v>
      </c>
      <c r="W9" s="149">
        <v>9.9139999999999997</v>
      </c>
    </row>
    <row r="10" spans="2:23" ht="21.6">
      <c r="B10" s="130">
        <v>43954</v>
      </c>
      <c r="C10" s="131">
        <v>9000</v>
      </c>
      <c r="D10" s="135">
        <v>24500</v>
      </c>
      <c r="E10" s="135">
        <v>4000</v>
      </c>
      <c r="F10" s="136">
        <v>14600</v>
      </c>
      <c r="G10" s="131">
        <v>0</v>
      </c>
      <c r="H10" s="132">
        <v>23584</v>
      </c>
      <c r="I10" s="132">
        <v>4260</v>
      </c>
      <c r="J10" s="134">
        <v>11064</v>
      </c>
      <c r="K10" s="131">
        <f>Table252[[#This Row],[Batan Target (bopd)]]-Table252[[#This Row],[Batan Daily Prod (bopd)]]</f>
        <v>9000</v>
      </c>
      <c r="L10" s="132">
        <f>D9-Table252[[#This Row],[Jones Creek Prod (bopd)]]</f>
        <v>916</v>
      </c>
      <c r="M10" s="132">
        <f>Table252[[#This Row],[Egwa Target (bopd)]]-Table252[[#This Row],[Egwa Prod (bopd)]]</f>
        <v>-260</v>
      </c>
      <c r="N10" s="134">
        <f>Table252[[#This Row],[Odidi Target (bopd)]]-Table252[[#This Row],[Odidi prod (bopd)]]</f>
        <v>3536</v>
      </c>
    </row>
    <row r="11" spans="2:23" ht="21.6">
      <c r="B11" s="130">
        <v>43955</v>
      </c>
      <c r="C11" s="131">
        <v>9000</v>
      </c>
      <c r="D11" s="135">
        <v>24500</v>
      </c>
      <c r="E11" s="135">
        <v>4000</v>
      </c>
      <c r="F11" s="136">
        <v>14600</v>
      </c>
      <c r="G11" s="131">
        <v>0</v>
      </c>
      <c r="H11" s="137">
        <v>23520</v>
      </c>
      <c r="I11" s="132">
        <v>4257.4399999999996</v>
      </c>
      <c r="J11" s="138">
        <v>11376</v>
      </c>
      <c r="K11" s="131">
        <f>Table252[[#This Row],[Batan Target (bopd)]]-Table252[[#This Row],[Batan Daily Prod (bopd)]]</f>
        <v>9000</v>
      </c>
      <c r="L11" s="132">
        <f>D10-Table252[[#This Row],[Jones Creek Prod (bopd)]]</f>
        <v>980</v>
      </c>
      <c r="M11" s="132">
        <f>Table252[[#This Row],[Egwa Target (bopd)]]-Table252[[#This Row],[Egwa Prod (bopd)]]</f>
        <v>-257.4399999999996</v>
      </c>
      <c r="N11" s="134">
        <f>Table252[[#This Row],[Odidi Target (bopd)]]-Table252[[#This Row],[Odidi prod (bopd)]]</f>
        <v>3224</v>
      </c>
    </row>
    <row r="12" spans="2:23" ht="21.6">
      <c r="B12" s="130">
        <v>43956</v>
      </c>
      <c r="C12" s="131">
        <v>9000</v>
      </c>
      <c r="D12" s="135">
        <v>24500</v>
      </c>
      <c r="E12" s="135">
        <v>4000</v>
      </c>
      <c r="F12" s="136">
        <v>14600</v>
      </c>
      <c r="G12" s="131">
        <v>3128</v>
      </c>
      <c r="H12" s="132">
        <v>23273</v>
      </c>
      <c r="I12" s="137">
        <v>4234.5</v>
      </c>
      <c r="J12" s="138">
        <v>11282</v>
      </c>
      <c r="K12" s="131">
        <f>Table252[[#This Row],[Batan Target (bopd)]]-Table252[[#This Row],[Batan Daily Prod (bopd)]]</f>
        <v>5872</v>
      </c>
      <c r="L12" s="132">
        <f>D11-Table252[[#This Row],[Jones Creek Prod (bopd)]]</f>
        <v>1227</v>
      </c>
      <c r="M12" s="132">
        <f>Table252[[#This Row],[Egwa Target (bopd)]]-Table252[[#This Row],[Egwa Prod (bopd)]]</f>
        <v>-234.5</v>
      </c>
      <c r="N12" s="134">
        <f>Table252[[#This Row],[Odidi Target (bopd)]]-Table252[[#This Row],[Odidi prod (bopd)]]</f>
        <v>3318</v>
      </c>
    </row>
    <row r="13" spans="2:23" ht="21.6">
      <c r="B13" s="130">
        <v>43957</v>
      </c>
      <c r="C13" s="131">
        <v>9000</v>
      </c>
      <c r="D13" s="135">
        <v>24500</v>
      </c>
      <c r="E13" s="135">
        <v>4000</v>
      </c>
      <c r="F13" s="136">
        <v>14600</v>
      </c>
      <c r="G13" s="131">
        <v>6597</v>
      </c>
      <c r="H13" s="137">
        <v>23601</v>
      </c>
      <c r="I13" s="132">
        <v>2104.9</v>
      </c>
      <c r="J13" s="138">
        <v>12174</v>
      </c>
      <c r="K13" s="131">
        <f>Table252[[#This Row],[Batan Target (bopd)]]-Table252[[#This Row],[Batan Daily Prod (bopd)]]</f>
        <v>2403</v>
      </c>
      <c r="L13" s="132">
        <f>D12-Table252[[#This Row],[Jones Creek Prod (bopd)]]</f>
        <v>899</v>
      </c>
      <c r="M13" s="132">
        <f>Table252[[#This Row],[Egwa Target (bopd)]]-Table252[[#This Row],[Egwa Prod (bopd)]]</f>
        <v>1895.1</v>
      </c>
      <c r="N13" s="134">
        <f>Table252[[#This Row],[Odidi Target (bopd)]]-Table252[[#This Row],[Odidi prod (bopd)]]</f>
        <v>2426</v>
      </c>
    </row>
    <row r="14" spans="2:23" ht="21.6">
      <c r="B14" s="130">
        <v>43958</v>
      </c>
      <c r="C14" s="131">
        <v>9000</v>
      </c>
      <c r="D14" s="135">
        <v>24500</v>
      </c>
      <c r="E14" s="135">
        <v>4000</v>
      </c>
      <c r="F14" s="136">
        <v>14600</v>
      </c>
      <c r="G14" s="131">
        <v>6613</v>
      </c>
      <c r="H14" s="132">
        <v>23222</v>
      </c>
      <c r="I14" s="132">
        <v>0</v>
      </c>
      <c r="J14" s="139">
        <v>12873</v>
      </c>
      <c r="K14" s="131">
        <f>Table252[[#This Row],[Batan Target (bopd)]]-Table252[[#This Row],[Batan Daily Prod (bopd)]]</f>
        <v>2387</v>
      </c>
      <c r="L14" s="132">
        <f>D13-Table252[[#This Row],[Jones Creek Prod (bopd)]]</f>
        <v>1278</v>
      </c>
      <c r="M14" s="132">
        <f>Table252[[#This Row],[Egwa Target (bopd)]]-Table252[[#This Row],[Egwa Prod (bopd)]]</f>
        <v>4000</v>
      </c>
      <c r="N14" s="134">
        <f>Table252[[#This Row],[Odidi Target (bopd)]]-Table252[[#This Row],[Odidi prod (bopd)]]</f>
        <v>1727</v>
      </c>
    </row>
    <row r="15" spans="2:23" ht="21.6">
      <c r="B15" s="130">
        <v>43959</v>
      </c>
      <c r="C15" s="131">
        <v>9000</v>
      </c>
      <c r="D15" s="135">
        <v>24500</v>
      </c>
      <c r="E15" s="135">
        <v>4000</v>
      </c>
      <c r="F15" s="136">
        <v>14600</v>
      </c>
      <c r="G15" s="131">
        <v>8750</v>
      </c>
      <c r="H15" s="132">
        <v>23475</v>
      </c>
      <c r="I15" s="132">
        <v>2889</v>
      </c>
      <c r="J15" s="139">
        <v>11979</v>
      </c>
      <c r="K15" s="131">
        <f>Table252[[#This Row],[Batan Target (bopd)]]-Table252[[#This Row],[Batan Daily Prod (bopd)]]</f>
        <v>250</v>
      </c>
      <c r="L15" s="132">
        <f>D14-Table252[[#This Row],[Jones Creek Prod (bopd)]]</f>
        <v>1025</v>
      </c>
      <c r="M15" s="132">
        <f>Table252[[#This Row],[Egwa Target (bopd)]]-Table252[[#This Row],[Egwa Prod (bopd)]]</f>
        <v>1111</v>
      </c>
      <c r="N15" s="134">
        <f>Table252[[#This Row],[Odidi Target (bopd)]]-Table252[[#This Row],[Odidi prod (bopd)]]</f>
        <v>2621</v>
      </c>
    </row>
    <row r="16" spans="2:23" ht="21.6">
      <c r="B16" s="130">
        <v>43960</v>
      </c>
      <c r="C16" s="131">
        <v>9000</v>
      </c>
      <c r="D16" s="135">
        <v>24500</v>
      </c>
      <c r="E16" s="135">
        <v>4000</v>
      </c>
      <c r="F16" s="136">
        <v>14600</v>
      </c>
      <c r="G16" s="131">
        <v>9119</v>
      </c>
      <c r="H16" s="132">
        <v>23174</v>
      </c>
      <c r="I16" s="132">
        <v>4150</v>
      </c>
      <c r="J16" s="133">
        <v>12265</v>
      </c>
      <c r="K16" s="131">
        <f>Table252[[#This Row],[Batan Target (bopd)]]-Table252[[#This Row],[Batan Daily Prod (bopd)]]</f>
        <v>-119</v>
      </c>
      <c r="L16" s="132">
        <f>D15-Table252[[#This Row],[Jones Creek Prod (bopd)]]</f>
        <v>1326</v>
      </c>
      <c r="M16" s="132">
        <f>Table252[[#This Row],[Egwa Target (bopd)]]-Table252[[#This Row],[Egwa Prod (bopd)]]</f>
        <v>-150</v>
      </c>
      <c r="N16" s="134">
        <f>Table252[[#This Row],[Odidi Target (bopd)]]-Table252[[#This Row],[Odidi prod (bopd)]]</f>
        <v>2335</v>
      </c>
    </row>
    <row r="17" spans="2:14" ht="21.6">
      <c r="B17" s="130">
        <v>43961</v>
      </c>
      <c r="C17" s="131">
        <v>9000</v>
      </c>
      <c r="D17" s="135">
        <v>24500</v>
      </c>
      <c r="E17" s="135">
        <v>4000</v>
      </c>
      <c r="F17" s="136">
        <v>14600</v>
      </c>
      <c r="G17" s="131">
        <v>9108</v>
      </c>
      <c r="H17" s="132">
        <v>23505</v>
      </c>
      <c r="I17" s="132">
        <v>4160</v>
      </c>
      <c r="J17" s="133">
        <v>13110</v>
      </c>
      <c r="K17" s="131">
        <f>Table252[[#This Row],[Batan Target (bopd)]]-Table252[[#This Row],[Batan Daily Prod (bopd)]]</f>
        <v>-108</v>
      </c>
      <c r="L17" s="132">
        <f>D16-Table252[[#This Row],[Jones Creek Prod (bopd)]]</f>
        <v>995</v>
      </c>
      <c r="M17" s="132">
        <f>Table252[[#This Row],[Egwa Target (bopd)]]-Table252[[#This Row],[Egwa Prod (bopd)]]</f>
        <v>-160</v>
      </c>
      <c r="N17" s="134">
        <f>Table252[[#This Row],[Odidi Target (bopd)]]-Table252[[#This Row],[Odidi prod (bopd)]]</f>
        <v>1490</v>
      </c>
    </row>
    <row r="18" spans="2:14" ht="21.6">
      <c r="B18" s="130">
        <v>43962</v>
      </c>
      <c r="C18" s="131">
        <v>9000</v>
      </c>
      <c r="D18" s="135">
        <v>24500</v>
      </c>
      <c r="E18" s="135">
        <v>4000</v>
      </c>
      <c r="F18" s="136">
        <v>14600</v>
      </c>
      <c r="G18" s="131">
        <v>9105</v>
      </c>
      <c r="H18" s="132">
        <v>23692</v>
      </c>
      <c r="I18" s="132">
        <v>4144</v>
      </c>
      <c r="J18" s="139">
        <v>12579</v>
      </c>
      <c r="K18" s="131">
        <f>Table252[[#This Row],[Batan Target (bopd)]]-Table252[[#This Row],[Batan Daily Prod (bopd)]]</f>
        <v>-105</v>
      </c>
      <c r="L18" s="132">
        <f>D17-Table252[[#This Row],[Jones Creek Prod (bopd)]]</f>
        <v>808</v>
      </c>
      <c r="M18" s="132">
        <f>Table252[[#This Row],[Egwa Target (bopd)]]-Table252[[#This Row],[Egwa Prod (bopd)]]</f>
        <v>-144</v>
      </c>
      <c r="N18" s="134">
        <f>Table252[[#This Row],[Odidi Target (bopd)]]-Table252[[#This Row],[Odidi prod (bopd)]]</f>
        <v>2021</v>
      </c>
    </row>
    <row r="19" spans="2:14" ht="21.6">
      <c r="B19" s="130">
        <v>43963</v>
      </c>
      <c r="C19" s="131">
        <v>9000</v>
      </c>
      <c r="D19" s="135">
        <v>24500</v>
      </c>
      <c r="E19" s="135">
        <v>4000</v>
      </c>
      <c r="F19" s="136">
        <v>14600</v>
      </c>
      <c r="G19" s="140">
        <v>9109</v>
      </c>
      <c r="H19" s="132">
        <v>19031</v>
      </c>
      <c r="I19" s="132">
        <v>2642</v>
      </c>
      <c r="J19" s="133">
        <v>10447</v>
      </c>
      <c r="K19" s="131">
        <f>Table252[[#This Row],[Batan Target (bopd)]]-Table252[[#This Row],[Batan Daily Prod (bopd)]]</f>
        <v>-109</v>
      </c>
      <c r="L19" s="132">
        <f>D18-Table252[[#This Row],[Jones Creek Prod (bopd)]]</f>
        <v>5469</v>
      </c>
      <c r="M19" s="132">
        <f>Table252[[#This Row],[Egwa Target (bopd)]]-Table252[[#This Row],[Egwa Prod (bopd)]]</f>
        <v>1358</v>
      </c>
      <c r="N19" s="134">
        <f>Table252[[#This Row],[Odidi Target (bopd)]]-Table252[[#This Row],[Odidi prod (bopd)]]</f>
        <v>4153</v>
      </c>
    </row>
    <row r="20" spans="2:14" ht="21.6">
      <c r="B20" s="130">
        <v>43964</v>
      </c>
      <c r="C20" s="131">
        <v>9000</v>
      </c>
      <c r="D20" s="135">
        <v>24500</v>
      </c>
      <c r="E20" s="135">
        <v>4000</v>
      </c>
      <c r="F20" s="136">
        <v>14600</v>
      </c>
      <c r="G20" s="140">
        <v>9017</v>
      </c>
      <c r="H20" s="137">
        <v>22560</v>
      </c>
      <c r="I20" s="132">
        <v>4155</v>
      </c>
      <c r="J20" s="139">
        <v>11449</v>
      </c>
      <c r="K20" s="131">
        <f>Table252[[#This Row],[Batan Target (bopd)]]-Table252[[#This Row],[Batan Daily Prod (bopd)]]</f>
        <v>-17</v>
      </c>
      <c r="L20" s="132">
        <f>D19-Table252[[#This Row],[Jones Creek Prod (bopd)]]</f>
        <v>1940</v>
      </c>
      <c r="M20" s="132">
        <f>Table252[[#This Row],[Egwa Target (bopd)]]-Table252[[#This Row],[Egwa Prod (bopd)]]</f>
        <v>-155</v>
      </c>
      <c r="N20" s="134">
        <f>Table252[[#This Row],[Odidi Target (bopd)]]-Table252[[#This Row],[Odidi prod (bopd)]]</f>
        <v>3151</v>
      </c>
    </row>
    <row r="21" spans="2:14" ht="21.6">
      <c r="B21" s="130">
        <v>43965</v>
      </c>
      <c r="C21" s="131">
        <v>9000</v>
      </c>
      <c r="D21" s="135">
        <v>24500</v>
      </c>
      <c r="E21" s="135">
        <v>4000</v>
      </c>
      <c r="F21" s="136">
        <v>14600</v>
      </c>
      <c r="G21" s="131">
        <v>9108</v>
      </c>
      <c r="H21" s="132">
        <v>22114</v>
      </c>
      <c r="I21" s="132">
        <v>4127</v>
      </c>
      <c r="J21" s="133">
        <v>11185</v>
      </c>
      <c r="K21" s="131">
        <f>Table252[[#This Row],[Batan Target (bopd)]]-Table252[[#This Row],[Batan Daily Prod (bopd)]]</f>
        <v>-108</v>
      </c>
      <c r="L21" s="132">
        <f>D20-Table252[[#This Row],[Jones Creek Prod (bopd)]]</f>
        <v>2386</v>
      </c>
      <c r="M21" s="132">
        <f>Table252[[#This Row],[Egwa Target (bopd)]]-Table252[[#This Row],[Egwa Prod (bopd)]]</f>
        <v>-127</v>
      </c>
      <c r="N21" s="134">
        <f>Table252[[#This Row],[Odidi Target (bopd)]]-Table252[[#This Row],[Odidi prod (bopd)]]</f>
        <v>3415</v>
      </c>
    </row>
    <row r="22" spans="2:14" ht="21.6">
      <c r="B22" s="130">
        <v>43966</v>
      </c>
      <c r="C22" s="131">
        <v>9000</v>
      </c>
      <c r="D22" s="135">
        <v>24500</v>
      </c>
      <c r="E22" s="135">
        <v>4000</v>
      </c>
      <c r="F22" s="136">
        <v>14600</v>
      </c>
      <c r="G22" s="141">
        <v>9054</v>
      </c>
      <c r="H22" s="137">
        <v>23649</v>
      </c>
      <c r="I22" s="137">
        <v>4088</v>
      </c>
      <c r="J22" s="139">
        <v>11338</v>
      </c>
      <c r="K22" s="131">
        <f>Table252[[#This Row],[Batan Target (bopd)]]-Table252[[#This Row],[Batan Daily Prod (bopd)]]</f>
        <v>-54</v>
      </c>
      <c r="L22" s="132">
        <f>D21-Table252[[#This Row],[Jones Creek Prod (bopd)]]</f>
        <v>851</v>
      </c>
      <c r="M22" s="132">
        <f>Table252[[#This Row],[Egwa Target (bopd)]]-Table252[[#This Row],[Egwa Prod (bopd)]]</f>
        <v>-88</v>
      </c>
      <c r="N22" s="134">
        <f>Table252[[#This Row],[Odidi Target (bopd)]]-Table252[[#This Row],[Odidi prod (bopd)]]</f>
        <v>3262</v>
      </c>
    </row>
    <row r="23" spans="2:14" ht="21.6">
      <c r="B23" s="130">
        <v>43967</v>
      </c>
      <c r="C23" s="131">
        <v>9000</v>
      </c>
      <c r="D23" s="135">
        <v>24500</v>
      </c>
      <c r="E23" s="135">
        <v>4000</v>
      </c>
      <c r="F23" s="136">
        <v>14600</v>
      </c>
      <c r="G23" s="141">
        <v>9105</v>
      </c>
      <c r="H23" s="132">
        <v>23727</v>
      </c>
      <c r="I23" s="132">
        <v>4082</v>
      </c>
      <c r="J23" s="133">
        <v>11171</v>
      </c>
      <c r="K23" s="131">
        <f>Table252[[#This Row],[Batan Target (bopd)]]-Table252[[#This Row],[Batan Daily Prod (bopd)]]</f>
        <v>-105</v>
      </c>
      <c r="L23" s="132">
        <f>D22-Table252[[#This Row],[Jones Creek Prod (bopd)]]</f>
        <v>773</v>
      </c>
      <c r="M23" s="132">
        <f>Table252[[#This Row],[Egwa Target (bopd)]]-Table252[[#This Row],[Egwa Prod (bopd)]]</f>
        <v>-82</v>
      </c>
      <c r="N23" s="134">
        <f>Table252[[#This Row],[Odidi Target (bopd)]]-Table252[[#This Row],[Odidi prod (bopd)]]</f>
        <v>3429</v>
      </c>
    </row>
    <row r="24" spans="2:14" ht="21.6">
      <c r="B24" s="130">
        <v>43968</v>
      </c>
      <c r="C24" s="131">
        <v>9000</v>
      </c>
      <c r="D24" s="135">
        <v>24500</v>
      </c>
      <c r="E24" s="135">
        <v>4000</v>
      </c>
      <c r="F24" s="136">
        <v>14600</v>
      </c>
      <c r="G24" s="141">
        <v>9075</v>
      </c>
      <c r="H24" s="132">
        <v>23640</v>
      </c>
      <c r="I24" s="132">
        <v>4076</v>
      </c>
      <c r="J24" s="133">
        <v>11288</v>
      </c>
      <c r="K24" s="131">
        <f>Table252[[#This Row],[Batan Target (bopd)]]-Table252[[#This Row],[Batan Daily Prod (bopd)]]</f>
        <v>-75</v>
      </c>
      <c r="L24" s="132">
        <f>D23-Table252[[#This Row],[Jones Creek Prod (bopd)]]</f>
        <v>860</v>
      </c>
      <c r="M24" s="132">
        <f>Table252[[#This Row],[Egwa Target (bopd)]]-Table252[[#This Row],[Egwa Prod (bopd)]]</f>
        <v>-76</v>
      </c>
      <c r="N24" s="134">
        <f>Table252[[#This Row],[Odidi Target (bopd)]]-Table252[[#This Row],[Odidi prod (bopd)]]</f>
        <v>3312</v>
      </c>
    </row>
    <row r="25" spans="2:14" ht="21.6">
      <c r="B25" s="130">
        <v>43969</v>
      </c>
      <c r="C25" s="131">
        <v>9000</v>
      </c>
      <c r="D25" s="135">
        <v>24500</v>
      </c>
      <c r="E25" s="135">
        <v>4000</v>
      </c>
      <c r="F25" s="136">
        <v>14600</v>
      </c>
      <c r="G25" s="141">
        <v>9056</v>
      </c>
      <c r="H25" s="137">
        <v>23308</v>
      </c>
      <c r="I25" s="137">
        <v>4020</v>
      </c>
      <c r="J25" s="139">
        <v>11259</v>
      </c>
      <c r="K25" s="131">
        <f>Table252[[#This Row],[Batan Target (bopd)]]-Table252[[#This Row],[Batan Daily Prod (bopd)]]</f>
        <v>-56</v>
      </c>
      <c r="L25" s="132">
        <f>D24-Table252[[#This Row],[Jones Creek Prod (bopd)]]</f>
        <v>1192</v>
      </c>
      <c r="M25" s="132">
        <f>Table252[[#This Row],[Egwa Target (bopd)]]-Table252[[#This Row],[Egwa Prod (bopd)]]</f>
        <v>-20</v>
      </c>
      <c r="N25" s="134">
        <f>Table252[[#This Row],[Odidi Target (bopd)]]-Table252[[#This Row],[Odidi prod (bopd)]]</f>
        <v>3341</v>
      </c>
    </row>
    <row r="26" spans="2:14" ht="21.6">
      <c r="B26" s="130">
        <v>43970</v>
      </c>
      <c r="C26" s="131">
        <v>9000</v>
      </c>
      <c r="D26" s="135">
        <v>24500</v>
      </c>
      <c r="E26" s="135">
        <v>4000</v>
      </c>
      <c r="F26" s="136">
        <v>14600</v>
      </c>
      <c r="G26" s="131">
        <v>9073.6</v>
      </c>
      <c r="H26" s="137">
        <v>23005</v>
      </c>
      <c r="I26" s="132">
        <v>4026</v>
      </c>
      <c r="J26" s="134">
        <v>12007</v>
      </c>
      <c r="K26" s="131">
        <f>Table252[[#This Row],[Batan Target (bopd)]]-Table252[[#This Row],[Batan Daily Prod (bopd)]]</f>
        <v>-73.600000000000364</v>
      </c>
      <c r="L26" s="132">
        <f>D25-Table252[[#This Row],[Jones Creek Prod (bopd)]]</f>
        <v>1495</v>
      </c>
      <c r="M26" s="132">
        <f>Table252[[#This Row],[Egwa Target (bopd)]]-Table252[[#This Row],[Egwa Prod (bopd)]]</f>
        <v>-26</v>
      </c>
      <c r="N26" s="134">
        <f>Table252[[#This Row],[Odidi Target (bopd)]]-Table252[[#This Row],[Odidi prod (bopd)]]</f>
        <v>2593</v>
      </c>
    </row>
    <row r="27" spans="2:14" ht="21.6">
      <c r="B27" s="130">
        <v>43971</v>
      </c>
      <c r="C27" s="131">
        <v>9000</v>
      </c>
      <c r="D27" s="135">
        <v>24500</v>
      </c>
      <c r="E27" s="135">
        <v>4000</v>
      </c>
      <c r="F27" s="136">
        <v>14600</v>
      </c>
      <c r="G27" s="140">
        <v>9066.2000000000007</v>
      </c>
      <c r="H27" s="132">
        <v>23394</v>
      </c>
      <c r="I27" s="132">
        <v>4023.36</v>
      </c>
      <c r="J27" s="134">
        <v>12792</v>
      </c>
      <c r="K27" s="131">
        <f>Table252[[#This Row],[Batan Target (bopd)]]-Table252[[#This Row],[Batan Daily Prod (bopd)]]</f>
        <v>-66.200000000000728</v>
      </c>
      <c r="L27" s="132">
        <f>D26-Table252[[#This Row],[Jones Creek Prod (bopd)]]</f>
        <v>1106</v>
      </c>
      <c r="M27" s="132">
        <f>Table252[[#This Row],[Egwa Target (bopd)]]-Table252[[#This Row],[Egwa Prod (bopd)]]</f>
        <v>-23.360000000000127</v>
      </c>
      <c r="N27" s="134">
        <f>Table252[[#This Row],[Odidi Target (bopd)]]-Table252[[#This Row],[Odidi prod (bopd)]]</f>
        <v>1808</v>
      </c>
    </row>
    <row r="28" spans="2:14" ht="21.6">
      <c r="B28" s="130">
        <v>43972</v>
      </c>
      <c r="C28" s="131">
        <v>9000</v>
      </c>
      <c r="D28" s="135">
        <v>24500</v>
      </c>
      <c r="E28" s="135">
        <v>4000</v>
      </c>
      <c r="F28" s="136">
        <v>14600</v>
      </c>
      <c r="G28" s="131">
        <v>8974</v>
      </c>
      <c r="H28" s="137">
        <v>22806</v>
      </c>
      <c r="I28" s="132">
        <v>4021</v>
      </c>
      <c r="J28" s="138">
        <v>11468</v>
      </c>
      <c r="K28" s="131">
        <f>Table252[[#This Row],[Batan Target (bopd)]]-Table252[[#This Row],[Batan Daily Prod (bopd)]]</f>
        <v>26</v>
      </c>
      <c r="L28" s="132">
        <f>D27-Table252[[#This Row],[Jones Creek Prod (bopd)]]</f>
        <v>1694</v>
      </c>
      <c r="M28" s="132">
        <f>Table252[[#This Row],[Egwa Target (bopd)]]-Table252[[#This Row],[Egwa Prod (bopd)]]</f>
        <v>-21</v>
      </c>
      <c r="N28" s="134">
        <f>Table252[[#This Row],[Odidi Target (bopd)]]-Table252[[#This Row],[Odidi prod (bopd)]]</f>
        <v>3132</v>
      </c>
    </row>
    <row r="29" spans="2:14" ht="21.6">
      <c r="B29" s="130">
        <v>43973</v>
      </c>
      <c r="C29" s="131">
        <v>9000</v>
      </c>
      <c r="D29" s="135">
        <v>24500</v>
      </c>
      <c r="E29" s="135">
        <v>4000</v>
      </c>
      <c r="F29" s="136">
        <v>14600</v>
      </c>
      <c r="G29" s="131">
        <v>9098</v>
      </c>
      <c r="H29" s="137">
        <v>22599</v>
      </c>
      <c r="I29" s="132">
        <v>4061</v>
      </c>
      <c r="J29" s="138">
        <v>12505</v>
      </c>
      <c r="K29" s="131">
        <f>Table252[[#This Row],[Batan Target (bopd)]]-Table252[[#This Row],[Batan Daily Prod (bopd)]]</f>
        <v>-98</v>
      </c>
      <c r="L29" s="132">
        <f>D28-Table252[[#This Row],[Jones Creek Prod (bopd)]]</f>
        <v>1901</v>
      </c>
      <c r="M29" s="132">
        <f>Table252[[#This Row],[Egwa Target (bopd)]]-Table252[[#This Row],[Egwa Prod (bopd)]]</f>
        <v>-61</v>
      </c>
      <c r="N29" s="134">
        <f>Table252[[#This Row],[Odidi Target (bopd)]]-Table252[[#This Row],[Odidi prod (bopd)]]</f>
        <v>2095</v>
      </c>
    </row>
    <row r="30" spans="2:14" ht="21.6">
      <c r="B30" s="130">
        <v>43974</v>
      </c>
      <c r="C30" s="131">
        <v>9000</v>
      </c>
      <c r="D30" s="135">
        <v>24500</v>
      </c>
      <c r="E30" s="135">
        <v>4000</v>
      </c>
      <c r="F30" s="136">
        <v>14600</v>
      </c>
      <c r="G30" s="131">
        <v>7896</v>
      </c>
      <c r="H30" s="132">
        <v>23069</v>
      </c>
      <c r="I30" s="132">
        <v>4013</v>
      </c>
      <c r="J30" s="134">
        <v>12799</v>
      </c>
      <c r="K30" s="131">
        <f>Table252[[#This Row],[Batan Target (bopd)]]-Table252[[#This Row],[Batan Daily Prod (bopd)]]</f>
        <v>1104</v>
      </c>
      <c r="L30" s="132">
        <f>D29-Table252[[#This Row],[Jones Creek Prod (bopd)]]</f>
        <v>1431</v>
      </c>
      <c r="M30" s="132">
        <f>Table252[[#This Row],[Egwa Target (bopd)]]-Table252[[#This Row],[Egwa Prod (bopd)]]</f>
        <v>-13</v>
      </c>
      <c r="N30" s="134">
        <f>Table252[[#This Row],[Odidi Target (bopd)]]-Table252[[#This Row],[Odidi prod (bopd)]]</f>
        <v>1801</v>
      </c>
    </row>
    <row r="31" spans="2:14" ht="21.6">
      <c r="B31" s="130">
        <v>43975</v>
      </c>
      <c r="C31" s="131">
        <v>9000</v>
      </c>
      <c r="D31" s="135">
        <v>24500</v>
      </c>
      <c r="E31" s="135">
        <v>4000</v>
      </c>
      <c r="F31" s="136">
        <v>14600</v>
      </c>
      <c r="G31" s="131">
        <v>0</v>
      </c>
      <c r="H31" s="132">
        <v>22418</v>
      </c>
      <c r="I31" s="132">
        <v>3081</v>
      </c>
      <c r="J31" s="134">
        <v>12678</v>
      </c>
      <c r="K31" s="131">
        <f>Table252[[#This Row],[Batan Target (bopd)]]-Table252[[#This Row],[Batan Daily Prod (bopd)]]</f>
        <v>9000</v>
      </c>
      <c r="L31" s="132">
        <f>D30-Table252[[#This Row],[Jones Creek Prod (bopd)]]</f>
        <v>2082</v>
      </c>
      <c r="M31" s="132">
        <f>Table252[[#This Row],[Egwa Target (bopd)]]-Table252[[#This Row],[Egwa Prod (bopd)]]</f>
        <v>919</v>
      </c>
      <c r="N31" s="134">
        <f>Table252[[#This Row],[Odidi Target (bopd)]]-Table252[[#This Row],[Odidi prod (bopd)]]</f>
        <v>1922</v>
      </c>
    </row>
    <row r="32" spans="2:14" ht="21.6">
      <c r="B32" s="130">
        <v>43976</v>
      </c>
      <c r="C32" s="131">
        <v>9000</v>
      </c>
      <c r="D32" s="135">
        <v>24500</v>
      </c>
      <c r="E32" s="135">
        <v>4000</v>
      </c>
      <c r="F32" s="136">
        <v>14600</v>
      </c>
      <c r="G32" s="131">
        <v>0</v>
      </c>
      <c r="H32" s="132">
        <v>23346</v>
      </c>
      <c r="I32" s="132">
        <v>3288</v>
      </c>
      <c r="J32" s="134">
        <v>14096</v>
      </c>
      <c r="K32" s="131">
        <f>Table252[[#This Row],[Batan Target (bopd)]]-Table252[[#This Row],[Batan Daily Prod (bopd)]]</f>
        <v>9000</v>
      </c>
      <c r="L32" s="132">
        <f>D31-Table252[[#This Row],[Jones Creek Prod (bopd)]]</f>
        <v>1154</v>
      </c>
      <c r="M32" s="132">
        <f>Table252[[#This Row],[Egwa Target (bopd)]]-Table252[[#This Row],[Egwa Prod (bopd)]]</f>
        <v>712</v>
      </c>
      <c r="N32" s="134">
        <f>Table252[[#This Row],[Odidi Target (bopd)]]-Table252[[#This Row],[Odidi prod (bopd)]]</f>
        <v>504</v>
      </c>
    </row>
    <row r="33" spans="2:18" ht="21.6">
      <c r="B33" s="130">
        <v>43977</v>
      </c>
      <c r="C33" s="131">
        <v>9000</v>
      </c>
      <c r="D33" s="135">
        <v>24500</v>
      </c>
      <c r="E33" s="135">
        <v>4000</v>
      </c>
      <c r="F33" s="136">
        <v>14600</v>
      </c>
      <c r="G33" s="131">
        <v>0</v>
      </c>
      <c r="H33" s="132">
        <v>23286</v>
      </c>
      <c r="I33" s="132">
        <v>2908</v>
      </c>
      <c r="J33" s="134">
        <v>13294</v>
      </c>
      <c r="K33" s="131">
        <f>Table252[[#This Row],[Batan Target (bopd)]]-Table252[[#This Row],[Batan Daily Prod (bopd)]]</f>
        <v>9000</v>
      </c>
      <c r="L33" s="132">
        <f>D32-Table252[[#This Row],[Jones Creek Prod (bopd)]]</f>
        <v>1214</v>
      </c>
      <c r="M33" s="132">
        <f>Table252[[#This Row],[Egwa Target (bopd)]]-Table252[[#This Row],[Egwa Prod (bopd)]]</f>
        <v>1092</v>
      </c>
      <c r="N33" s="134">
        <f>Table252[[#This Row],[Odidi Target (bopd)]]-Table252[[#This Row],[Odidi prod (bopd)]]</f>
        <v>1306</v>
      </c>
    </row>
    <row r="34" spans="2:18" ht="21.6">
      <c r="B34" s="130">
        <v>43978</v>
      </c>
      <c r="C34" s="131">
        <v>9000</v>
      </c>
      <c r="D34" s="135">
        <v>24500</v>
      </c>
      <c r="E34" s="135">
        <v>4000</v>
      </c>
      <c r="F34" s="136">
        <v>14600</v>
      </c>
      <c r="G34" s="131">
        <v>1952</v>
      </c>
      <c r="H34" s="137">
        <v>22516</v>
      </c>
      <c r="I34" s="137">
        <v>2669</v>
      </c>
      <c r="J34" s="138">
        <v>13779</v>
      </c>
      <c r="K34" s="131">
        <f>Table252[[#This Row],[Batan Target (bopd)]]-Table252[[#This Row],[Batan Daily Prod (bopd)]]</f>
        <v>7048</v>
      </c>
      <c r="L34" s="132">
        <f>D33-Table252[[#This Row],[Jones Creek Prod (bopd)]]</f>
        <v>1984</v>
      </c>
      <c r="M34" s="132">
        <f>Table252[[#This Row],[Egwa Target (bopd)]]-Table252[[#This Row],[Egwa Prod (bopd)]]</f>
        <v>1331</v>
      </c>
      <c r="N34" s="134">
        <f>Table252[[#This Row],[Odidi Target (bopd)]]-Table252[[#This Row],[Odidi prod (bopd)]]</f>
        <v>821</v>
      </c>
    </row>
    <row r="35" spans="2:18" ht="21.6">
      <c r="B35" s="130">
        <v>43979</v>
      </c>
      <c r="C35" s="131">
        <v>9000</v>
      </c>
      <c r="D35" s="135">
        <v>24500</v>
      </c>
      <c r="E35" s="135">
        <v>4000</v>
      </c>
      <c r="F35" s="136">
        <v>14600</v>
      </c>
      <c r="G35" s="131">
        <v>6092.1</v>
      </c>
      <c r="H35" s="137">
        <v>21399</v>
      </c>
      <c r="I35" s="132">
        <v>4032</v>
      </c>
      <c r="J35" s="138">
        <v>12851</v>
      </c>
      <c r="K35" s="131">
        <f>Table252[[#This Row],[Batan Target (bopd)]]-Table252[[#This Row],[Batan Daily Prod (bopd)]]</f>
        <v>2907.8999999999996</v>
      </c>
      <c r="L35" s="132">
        <f>D34-Table252[[#This Row],[Jones Creek Prod (bopd)]]</f>
        <v>3101</v>
      </c>
      <c r="M35" s="132">
        <f>Table252[[#This Row],[Egwa Target (bopd)]]-Table252[[#This Row],[Egwa Prod (bopd)]]</f>
        <v>-32</v>
      </c>
      <c r="N35" s="134">
        <f>Table252[[#This Row],[Odidi Target (bopd)]]-Table252[[#This Row],[Odidi prod (bopd)]]</f>
        <v>1749</v>
      </c>
    </row>
    <row r="36" spans="2:18" ht="21.6">
      <c r="B36" s="130">
        <v>43980</v>
      </c>
      <c r="C36" s="131">
        <v>9000</v>
      </c>
      <c r="D36" s="135">
        <v>24500</v>
      </c>
      <c r="E36" s="135">
        <v>4000</v>
      </c>
      <c r="F36" s="136">
        <v>14600</v>
      </c>
      <c r="G36" s="131">
        <v>2303</v>
      </c>
      <c r="H36" s="132">
        <v>22076</v>
      </c>
      <c r="I36" s="137">
        <v>4033</v>
      </c>
      <c r="J36" s="138">
        <v>11827</v>
      </c>
      <c r="K36" s="131">
        <f>Table252[[#This Row],[Batan Target (bopd)]]-Table252[[#This Row],[Batan Daily Prod (bopd)]]</f>
        <v>6697</v>
      </c>
      <c r="L36" s="132">
        <f>D35-Table252[[#This Row],[Jones Creek Prod (bopd)]]</f>
        <v>2424</v>
      </c>
      <c r="M36" s="132">
        <f>Table252[[#This Row],[Egwa Target (bopd)]]-Table252[[#This Row],[Egwa Prod (bopd)]]</f>
        <v>-33</v>
      </c>
      <c r="N36" s="134">
        <f>Table252[[#This Row],[Odidi Target (bopd)]]-Table252[[#This Row],[Odidi prod (bopd)]]</f>
        <v>2773</v>
      </c>
    </row>
    <row r="37" spans="2:18" ht="21.6">
      <c r="B37" s="130">
        <v>43981</v>
      </c>
      <c r="C37" s="131">
        <v>9000</v>
      </c>
      <c r="D37" s="135">
        <v>24500</v>
      </c>
      <c r="E37" s="135">
        <v>4000</v>
      </c>
      <c r="F37" s="136">
        <v>14600</v>
      </c>
      <c r="G37" s="131">
        <v>0</v>
      </c>
      <c r="H37" s="132">
        <v>22546</v>
      </c>
      <c r="I37" s="132">
        <v>4029.52</v>
      </c>
      <c r="J37" s="134">
        <v>12202</v>
      </c>
      <c r="K37" s="131">
        <f>Table252[[#This Row],[Batan Target (bopd)]]-Table252[[#This Row],[Batan Daily Prod (bopd)]]</f>
        <v>9000</v>
      </c>
      <c r="L37" s="132">
        <f>D36-Table252[[#This Row],[Jones Creek Prod (bopd)]]</f>
        <v>1954</v>
      </c>
      <c r="M37" s="132">
        <f>Table252[[#This Row],[Egwa Target (bopd)]]-Table252[[#This Row],[Egwa Prod (bopd)]]</f>
        <v>-29.519999999999982</v>
      </c>
      <c r="N37" s="134">
        <f>Table252[[#This Row],[Odidi Target (bopd)]]-Table252[[#This Row],[Odidi prod (bopd)]]</f>
        <v>2398</v>
      </c>
    </row>
    <row r="38" spans="2:18" ht="21.6">
      <c r="B38" s="130">
        <v>43982</v>
      </c>
      <c r="C38" s="131">
        <v>9000</v>
      </c>
      <c r="D38" s="135">
        <v>24500</v>
      </c>
      <c r="E38" s="135">
        <v>4000</v>
      </c>
      <c r="F38" s="136">
        <v>14600</v>
      </c>
      <c r="G38" s="131">
        <v>0</v>
      </c>
      <c r="H38" s="132">
        <v>23087</v>
      </c>
      <c r="I38" s="132">
        <v>4035.68</v>
      </c>
      <c r="J38" s="134">
        <v>11930</v>
      </c>
      <c r="K38" s="131">
        <f>Table252[[#This Row],[Batan Target (bopd)]]-Table252[[#This Row],[Batan Daily Prod (bopd)]]</f>
        <v>9000</v>
      </c>
      <c r="L38" s="132">
        <f>D37-Table252[[#This Row],[Jones Creek Prod (bopd)]]</f>
        <v>1413</v>
      </c>
      <c r="M38" s="132">
        <f>Table252[[#This Row],[Egwa Target (bopd)]]-Table252[[#This Row],[Egwa Prod (bopd)]]</f>
        <v>-35.679999999999836</v>
      </c>
      <c r="N38" s="134">
        <f>Table252[[#This Row],[Odidi Target (bopd)]]-Table252[[#This Row],[Odidi prod (bopd)]]</f>
        <v>2670</v>
      </c>
    </row>
    <row r="39" spans="2:18" ht="21.6">
      <c r="B39" s="130">
        <v>43983</v>
      </c>
      <c r="C39" s="131">
        <v>9130</v>
      </c>
      <c r="D39" s="135">
        <v>24110</v>
      </c>
      <c r="E39" s="135">
        <v>4050</v>
      </c>
      <c r="F39" s="136">
        <v>14590</v>
      </c>
      <c r="G39" s="131">
        <v>0</v>
      </c>
      <c r="H39" s="137">
        <v>23412</v>
      </c>
      <c r="I39" s="132">
        <v>4032</v>
      </c>
      <c r="J39" s="138">
        <v>11541</v>
      </c>
      <c r="K39" s="131">
        <f>Table252[[#This Row],[Batan Target (bopd)]]-Table252[[#This Row],[Batan Daily Prod (bopd)]]</f>
        <v>9130</v>
      </c>
      <c r="L39" s="132">
        <f>D38-Table252[[#This Row],[Jones Creek Prod (bopd)]]</f>
        <v>1088</v>
      </c>
      <c r="M39" s="132">
        <f>Table252[[#This Row],[Egwa Target (bopd)]]-Table252[[#This Row],[Egwa Prod (bopd)]]</f>
        <v>18</v>
      </c>
      <c r="N39" s="134">
        <f>Table252[[#This Row],[Odidi Target (bopd)]]-Table252[[#This Row],[Odidi prod (bopd)]]</f>
        <v>3049</v>
      </c>
    </row>
    <row r="40" spans="2:18" ht="21.6">
      <c r="B40" s="130">
        <v>43984</v>
      </c>
      <c r="C40" s="131">
        <v>9130</v>
      </c>
      <c r="D40" s="135">
        <v>24110</v>
      </c>
      <c r="E40" s="135">
        <v>4050</v>
      </c>
      <c r="F40" s="136">
        <v>14590</v>
      </c>
      <c r="G40" s="131">
        <v>0</v>
      </c>
      <c r="H40" s="132">
        <v>22649</v>
      </c>
      <c r="I40" s="132">
        <v>3504</v>
      </c>
      <c r="J40" s="134">
        <v>12495</v>
      </c>
      <c r="K40" s="131">
        <f>Table252[[#This Row],[Batan Target (bopd)]]-Table252[[#This Row],[Batan Daily Prod (bopd)]]</f>
        <v>9130</v>
      </c>
      <c r="L40" s="132">
        <f>D39-Table252[[#This Row],[Jones Creek Prod (bopd)]]</f>
        <v>1461</v>
      </c>
      <c r="M40" s="132">
        <f>Table252[[#This Row],[Egwa Target (bopd)]]-Table252[[#This Row],[Egwa Prod (bopd)]]</f>
        <v>546</v>
      </c>
      <c r="N40" s="134">
        <f>Table252[[#This Row],[Odidi Target (bopd)]]-Table252[[#This Row],[Odidi prod (bopd)]]</f>
        <v>2095</v>
      </c>
    </row>
    <row r="41" spans="2:18" ht="21.6">
      <c r="B41" s="130">
        <v>43985</v>
      </c>
      <c r="C41" s="131">
        <v>9130</v>
      </c>
      <c r="D41" s="135">
        <v>24110</v>
      </c>
      <c r="E41" s="135">
        <v>4050</v>
      </c>
      <c r="F41" s="136">
        <v>14590</v>
      </c>
      <c r="G41" s="131">
        <v>0</v>
      </c>
      <c r="H41" s="132">
        <v>22782</v>
      </c>
      <c r="I41" s="132">
        <v>4026</v>
      </c>
      <c r="J41" s="134">
        <v>10616</v>
      </c>
      <c r="K41" s="131">
        <f>Table252[[#This Row],[Batan Target (bopd)]]-Table252[[#This Row],[Batan Daily Prod (bopd)]]</f>
        <v>9130</v>
      </c>
      <c r="L41" s="132">
        <f>D40-Table252[[#This Row],[Jones Creek Prod (bopd)]]</f>
        <v>1328</v>
      </c>
      <c r="M41" s="132">
        <f>Table252[[#This Row],[Egwa Target (bopd)]]-Table252[[#This Row],[Egwa Prod (bopd)]]</f>
        <v>24</v>
      </c>
      <c r="N41" s="134">
        <f>Table252[[#This Row],[Odidi Target (bopd)]]-Table252[[#This Row],[Odidi prod (bopd)]]</f>
        <v>3974</v>
      </c>
    </row>
    <row r="42" spans="2:18" ht="21.6">
      <c r="B42" s="130">
        <v>43986</v>
      </c>
      <c r="C42" s="131">
        <v>9130</v>
      </c>
      <c r="D42" s="135">
        <v>24110</v>
      </c>
      <c r="E42" s="135">
        <v>4050</v>
      </c>
      <c r="F42" s="136">
        <v>14590</v>
      </c>
      <c r="G42" s="131">
        <v>0</v>
      </c>
      <c r="H42" s="132">
        <v>22702</v>
      </c>
      <c r="I42" s="132">
        <v>4033</v>
      </c>
      <c r="J42" s="134">
        <v>9194</v>
      </c>
      <c r="K42" s="131">
        <f>Table252[[#This Row],[Batan Target (bopd)]]-Table252[[#This Row],[Batan Daily Prod (bopd)]]</f>
        <v>9130</v>
      </c>
      <c r="L42" s="132">
        <f>D41-Table252[[#This Row],[Jones Creek Prod (bopd)]]</f>
        <v>1408</v>
      </c>
      <c r="M42" s="132">
        <f>Table252[[#This Row],[Egwa Target (bopd)]]-Table252[[#This Row],[Egwa Prod (bopd)]]</f>
        <v>17</v>
      </c>
      <c r="N42" s="134">
        <f>Table252[[#This Row],[Odidi Target (bopd)]]-Table252[[#This Row],[Odidi prod (bopd)]]</f>
        <v>5396</v>
      </c>
    </row>
    <row r="43" spans="2:18" ht="21.6">
      <c r="B43" s="130">
        <v>43987</v>
      </c>
      <c r="C43" s="131">
        <v>9130</v>
      </c>
      <c r="D43" s="135">
        <v>24110</v>
      </c>
      <c r="E43" s="135">
        <v>4050</v>
      </c>
      <c r="F43" s="136">
        <v>14590</v>
      </c>
      <c r="G43" s="131"/>
      <c r="H43" s="132"/>
      <c r="I43" s="132">
        <v>4040</v>
      </c>
      <c r="J43" s="134"/>
      <c r="K43" s="131"/>
      <c r="L43" s="132"/>
      <c r="M43" s="132"/>
      <c r="N43" s="134"/>
    </row>
    <row r="44" spans="2:18" ht="21.6">
      <c r="B44" s="130">
        <v>43988</v>
      </c>
      <c r="C44" s="131"/>
      <c r="D44" s="135"/>
      <c r="E44" s="135"/>
      <c r="F44" s="136"/>
      <c r="G44" s="131"/>
      <c r="H44" s="132"/>
      <c r="I44" s="132"/>
      <c r="J44" s="134"/>
      <c r="K44" s="131"/>
      <c r="L44" s="132"/>
      <c r="M44" s="132"/>
      <c r="N44" s="134"/>
    </row>
    <row r="46" spans="2:18" ht="15.6" thickBot="1"/>
    <row r="47" spans="2:18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30"/>
      <c r="Q47" s="23"/>
      <c r="R47" s="117"/>
    </row>
    <row r="48" spans="2:18" ht="38.450000000000003">
      <c r="C48" s="32" t="s">
        <v>22</v>
      </c>
      <c r="D48" s="33" t="s">
        <v>23</v>
      </c>
      <c r="E48" s="1217" t="s">
        <v>24</v>
      </c>
      <c r="F48" s="1218"/>
      <c r="G48" s="1218"/>
      <c r="H48" s="1218"/>
      <c r="I48" s="1218"/>
      <c r="J48" s="1218"/>
      <c r="K48" s="1218"/>
      <c r="L48" s="1218"/>
      <c r="M48" s="1219"/>
      <c r="Q48" s="118"/>
      <c r="R48" s="119"/>
    </row>
    <row r="49" spans="3:18" ht="30.95" customHeight="1">
      <c r="C49" s="34" t="s">
        <v>16</v>
      </c>
      <c r="D49" s="120">
        <f>K42/1000</f>
        <v>9.1300000000000008</v>
      </c>
      <c r="E49" s="1231" t="s">
        <v>150</v>
      </c>
      <c r="F49" s="1232"/>
      <c r="G49" s="1232"/>
      <c r="H49" s="1232"/>
      <c r="I49" s="1232"/>
      <c r="J49" s="1232"/>
      <c r="K49" s="1232"/>
      <c r="L49" s="1232"/>
      <c r="M49" s="1233"/>
      <c r="Q49" s="118"/>
      <c r="R49" s="119"/>
    </row>
    <row r="50" spans="3:18" ht="36.75" customHeight="1">
      <c r="C50" s="34" t="s">
        <v>17</v>
      </c>
      <c r="D50" s="120">
        <f>L42/1000</f>
        <v>1.4079999999999999</v>
      </c>
      <c r="E50" s="1207" t="s">
        <v>151</v>
      </c>
      <c r="F50" s="1208"/>
      <c r="G50" s="1208"/>
      <c r="H50" s="1208"/>
      <c r="I50" s="1208"/>
      <c r="J50" s="1208"/>
      <c r="K50" s="1208"/>
      <c r="L50" s="1208"/>
      <c r="M50" s="1209"/>
      <c r="Q50" s="118"/>
      <c r="R50" s="119"/>
    </row>
    <row r="51" spans="3:18" ht="34.5" customHeight="1">
      <c r="C51" s="34" t="s">
        <v>18</v>
      </c>
      <c r="D51" s="120">
        <f>M42/1000</f>
        <v>1.7000000000000001E-2</v>
      </c>
      <c r="E51" s="1207" t="s">
        <v>152</v>
      </c>
      <c r="F51" s="1208"/>
      <c r="G51" s="1208"/>
      <c r="H51" s="1208"/>
      <c r="I51" s="1208"/>
      <c r="J51" s="1208"/>
      <c r="K51" s="1208"/>
      <c r="L51" s="1208"/>
      <c r="M51" s="1209"/>
      <c r="Q51" s="118"/>
      <c r="R51" s="119"/>
    </row>
    <row r="52" spans="3:18" ht="48" customHeight="1" thickBot="1">
      <c r="C52" s="35" t="s">
        <v>19</v>
      </c>
      <c r="D52" s="121">
        <f>N42/1000</f>
        <v>5.3959999999999999</v>
      </c>
      <c r="E52" s="1210" t="s">
        <v>153</v>
      </c>
      <c r="F52" s="1211"/>
      <c r="G52" s="1211"/>
      <c r="H52" s="1211"/>
      <c r="I52" s="1211"/>
      <c r="J52" s="1211"/>
      <c r="K52" s="1211"/>
      <c r="L52" s="1211"/>
      <c r="M52" s="1212"/>
    </row>
    <row r="56" spans="3:18" ht="21" thickBot="1">
      <c r="E56" s="30"/>
    </row>
    <row r="57" spans="3:18" ht="35.450000000000003" customHeight="1" thickBot="1">
      <c r="D57" s="41">
        <f>5.4-0.42-3.52</f>
        <v>1.4600000000000004</v>
      </c>
      <c r="G57">
        <f>2.97-0.15</f>
        <v>2.8200000000000003</v>
      </c>
      <c r="H57" s="31"/>
    </row>
    <row r="58" spans="3:18" ht="22.9">
      <c r="F58" s="30"/>
      <c r="G58" s="30"/>
      <c r="H58" s="36"/>
    </row>
    <row r="60" spans="3:18">
      <c r="D60" s="147"/>
    </row>
  </sheetData>
  <mergeCells count="7">
    <mergeCell ref="E52:M52"/>
    <mergeCell ref="S3:U3"/>
    <mergeCell ref="C47:M47"/>
    <mergeCell ref="E48:M48"/>
    <mergeCell ref="E49:M49"/>
    <mergeCell ref="E50:M50"/>
    <mergeCell ref="E51:M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D999"/>
  <sheetViews>
    <sheetView topLeftCell="A46" workbookViewId="0">
      <pane xSplit="1" topLeftCell="C1" activePane="topRight" state="frozen"/>
      <selection pane="topRight" activeCell="O50" sqref="O50:O77"/>
    </sheetView>
  </sheetViews>
  <sheetFormatPr defaultColWidth="11.21875" defaultRowHeight="15" customHeight="1"/>
  <cols>
    <col min="1" max="1" width="6.33203125" style="161" customWidth="1"/>
    <col min="2" max="2" width="6.5546875" style="161" customWidth="1"/>
    <col min="3" max="3" width="8.5546875" style="161" customWidth="1"/>
    <col min="4" max="4" width="10.109375" style="161" customWidth="1"/>
    <col min="5" max="5" width="9.5546875" style="161" customWidth="1"/>
    <col min="6" max="6" width="9.21875" style="161" customWidth="1"/>
    <col min="7" max="7" width="10.77734375" style="161" customWidth="1"/>
    <col min="8" max="10" width="9.21875" style="161" customWidth="1"/>
    <col min="11" max="11" width="8.6640625" style="161" customWidth="1"/>
    <col min="12" max="12" width="25.6640625" style="161" customWidth="1"/>
    <col min="13" max="13" width="4.6640625" style="161" customWidth="1"/>
    <col min="14" max="14" width="4.77734375" style="161" customWidth="1"/>
    <col min="15" max="15" width="10.33203125" style="161" customWidth="1"/>
    <col min="16" max="16" width="5.77734375" style="161" customWidth="1"/>
    <col min="17" max="30" width="8.5546875" style="161" customWidth="1"/>
    <col min="31" max="16384" width="11.21875" style="161"/>
  </cols>
  <sheetData>
    <row r="1" spans="2:19">
      <c r="E1" s="162"/>
      <c r="F1" s="162"/>
      <c r="G1" s="162"/>
      <c r="H1" s="162"/>
      <c r="I1" s="162"/>
      <c r="J1" s="162"/>
      <c r="K1" s="162"/>
    </row>
    <row r="2" spans="2:19" ht="21">
      <c r="D2" s="1236" t="s">
        <v>154</v>
      </c>
      <c r="E2" s="1379"/>
      <c r="F2" s="1379"/>
      <c r="G2" s="1379"/>
      <c r="H2" s="1379"/>
      <c r="I2" s="1379"/>
      <c r="J2" s="1379"/>
      <c r="K2" s="1379"/>
      <c r="L2" s="1379"/>
    </row>
    <row r="3" spans="2:19" ht="18" customHeight="1" thickBot="1">
      <c r="E3" s="162"/>
      <c r="F3" s="162"/>
      <c r="G3" s="162"/>
      <c r="H3" s="162"/>
      <c r="I3" s="162"/>
      <c r="J3" s="162"/>
      <c r="K3" s="162"/>
    </row>
    <row r="4" spans="2:19" ht="24" customHeight="1" thickBot="1">
      <c r="D4" s="1235" t="s">
        <v>155</v>
      </c>
      <c r="E4" s="1380"/>
      <c r="F4" s="1380"/>
      <c r="G4" s="1380"/>
      <c r="H4" s="1380"/>
      <c r="I4" s="1380"/>
      <c r="J4" s="1380"/>
      <c r="K4" s="1380"/>
      <c r="L4" s="1381"/>
    </row>
    <row r="5" spans="2:19" ht="27" thickBot="1">
      <c r="B5" s="894"/>
      <c r="C5" s="895" t="s">
        <v>156</v>
      </c>
      <c r="D5" s="895" t="s">
        <v>31</v>
      </c>
      <c r="E5" s="896" t="s">
        <v>32</v>
      </c>
      <c r="F5" s="896" t="s">
        <v>33</v>
      </c>
      <c r="G5" s="896" t="s">
        <v>34</v>
      </c>
      <c r="H5" s="896" t="s">
        <v>35</v>
      </c>
      <c r="I5" s="896" t="s">
        <v>37</v>
      </c>
      <c r="J5" s="897" t="s">
        <v>38</v>
      </c>
      <c r="K5" s="897" t="s">
        <v>39</v>
      </c>
      <c r="L5" s="898" t="s">
        <v>40</v>
      </c>
    </row>
    <row r="6" spans="2:19" ht="15.6">
      <c r="B6" s="899"/>
      <c r="C6" s="900">
        <v>1</v>
      </c>
      <c r="D6" s="900" t="s">
        <v>41</v>
      </c>
      <c r="E6" s="901" t="s">
        <v>42</v>
      </c>
      <c r="F6" s="902">
        <v>28</v>
      </c>
      <c r="G6" s="903">
        <v>1933.2939787485243</v>
      </c>
      <c r="H6" s="903">
        <v>655</v>
      </c>
      <c r="I6" s="904">
        <v>0.66120000000000001</v>
      </c>
      <c r="J6" s="903">
        <v>521</v>
      </c>
      <c r="K6" s="903">
        <v>493</v>
      </c>
      <c r="L6" s="905"/>
      <c r="P6" s="163"/>
      <c r="S6" s="164"/>
    </row>
    <row r="7" spans="2:19" ht="15.6">
      <c r="B7" s="899"/>
      <c r="C7" s="906">
        <v>2</v>
      </c>
      <c r="D7" s="906" t="s">
        <v>43</v>
      </c>
      <c r="E7" s="907" t="s">
        <v>44</v>
      </c>
      <c r="F7" s="908">
        <v>28</v>
      </c>
      <c r="G7" s="909">
        <v>1161.2244897959183</v>
      </c>
      <c r="H7" s="909">
        <v>569</v>
      </c>
      <c r="I7" s="910">
        <v>0.51</v>
      </c>
      <c r="J7" s="909">
        <v>606</v>
      </c>
      <c r="K7" s="909">
        <v>145</v>
      </c>
      <c r="L7" s="911"/>
      <c r="P7" s="163"/>
      <c r="S7" s="164"/>
    </row>
    <row r="8" spans="2:19" ht="15.6">
      <c r="B8" s="899"/>
      <c r="C8" s="906">
        <v>3</v>
      </c>
      <c r="D8" s="906" t="s">
        <v>45</v>
      </c>
      <c r="E8" s="907" t="s">
        <v>44</v>
      </c>
      <c r="F8" s="908">
        <v>32</v>
      </c>
      <c r="G8" s="909">
        <v>2095.9183673469388</v>
      </c>
      <c r="H8" s="909">
        <v>1027</v>
      </c>
      <c r="I8" s="910">
        <v>0.51</v>
      </c>
      <c r="J8" s="909">
        <v>336</v>
      </c>
      <c r="K8" s="909">
        <v>247</v>
      </c>
      <c r="L8" s="911"/>
      <c r="P8" s="163"/>
      <c r="S8" s="164"/>
    </row>
    <row r="9" spans="2:19" ht="15.6">
      <c r="B9" s="899"/>
      <c r="C9" s="906">
        <v>4</v>
      </c>
      <c r="D9" s="906" t="s">
        <v>46</v>
      </c>
      <c r="E9" s="907" t="s">
        <v>47</v>
      </c>
      <c r="F9" s="908">
        <v>40</v>
      </c>
      <c r="G9" s="909">
        <v>1680.3030303030303</v>
      </c>
      <c r="H9" s="909">
        <v>1109</v>
      </c>
      <c r="I9" s="910">
        <v>0.34</v>
      </c>
      <c r="J9" s="909">
        <v>310</v>
      </c>
      <c r="K9" s="909">
        <v>131</v>
      </c>
      <c r="L9" s="911"/>
      <c r="P9" s="163"/>
      <c r="S9" s="164"/>
    </row>
    <row r="10" spans="2:19" ht="15.6">
      <c r="B10" s="899"/>
      <c r="C10" s="906">
        <v>5</v>
      </c>
      <c r="D10" s="906" t="s">
        <v>48</v>
      </c>
      <c r="E10" s="907" t="s">
        <v>47</v>
      </c>
      <c r="F10" s="908" t="s">
        <v>49</v>
      </c>
      <c r="G10" s="909">
        <v>1712.5</v>
      </c>
      <c r="H10" s="909">
        <v>1096</v>
      </c>
      <c r="I10" s="910">
        <v>0.36</v>
      </c>
      <c r="J10" s="909">
        <v>311</v>
      </c>
      <c r="K10" s="909">
        <v>145</v>
      </c>
      <c r="L10" s="911"/>
      <c r="P10" s="163"/>
      <c r="S10" s="164"/>
    </row>
    <row r="11" spans="2:19" ht="15.6">
      <c r="B11" s="899"/>
      <c r="C11" s="906">
        <v>6</v>
      </c>
      <c r="D11" s="906" t="s">
        <v>50</v>
      </c>
      <c r="E11" s="907" t="s">
        <v>47</v>
      </c>
      <c r="F11" s="908" t="s">
        <v>51</v>
      </c>
      <c r="G11" s="912">
        <v>1384.375</v>
      </c>
      <c r="H11" s="909">
        <v>443</v>
      </c>
      <c r="I11" s="910">
        <v>0.68</v>
      </c>
      <c r="J11" s="909">
        <v>761</v>
      </c>
      <c r="K11" s="909">
        <v>174</v>
      </c>
      <c r="L11" s="911"/>
      <c r="P11" s="163"/>
      <c r="S11" s="164"/>
    </row>
    <row r="12" spans="2:19" ht="15.6">
      <c r="B12" s="899"/>
      <c r="C12" s="906">
        <v>7</v>
      </c>
      <c r="D12" s="906" t="s">
        <v>52</v>
      </c>
      <c r="E12" s="907" t="s">
        <v>47</v>
      </c>
      <c r="F12" s="908">
        <v>40</v>
      </c>
      <c r="G12" s="909">
        <v>1524</v>
      </c>
      <c r="H12" s="908">
        <v>762</v>
      </c>
      <c r="I12" s="910">
        <v>0.5</v>
      </c>
      <c r="J12" s="908">
        <v>448</v>
      </c>
      <c r="K12" s="908">
        <v>160</v>
      </c>
      <c r="L12" s="911"/>
      <c r="P12" s="163"/>
      <c r="S12" s="164"/>
    </row>
    <row r="13" spans="2:19" ht="15.6">
      <c r="B13" s="899"/>
      <c r="C13" s="906">
        <v>8</v>
      </c>
      <c r="D13" s="906" t="s">
        <v>53</v>
      </c>
      <c r="E13" s="907" t="s">
        <v>47</v>
      </c>
      <c r="F13" s="908" t="s">
        <v>51</v>
      </c>
      <c r="G13" s="909">
        <v>1376</v>
      </c>
      <c r="H13" s="908">
        <v>688</v>
      </c>
      <c r="I13" s="910">
        <v>0.5</v>
      </c>
      <c r="J13" s="908">
        <v>447</v>
      </c>
      <c r="K13" s="908">
        <v>348</v>
      </c>
      <c r="L13" s="911"/>
      <c r="P13" s="163"/>
      <c r="S13" s="164"/>
    </row>
    <row r="14" spans="2:19">
      <c r="B14" s="899"/>
      <c r="C14" s="906">
        <v>9</v>
      </c>
      <c r="D14" s="906" t="s">
        <v>54</v>
      </c>
      <c r="E14" s="907" t="s">
        <v>47</v>
      </c>
      <c r="F14" s="908" t="s">
        <v>55</v>
      </c>
      <c r="G14" s="909">
        <v>1547.457627118644</v>
      </c>
      <c r="H14" s="909">
        <v>913</v>
      </c>
      <c r="I14" s="910">
        <v>0.41</v>
      </c>
      <c r="J14" s="909">
        <v>495</v>
      </c>
      <c r="K14" s="909">
        <v>363</v>
      </c>
      <c r="L14" s="911"/>
      <c r="P14" s="165"/>
      <c r="S14" s="164"/>
    </row>
    <row r="15" spans="2:19">
      <c r="B15" s="899"/>
      <c r="C15" s="906">
        <v>10</v>
      </c>
      <c r="D15" s="906" t="s">
        <v>56</v>
      </c>
      <c r="E15" s="907" t="s">
        <v>47</v>
      </c>
      <c r="F15" s="908">
        <v>44</v>
      </c>
      <c r="G15" s="909">
        <v>3592</v>
      </c>
      <c r="H15" s="908">
        <v>1796</v>
      </c>
      <c r="I15" s="910">
        <v>0.5</v>
      </c>
      <c r="J15" s="908">
        <v>281</v>
      </c>
      <c r="K15" s="908">
        <v>348</v>
      </c>
      <c r="L15" s="911"/>
      <c r="P15" s="165"/>
      <c r="S15" s="164"/>
    </row>
    <row r="16" spans="2:19" ht="15.6" thickBot="1">
      <c r="B16" s="899"/>
      <c r="C16" s="913">
        <v>11</v>
      </c>
      <c r="D16" s="913" t="s">
        <v>57</v>
      </c>
      <c r="E16" s="914" t="s">
        <v>47</v>
      </c>
      <c r="F16" s="915" t="s">
        <v>55</v>
      </c>
      <c r="G16" s="916">
        <v>1693.3333333333335</v>
      </c>
      <c r="H16" s="916">
        <v>254</v>
      </c>
      <c r="I16" s="917">
        <v>0.85</v>
      </c>
      <c r="J16" s="916">
        <v>350</v>
      </c>
      <c r="K16" s="916">
        <v>261</v>
      </c>
      <c r="L16" s="918"/>
      <c r="P16" s="165"/>
      <c r="S16" s="164"/>
    </row>
    <row r="17" spans="2:16" ht="16.149999999999999" thickBot="1">
      <c r="D17" s="919"/>
      <c r="E17" s="920"/>
      <c r="F17" s="920"/>
      <c r="G17" s="921">
        <f>SUM(G6:G16)</f>
        <v>19700.405826646387</v>
      </c>
      <c r="H17" s="921">
        <f>SUM(H6:H16)</f>
        <v>9312</v>
      </c>
      <c r="I17" s="166"/>
      <c r="J17" s="166"/>
      <c r="K17" s="166"/>
      <c r="P17" s="163"/>
    </row>
    <row r="18" spans="2:16" ht="29.45" customHeight="1" thickBot="1">
      <c r="E18" s="1237" t="s">
        <v>157</v>
      </c>
      <c r="F18" s="1379"/>
      <c r="G18" s="162"/>
      <c r="H18" s="922">
        <f>H17*0.98</f>
        <v>9125.76</v>
      </c>
      <c r="I18" s="162"/>
      <c r="J18" s="162"/>
      <c r="K18" s="162"/>
    </row>
    <row r="19" spans="2:16">
      <c r="E19" s="162"/>
      <c r="F19" s="162"/>
      <c r="G19" s="162"/>
      <c r="H19" s="162"/>
      <c r="I19" s="162"/>
      <c r="J19" s="162"/>
      <c r="K19" s="162"/>
    </row>
    <row r="20" spans="2:16" ht="15.6" thickBot="1">
      <c r="E20" s="162"/>
      <c r="F20" s="162"/>
      <c r="G20" s="162"/>
      <c r="H20" s="162"/>
      <c r="I20" s="162"/>
      <c r="J20" s="162"/>
      <c r="K20" s="162"/>
    </row>
    <row r="21" spans="2:16" ht="28.5" customHeight="1" thickBot="1">
      <c r="D21" s="1235" t="s">
        <v>158</v>
      </c>
      <c r="E21" s="1380"/>
      <c r="F21" s="1380"/>
      <c r="G21" s="1380"/>
      <c r="H21" s="1380"/>
      <c r="I21" s="1380"/>
      <c r="J21" s="1380"/>
      <c r="K21" s="1380"/>
      <c r="L21" s="1381"/>
    </row>
    <row r="22" spans="2:16" ht="27" thickBot="1">
      <c r="B22" s="894"/>
      <c r="C22" s="895" t="s">
        <v>156</v>
      </c>
      <c r="D22" s="895" t="s">
        <v>31</v>
      </c>
      <c r="E22" s="896" t="s">
        <v>32</v>
      </c>
      <c r="F22" s="896" t="s">
        <v>33</v>
      </c>
      <c r="G22" s="896" t="s">
        <v>34</v>
      </c>
      <c r="H22" s="896" t="s">
        <v>35</v>
      </c>
      <c r="I22" s="896" t="s">
        <v>37</v>
      </c>
      <c r="J22" s="897" t="s">
        <v>38</v>
      </c>
      <c r="K22" s="897" t="s">
        <v>39</v>
      </c>
      <c r="L22" s="898" t="s">
        <v>40</v>
      </c>
    </row>
    <row r="23" spans="2:16">
      <c r="B23" s="923"/>
      <c r="C23" s="924">
        <v>1</v>
      </c>
      <c r="D23" s="924" t="s">
        <v>59</v>
      </c>
      <c r="E23" s="907" t="s">
        <v>60</v>
      </c>
      <c r="F23" s="903">
        <v>56</v>
      </c>
      <c r="G23" s="903">
        <v>949</v>
      </c>
      <c r="H23" s="903">
        <v>930</v>
      </c>
      <c r="I23" s="925">
        <v>3.8</v>
      </c>
      <c r="J23" s="903">
        <v>2018</v>
      </c>
      <c r="K23" s="903">
        <v>145</v>
      </c>
      <c r="L23" s="171"/>
    </row>
    <row r="24" spans="2:16">
      <c r="B24" s="923"/>
      <c r="C24" s="924">
        <v>2</v>
      </c>
      <c r="D24" s="924" t="s">
        <v>61</v>
      </c>
      <c r="E24" s="907" t="s">
        <v>62</v>
      </c>
      <c r="F24" s="903">
        <v>28</v>
      </c>
      <c r="G24" s="903">
        <v>872</v>
      </c>
      <c r="H24" s="903">
        <v>436</v>
      </c>
      <c r="I24" s="925">
        <v>50</v>
      </c>
      <c r="J24" s="903">
        <v>782</v>
      </c>
      <c r="K24" s="903">
        <v>380</v>
      </c>
      <c r="L24" s="171" t="s">
        <v>63</v>
      </c>
      <c r="N24" s="167"/>
    </row>
    <row r="25" spans="2:16">
      <c r="B25" s="923"/>
      <c r="C25" s="924">
        <v>3</v>
      </c>
      <c r="D25" s="924" t="s">
        <v>64</v>
      </c>
      <c r="E25" s="907" t="s">
        <v>65</v>
      </c>
      <c r="F25" s="903">
        <v>32</v>
      </c>
      <c r="G25" s="903">
        <v>2618</v>
      </c>
      <c r="H25" s="903">
        <v>1571</v>
      </c>
      <c r="I25" s="925">
        <v>40.799999999999997</v>
      </c>
      <c r="J25" s="903">
        <v>430</v>
      </c>
      <c r="K25" s="903">
        <v>435</v>
      </c>
      <c r="L25" s="171"/>
      <c r="N25" s="167"/>
    </row>
    <row r="26" spans="2:16" ht="26.45">
      <c r="B26" s="923"/>
      <c r="C26" s="924">
        <v>4</v>
      </c>
      <c r="D26" s="924" t="s">
        <v>66</v>
      </c>
      <c r="E26" s="907" t="s">
        <v>67</v>
      </c>
      <c r="F26" s="903">
        <v>28</v>
      </c>
      <c r="G26" s="903">
        <v>699</v>
      </c>
      <c r="H26" s="903">
        <v>423</v>
      </c>
      <c r="I26" s="925">
        <v>39.5</v>
      </c>
      <c r="J26" s="903">
        <v>372</v>
      </c>
      <c r="K26" s="903">
        <v>300</v>
      </c>
      <c r="L26" s="171" t="s">
        <v>159</v>
      </c>
      <c r="N26" s="167"/>
    </row>
    <row r="27" spans="2:16">
      <c r="B27" s="923"/>
      <c r="C27" s="924">
        <v>5</v>
      </c>
      <c r="D27" s="924" t="s">
        <v>69</v>
      </c>
      <c r="E27" s="907" t="s">
        <v>70</v>
      </c>
      <c r="F27" s="903">
        <v>24</v>
      </c>
      <c r="G27" s="903">
        <v>946</v>
      </c>
      <c r="H27" s="903">
        <v>311</v>
      </c>
      <c r="I27" s="925">
        <v>67.2</v>
      </c>
      <c r="J27" s="903">
        <v>2411</v>
      </c>
      <c r="K27" s="903">
        <v>800</v>
      </c>
      <c r="L27" s="171"/>
    </row>
    <row r="28" spans="2:16">
      <c r="B28" s="923"/>
      <c r="C28" s="924">
        <v>6</v>
      </c>
      <c r="D28" s="924" t="s">
        <v>71</v>
      </c>
      <c r="E28" s="907" t="s">
        <v>72</v>
      </c>
      <c r="F28" s="903">
        <v>28</v>
      </c>
      <c r="G28" s="903">
        <v>843</v>
      </c>
      <c r="H28" s="903">
        <v>280</v>
      </c>
      <c r="I28" s="925">
        <v>66.8</v>
      </c>
      <c r="J28" s="903">
        <v>3000</v>
      </c>
      <c r="K28" s="903">
        <v>920</v>
      </c>
      <c r="L28" s="171"/>
    </row>
    <row r="29" spans="2:16">
      <c r="B29" s="923"/>
      <c r="C29" s="924">
        <v>7</v>
      </c>
      <c r="D29" s="924" t="s">
        <v>73</v>
      </c>
      <c r="E29" s="907" t="s">
        <v>72</v>
      </c>
      <c r="F29" s="903">
        <v>36</v>
      </c>
      <c r="G29" s="903">
        <v>1079</v>
      </c>
      <c r="H29" s="903">
        <v>723</v>
      </c>
      <c r="I29" s="925">
        <v>33</v>
      </c>
      <c r="J29" s="903">
        <v>3206</v>
      </c>
      <c r="K29" s="903">
        <v>551</v>
      </c>
      <c r="L29" s="171"/>
    </row>
    <row r="30" spans="2:16">
      <c r="B30" s="923"/>
      <c r="C30" s="924">
        <v>8</v>
      </c>
      <c r="D30" s="924" t="s">
        <v>74</v>
      </c>
      <c r="E30" s="907" t="s">
        <v>75</v>
      </c>
      <c r="F30" s="903">
        <v>36</v>
      </c>
      <c r="G30" s="903">
        <v>3138</v>
      </c>
      <c r="H30" s="903">
        <v>1246</v>
      </c>
      <c r="I30" s="925">
        <v>60.3</v>
      </c>
      <c r="J30" s="903">
        <v>1306</v>
      </c>
      <c r="K30" s="903">
        <v>800</v>
      </c>
      <c r="L30" s="171"/>
    </row>
    <row r="31" spans="2:16">
      <c r="B31" s="923"/>
      <c r="C31" s="924">
        <v>9</v>
      </c>
      <c r="D31" s="924" t="s">
        <v>76</v>
      </c>
      <c r="E31" s="907" t="s">
        <v>77</v>
      </c>
      <c r="F31" s="903">
        <v>20</v>
      </c>
      <c r="G31" s="903">
        <v>704</v>
      </c>
      <c r="H31" s="903">
        <v>305</v>
      </c>
      <c r="I31" s="925">
        <v>56.7</v>
      </c>
      <c r="J31" s="903">
        <v>264</v>
      </c>
      <c r="K31" s="903">
        <v>203</v>
      </c>
      <c r="L31" s="171"/>
    </row>
    <row r="32" spans="2:16">
      <c r="B32" s="923"/>
      <c r="C32" s="924">
        <v>10</v>
      </c>
      <c r="D32" s="924" t="s">
        <v>78</v>
      </c>
      <c r="E32" s="907" t="s">
        <v>79</v>
      </c>
      <c r="F32" s="903">
        <v>48</v>
      </c>
      <c r="G32" s="903">
        <v>1027</v>
      </c>
      <c r="H32" s="903">
        <v>1024</v>
      </c>
      <c r="I32" s="925">
        <v>0.3</v>
      </c>
      <c r="J32" s="903">
        <v>553</v>
      </c>
      <c r="K32" s="903">
        <v>232</v>
      </c>
      <c r="L32" s="171"/>
    </row>
    <row r="33" spans="1:30">
      <c r="B33" s="923"/>
      <c r="C33" s="924">
        <v>11</v>
      </c>
      <c r="D33" s="924" t="s">
        <v>80</v>
      </c>
      <c r="E33" s="907" t="s">
        <v>81</v>
      </c>
      <c r="F33" s="903">
        <v>32</v>
      </c>
      <c r="G33" s="903">
        <v>1609</v>
      </c>
      <c r="H33" s="903">
        <v>592</v>
      </c>
      <c r="I33" s="925">
        <v>63.2</v>
      </c>
      <c r="J33" s="903">
        <v>1849</v>
      </c>
      <c r="K33" s="903">
        <v>609</v>
      </c>
      <c r="L33" s="171"/>
    </row>
    <row r="34" spans="1:30">
      <c r="B34" s="923"/>
      <c r="C34" s="924">
        <v>12</v>
      </c>
      <c r="D34" s="924" t="s">
        <v>82</v>
      </c>
      <c r="E34" s="907" t="s">
        <v>65</v>
      </c>
      <c r="F34" s="903">
        <v>24</v>
      </c>
      <c r="G34" s="903">
        <v>1004</v>
      </c>
      <c r="H34" s="903">
        <v>1003</v>
      </c>
      <c r="I34" s="925">
        <v>0.1</v>
      </c>
      <c r="J34" s="903">
        <v>587</v>
      </c>
      <c r="K34" s="903">
        <v>580</v>
      </c>
      <c r="L34" s="171"/>
    </row>
    <row r="35" spans="1:30" ht="26.45">
      <c r="B35" s="923"/>
      <c r="C35" s="924">
        <v>13</v>
      </c>
      <c r="D35" s="924" t="s">
        <v>83</v>
      </c>
      <c r="E35" s="907" t="s">
        <v>84</v>
      </c>
      <c r="F35" s="903">
        <v>48</v>
      </c>
      <c r="G35" s="903">
        <v>3214</v>
      </c>
      <c r="H35" s="903">
        <v>1125</v>
      </c>
      <c r="I35" s="925">
        <v>65</v>
      </c>
      <c r="J35" s="903">
        <v>4131</v>
      </c>
      <c r="K35" s="903">
        <v>1218</v>
      </c>
      <c r="L35" s="171" t="s">
        <v>160</v>
      </c>
      <c r="O35" s="167"/>
    </row>
    <row r="36" spans="1:30" ht="26.45">
      <c r="B36" s="923"/>
      <c r="C36" s="924">
        <v>14</v>
      </c>
      <c r="D36" s="924" t="s">
        <v>85</v>
      </c>
      <c r="E36" s="907" t="s">
        <v>72</v>
      </c>
      <c r="F36" s="903">
        <v>32</v>
      </c>
      <c r="G36" s="903">
        <v>1401</v>
      </c>
      <c r="H36" s="903">
        <v>881</v>
      </c>
      <c r="I36" s="925">
        <v>37.200000000000003</v>
      </c>
      <c r="J36" s="903">
        <v>1058</v>
      </c>
      <c r="K36" s="903">
        <v>551</v>
      </c>
      <c r="L36" s="171" t="s">
        <v>160</v>
      </c>
    </row>
    <row r="37" spans="1:30">
      <c r="B37" s="923"/>
      <c r="C37" s="924">
        <v>15</v>
      </c>
      <c r="D37" s="924" t="s">
        <v>86</v>
      </c>
      <c r="E37" s="907" t="s">
        <v>87</v>
      </c>
      <c r="F37" s="903">
        <v>28</v>
      </c>
      <c r="G37" s="903">
        <v>885</v>
      </c>
      <c r="H37" s="903">
        <v>350</v>
      </c>
      <c r="I37" s="925">
        <v>60.5</v>
      </c>
      <c r="J37" s="903">
        <v>5513</v>
      </c>
      <c r="K37" s="903">
        <v>1740</v>
      </c>
      <c r="L37" s="171"/>
    </row>
    <row r="38" spans="1:30">
      <c r="B38" s="923"/>
      <c r="C38" s="924">
        <v>16</v>
      </c>
      <c r="D38" s="924" t="s">
        <v>88</v>
      </c>
      <c r="E38" s="907" t="s">
        <v>89</v>
      </c>
      <c r="F38" s="903">
        <v>28</v>
      </c>
      <c r="G38" s="903">
        <v>1151</v>
      </c>
      <c r="H38" s="903">
        <v>483</v>
      </c>
      <c r="I38" s="925">
        <v>58</v>
      </c>
      <c r="J38" s="903">
        <v>2051</v>
      </c>
      <c r="K38" s="903">
        <v>551</v>
      </c>
      <c r="L38" s="171" t="s">
        <v>63</v>
      </c>
      <c r="O38" s="167"/>
    </row>
    <row r="39" spans="1:30">
      <c r="B39" s="923"/>
      <c r="C39" s="924">
        <v>17</v>
      </c>
      <c r="D39" s="924" t="s">
        <v>90</v>
      </c>
      <c r="E39" s="907" t="s">
        <v>84</v>
      </c>
      <c r="F39" s="903">
        <v>48</v>
      </c>
      <c r="G39" s="903">
        <v>537</v>
      </c>
      <c r="H39" s="903">
        <v>498</v>
      </c>
      <c r="I39" s="925">
        <v>7.3</v>
      </c>
      <c r="J39" s="903">
        <v>6498</v>
      </c>
      <c r="K39" s="903">
        <v>550</v>
      </c>
      <c r="L39" s="171"/>
    </row>
    <row r="40" spans="1:30">
      <c r="B40" s="923"/>
      <c r="C40" s="924">
        <v>18</v>
      </c>
      <c r="D40" s="924" t="s">
        <v>91</v>
      </c>
      <c r="E40" s="907" t="s">
        <v>89</v>
      </c>
      <c r="F40" s="903">
        <v>36</v>
      </c>
      <c r="G40" s="903">
        <v>488</v>
      </c>
      <c r="H40" s="903">
        <v>487</v>
      </c>
      <c r="I40" s="925">
        <v>0.1</v>
      </c>
      <c r="J40" s="903">
        <v>1297</v>
      </c>
      <c r="K40" s="903">
        <v>200</v>
      </c>
      <c r="L40" s="171"/>
    </row>
    <row r="41" spans="1:30">
      <c r="B41" s="923"/>
      <c r="C41" s="924">
        <v>19</v>
      </c>
      <c r="D41" s="924" t="s">
        <v>92</v>
      </c>
      <c r="E41" s="907" t="s">
        <v>93</v>
      </c>
      <c r="F41" s="903">
        <v>24</v>
      </c>
      <c r="G41" s="903">
        <v>639</v>
      </c>
      <c r="H41" s="903">
        <v>268</v>
      </c>
      <c r="I41" s="925">
        <v>58</v>
      </c>
      <c r="J41" s="903">
        <v>373</v>
      </c>
      <c r="K41" s="903">
        <v>232</v>
      </c>
      <c r="L41" s="171" t="s">
        <v>161</v>
      </c>
    </row>
    <row r="42" spans="1:30">
      <c r="B42" s="923"/>
      <c r="C42" s="924">
        <v>20</v>
      </c>
      <c r="D42" s="924" t="s">
        <v>94</v>
      </c>
      <c r="E42" s="907" t="s">
        <v>67</v>
      </c>
      <c r="F42" s="903">
        <v>24</v>
      </c>
      <c r="G42" s="903">
        <v>1571</v>
      </c>
      <c r="H42" s="903">
        <v>914</v>
      </c>
      <c r="I42" s="925">
        <v>41.9</v>
      </c>
      <c r="J42" s="903">
        <v>258</v>
      </c>
      <c r="K42" s="903">
        <v>464</v>
      </c>
      <c r="L42" s="171" t="s">
        <v>63</v>
      </c>
    </row>
    <row r="43" spans="1:30">
      <c r="B43" s="923"/>
      <c r="C43" s="924">
        <v>21</v>
      </c>
      <c r="D43" s="924" t="s">
        <v>95</v>
      </c>
      <c r="E43" s="907" t="s">
        <v>65</v>
      </c>
      <c r="F43" s="903">
        <v>20</v>
      </c>
      <c r="G43" s="903">
        <v>566</v>
      </c>
      <c r="H43" s="903">
        <v>251</v>
      </c>
      <c r="I43" s="925">
        <v>55.7</v>
      </c>
      <c r="J43" s="903">
        <v>415</v>
      </c>
      <c r="K43" s="903">
        <v>377</v>
      </c>
      <c r="L43" s="171"/>
    </row>
    <row r="44" spans="1:30" ht="15.6" thickBot="1">
      <c r="B44" s="923"/>
      <c r="C44" s="926">
        <v>22</v>
      </c>
      <c r="D44" s="926" t="s">
        <v>96</v>
      </c>
      <c r="E44" s="914" t="s">
        <v>67</v>
      </c>
      <c r="F44" s="903">
        <v>32</v>
      </c>
      <c r="G44" s="903">
        <v>2082</v>
      </c>
      <c r="H44" s="903">
        <v>937</v>
      </c>
      <c r="I44" s="925">
        <v>55</v>
      </c>
      <c r="J44" s="903">
        <v>450</v>
      </c>
      <c r="K44" s="903">
        <v>406</v>
      </c>
      <c r="L44" s="171"/>
    </row>
    <row r="45" spans="1:30" ht="15.6" thickBot="1">
      <c r="D45" s="919"/>
      <c r="E45" s="920"/>
      <c r="F45" s="920"/>
      <c r="G45" s="921">
        <f>SUM(G23:G44)</f>
        <v>28022</v>
      </c>
      <c r="H45" s="921">
        <f>SUM(H23:H44)</f>
        <v>15038</v>
      </c>
      <c r="I45" s="166"/>
      <c r="J45" s="166"/>
      <c r="K45" s="927"/>
    </row>
    <row r="46" spans="1:30" ht="15.95" customHeight="1" thickBot="1">
      <c r="D46" s="1238" t="s">
        <v>162</v>
      </c>
      <c r="E46" s="1238"/>
      <c r="F46" s="1238"/>
      <c r="G46" s="162"/>
      <c r="H46" s="922">
        <f>H45*0.97</f>
        <v>14586.859999999999</v>
      </c>
      <c r="I46" s="162"/>
      <c r="J46" s="162"/>
      <c r="K46" s="162"/>
    </row>
    <row r="47" spans="1:30" ht="20.25" customHeight="1" thickBot="1">
      <c r="E47" s="162"/>
      <c r="F47" s="162"/>
      <c r="G47" s="162"/>
      <c r="H47" s="162"/>
      <c r="I47" s="162"/>
      <c r="J47" s="162"/>
      <c r="K47" s="162"/>
    </row>
    <row r="48" spans="1:30" ht="30" customHeight="1" thickBot="1">
      <c r="A48" s="928"/>
      <c r="B48" s="928"/>
      <c r="C48" s="928"/>
      <c r="D48" s="1235" t="s">
        <v>163</v>
      </c>
      <c r="E48" s="1380"/>
      <c r="F48" s="1380"/>
      <c r="G48" s="1380"/>
      <c r="H48" s="1380"/>
      <c r="I48" s="1380"/>
      <c r="J48" s="1380"/>
      <c r="K48" s="1380"/>
      <c r="L48" s="1381"/>
      <c r="M48" s="928"/>
      <c r="N48" s="928"/>
      <c r="O48" s="928"/>
      <c r="P48" s="928"/>
      <c r="Q48" s="928"/>
      <c r="R48" s="928"/>
      <c r="S48" s="928"/>
      <c r="T48" s="928"/>
      <c r="U48" s="928"/>
      <c r="V48" s="928"/>
      <c r="W48" s="928"/>
      <c r="X48" s="928"/>
      <c r="Y48" s="928"/>
      <c r="Z48" s="928"/>
      <c r="AA48" s="928"/>
      <c r="AB48" s="928"/>
      <c r="AC48" s="928"/>
      <c r="AD48" s="928"/>
    </row>
    <row r="49" spans="2:15" ht="27" thickBot="1">
      <c r="B49" s="894"/>
      <c r="C49" s="895" t="s">
        <v>156</v>
      </c>
      <c r="D49" s="895" t="s">
        <v>31</v>
      </c>
      <c r="E49" s="896" t="s">
        <v>32</v>
      </c>
      <c r="F49" s="896" t="s">
        <v>33</v>
      </c>
      <c r="G49" s="896" t="s">
        <v>34</v>
      </c>
      <c r="H49" s="896" t="s">
        <v>35</v>
      </c>
      <c r="I49" s="896" t="s">
        <v>37</v>
      </c>
      <c r="J49" s="897" t="s">
        <v>38</v>
      </c>
      <c r="K49" s="897" t="s">
        <v>39</v>
      </c>
      <c r="L49" s="898" t="s">
        <v>40</v>
      </c>
    </row>
    <row r="50" spans="2:15">
      <c r="B50" s="923"/>
      <c r="C50" s="924">
        <v>1</v>
      </c>
      <c r="D50" s="929" t="s">
        <v>98</v>
      </c>
      <c r="E50" s="901" t="s">
        <v>99</v>
      </c>
      <c r="F50" s="902">
        <v>36</v>
      </c>
      <c r="G50" s="902">
        <v>1833</v>
      </c>
      <c r="H50" s="902">
        <v>1173</v>
      </c>
      <c r="I50" s="903">
        <v>36</v>
      </c>
      <c r="J50" s="902">
        <v>330</v>
      </c>
      <c r="K50" s="902">
        <v>330</v>
      </c>
      <c r="L50" s="930"/>
      <c r="O50" s="215" t="s">
        <v>98</v>
      </c>
    </row>
    <row r="51" spans="2:15" ht="15" customHeight="1">
      <c r="B51" s="923"/>
      <c r="C51" s="924">
        <v>2</v>
      </c>
      <c r="D51" s="931" t="s">
        <v>100</v>
      </c>
      <c r="E51" s="907" t="s">
        <v>101</v>
      </c>
      <c r="F51" s="908">
        <v>36</v>
      </c>
      <c r="G51" s="908">
        <v>1000</v>
      </c>
      <c r="H51" s="908">
        <v>1000</v>
      </c>
      <c r="I51" s="909">
        <v>0</v>
      </c>
      <c r="J51" s="908">
        <v>307</v>
      </c>
      <c r="K51" s="908">
        <v>150</v>
      </c>
      <c r="L51" s="932"/>
      <c r="M51" s="933"/>
      <c r="O51" s="216" t="s">
        <v>100</v>
      </c>
    </row>
    <row r="52" spans="2:15">
      <c r="B52" s="923"/>
      <c r="C52" s="924">
        <v>3</v>
      </c>
      <c r="D52" s="931" t="s">
        <v>102</v>
      </c>
      <c r="E52" s="907" t="s">
        <v>103</v>
      </c>
      <c r="F52" s="908">
        <v>28</v>
      </c>
      <c r="G52" s="934">
        <v>504</v>
      </c>
      <c r="H52" s="934">
        <v>171</v>
      </c>
      <c r="I52" s="935">
        <v>66</v>
      </c>
      <c r="J52" s="934">
        <v>442</v>
      </c>
      <c r="K52" s="934" t="s">
        <v>164</v>
      </c>
      <c r="L52" s="936" t="s">
        <v>165</v>
      </c>
      <c r="O52" s="216" t="s">
        <v>104</v>
      </c>
    </row>
    <row r="53" spans="2:15">
      <c r="B53" s="923"/>
      <c r="C53" s="924">
        <v>4</v>
      </c>
      <c r="D53" s="931" t="s">
        <v>104</v>
      </c>
      <c r="E53" s="907" t="s">
        <v>105</v>
      </c>
      <c r="F53" s="908">
        <v>24</v>
      </c>
      <c r="G53" s="908">
        <v>806</v>
      </c>
      <c r="H53" s="908">
        <v>403</v>
      </c>
      <c r="I53" s="909">
        <v>50</v>
      </c>
      <c r="J53" s="908">
        <v>366</v>
      </c>
      <c r="K53" s="908">
        <v>230</v>
      </c>
      <c r="L53" s="932"/>
      <c r="O53" s="216" t="s">
        <v>106</v>
      </c>
    </row>
    <row r="54" spans="2:15">
      <c r="B54" s="923"/>
      <c r="C54" s="924">
        <v>5</v>
      </c>
      <c r="D54" s="931" t="s">
        <v>106</v>
      </c>
      <c r="E54" s="907" t="s">
        <v>103</v>
      </c>
      <c r="F54" s="908">
        <v>28</v>
      </c>
      <c r="G54" s="908">
        <v>1343</v>
      </c>
      <c r="H54" s="908">
        <v>1021</v>
      </c>
      <c r="I54" s="909">
        <v>24</v>
      </c>
      <c r="J54" s="908">
        <v>833</v>
      </c>
      <c r="K54" s="908">
        <v>340</v>
      </c>
      <c r="L54" s="932"/>
      <c r="O54" s="218" t="s">
        <v>107</v>
      </c>
    </row>
    <row r="55" spans="2:15">
      <c r="B55" s="923"/>
      <c r="C55" s="924">
        <v>6</v>
      </c>
      <c r="D55" s="931" t="s">
        <v>107</v>
      </c>
      <c r="E55" s="907" t="s">
        <v>103</v>
      </c>
      <c r="F55" s="908">
        <v>40</v>
      </c>
      <c r="G55" s="908">
        <v>2100</v>
      </c>
      <c r="H55" s="908">
        <v>1155</v>
      </c>
      <c r="I55" s="909">
        <v>45</v>
      </c>
      <c r="J55" s="908">
        <v>600</v>
      </c>
      <c r="K55" s="908">
        <v>310</v>
      </c>
      <c r="L55" s="932"/>
      <c r="O55" s="216" t="s">
        <v>109</v>
      </c>
    </row>
    <row r="56" spans="2:15">
      <c r="B56" s="923"/>
      <c r="C56" s="924">
        <v>7</v>
      </c>
      <c r="D56" s="931" t="s">
        <v>109</v>
      </c>
      <c r="E56" s="907" t="s">
        <v>110</v>
      </c>
      <c r="F56" s="908">
        <v>32</v>
      </c>
      <c r="G56" s="908">
        <v>1364</v>
      </c>
      <c r="H56" s="908">
        <v>682</v>
      </c>
      <c r="I56" s="909">
        <v>50</v>
      </c>
      <c r="J56" s="908">
        <v>305</v>
      </c>
      <c r="K56" s="908">
        <v>270</v>
      </c>
      <c r="L56" s="932"/>
      <c r="O56" s="216" t="s">
        <v>111</v>
      </c>
    </row>
    <row r="57" spans="2:15">
      <c r="B57" s="923"/>
      <c r="C57" s="924">
        <v>8</v>
      </c>
      <c r="D57" s="931" t="s">
        <v>111</v>
      </c>
      <c r="E57" s="907" t="s">
        <v>99</v>
      </c>
      <c r="F57" s="908">
        <v>36</v>
      </c>
      <c r="G57" s="908">
        <v>2467</v>
      </c>
      <c r="H57" s="908">
        <v>1135</v>
      </c>
      <c r="I57" s="909">
        <v>54</v>
      </c>
      <c r="J57" s="908">
        <v>324</v>
      </c>
      <c r="K57" s="908">
        <v>400</v>
      </c>
      <c r="L57" s="932"/>
      <c r="O57" s="216" t="s">
        <v>112</v>
      </c>
    </row>
    <row r="58" spans="2:15">
      <c r="B58" s="923"/>
      <c r="C58" s="924">
        <v>9</v>
      </c>
      <c r="D58" s="931" t="s">
        <v>112</v>
      </c>
      <c r="E58" s="907" t="s">
        <v>103</v>
      </c>
      <c r="F58" s="908">
        <v>56</v>
      </c>
      <c r="G58" s="908">
        <v>5950</v>
      </c>
      <c r="H58" s="908">
        <v>5950</v>
      </c>
      <c r="I58" s="909">
        <v>0</v>
      </c>
      <c r="J58" s="908">
        <v>473</v>
      </c>
      <c r="K58" s="908">
        <v>600</v>
      </c>
      <c r="L58" s="932"/>
      <c r="O58" s="218" t="s">
        <v>113</v>
      </c>
    </row>
    <row r="59" spans="2:15">
      <c r="B59" s="923"/>
      <c r="C59" s="924">
        <v>10</v>
      </c>
      <c r="D59" s="931" t="s">
        <v>113</v>
      </c>
      <c r="E59" s="907" t="s">
        <v>103</v>
      </c>
      <c r="F59" s="908" t="s">
        <v>20</v>
      </c>
      <c r="G59" s="908">
        <v>2181</v>
      </c>
      <c r="H59" s="908">
        <v>2159</v>
      </c>
      <c r="I59" s="909">
        <v>1</v>
      </c>
      <c r="J59" s="908">
        <v>380</v>
      </c>
      <c r="K59" s="908">
        <v>440</v>
      </c>
      <c r="L59" s="932"/>
      <c r="O59" s="216" t="s">
        <v>114</v>
      </c>
    </row>
    <row r="60" spans="2:15">
      <c r="B60" s="923"/>
      <c r="C60" s="924">
        <v>11</v>
      </c>
      <c r="D60" s="931" t="s">
        <v>114</v>
      </c>
      <c r="E60" s="907" t="s">
        <v>99</v>
      </c>
      <c r="F60" s="908">
        <v>40</v>
      </c>
      <c r="G60" s="908">
        <v>707</v>
      </c>
      <c r="H60" s="908">
        <v>481</v>
      </c>
      <c r="I60" s="909">
        <v>32</v>
      </c>
      <c r="J60" s="908">
        <v>381</v>
      </c>
      <c r="K60" s="908">
        <v>400</v>
      </c>
      <c r="L60" s="932"/>
      <c r="O60" s="216" t="s">
        <v>115</v>
      </c>
    </row>
    <row r="61" spans="2:15">
      <c r="B61" s="923"/>
      <c r="C61" s="924">
        <v>12</v>
      </c>
      <c r="D61" s="931" t="s">
        <v>115</v>
      </c>
      <c r="E61" s="907" t="s">
        <v>105</v>
      </c>
      <c r="F61" s="908">
        <v>20</v>
      </c>
      <c r="G61" s="908">
        <v>2240</v>
      </c>
      <c r="H61" s="908">
        <v>1411</v>
      </c>
      <c r="I61" s="909">
        <v>37</v>
      </c>
      <c r="J61" s="908">
        <v>443</v>
      </c>
      <c r="K61" s="908">
        <v>320</v>
      </c>
      <c r="L61" s="932"/>
      <c r="O61" s="216" t="s">
        <v>116</v>
      </c>
    </row>
    <row r="62" spans="2:15">
      <c r="B62" s="923"/>
      <c r="C62" s="924">
        <v>13</v>
      </c>
      <c r="D62" s="931" t="s">
        <v>116</v>
      </c>
      <c r="E62" s="907" t="s">
        <v>117</v>
      </c>
      <c r="F62" s="908">
        <v>28</v>
      </c>
      <c r="G62" s="908">
        <v>641</v>
      </c>
      <c r="H62" s="908">
        <v>314</v>
      </c>
      <c r="I62" s="909">
        <v>51</v>
      </c>
      <c r="J62" s="908">
        <v>805</v>
      </c>
      <c r="K62" s="908">
        <v>190</v>
      </c>
      <c r="L62" s="932"/>
      <c r="O62" s="216" t="s">
        <v>118</v>
      </c>
    </row>
    <row r="63" spans="2:15">
      <c r="B63" s="923"/>
      <c r="C63" s="924">
        <v>14</v>
      </c>
      <c r="D63" s="931" t="s">
        <v>118</v>
      </c>
      <c r="E63" s="907" t="s">
        <v>99</v>
      </c>
      <c r="F63" s="908">
        <v>24</v>
      </c>
      <c r="G63" s="908">
        <v>931</v>
      </c>
      <c r="H63" s="908">
        <v>484</v>
      </c>
      <c r="I63" s="909">
        <v>48</v>
      </c>
      <c r="J63" s="908">
        <v>380</v>
      </c>
      <c r="K63" s="908">
        <v>310</v>
      </c>
      <c r="L63" s="932"/>
      <c r="O63" s="216" t="s">
        <v>119</v>
      </c>
    </row>
    <row r="64" spans="2:15">
      <c r="B64" s="923"/>
      <c r="C64" s="924">
        <v>15</v>
      </c>
      <c r="D64" s="931" t="s">
        <v>119</v>
      </c>
      <c r="E64" s="907" t="s">
        <v>103</v>
      </c>
      <c r="F64" s="908">
        <v>28</v>
      </c>
      <c r="G64" s="908">
        <v>688</v>
      </c>
      <c r="H64" s="908">
        <v>344</v>
      </c>
      <c r="I64" s="909">
        <v>50</v>
      </c>
      <c r="J64" s="908">
        <v>455</v>
      </c>
      <c r="K64" s="908">
        <v>200</v>
      </c>
      <c r="L64" s="932"/>
      <c r="O64" s="216" t="s">
        <v>120</v>
      </c>
    </row>
    <row r="65" spans="2:15">
      <c r="B65" s="923"/>
      <c r="C65" s="924">
        <v>16</v>
      </c>
      <c r="D65" s="931" t="s">
        <v>120</v>
      </c>
      <c r="E65" s="907" t="s">
        <v>101</v>
      </c>
      <c r="F65" s="908">
        <v>20</v>
      </c>
      <c r="G65" s="908">
        <v>596</v>
      </c>
      <c r="H65" s="908">
        <v>298</v>
      </c>
      <c r="I65" s="909">
        <v>50</v>
      </c>
      <c r="J65" s="908">
        <v>295</v>
      </c>
      <c r="K65" s="908">
        <v>140</v>
      </c>
      <c r="L65" s="932"/>
      <c r="O65" s="216" t="s">
        <v>121</v>
      </c>
    </row>
    <row r="66" spans="2:15">
      <c r="B66" s="923"/>
      <c r="C66" s="924">
        <v>17</v>
      </c>
      <c r="D66" s="931" t="s">
        <v>121</v>
      </c>
      <c r="E66" s="907" t="s">
        <v>105</v>
      </c>
      <c r="F66" s="908">
        <v>24</v>
      </c>
      <c r="G66" s="934">
        <v>324</v>
      </c>
      <c r="H66" s="934">
        <v>221</v>
      </c>
      <c r="I66" s="909">
        <v>31.9</v>
      </c>
      <c r="J66" s="934">
        <v>280</v>
      </c>
      <c r="K66" s="934">
        <v>160</v>
      </c>
      <c r="L66" s="936" t="s">
        <v>165</v>
      </c>
      <c r="O66" s="216" t="s">
        <v>122</v>
      </c>
    </row>
    <row r="67" spans="2:15">
      <c r="B67" s="923"/>
      <c r="C67" s="924">
        <v>18</v>
      </c>
      <c r="D67" s="931" t="s">
        <v>122</v>
      </c>
      <c r="E67" s="907" t="s">
        <v>110</v>
      </c>
      <c r="F67" s="908">
        <v>24</v>
      </c>
      <c r="G67" s="908">
        <v>840</v>
      </c>
      <c r="H67" s="908">
        <v>764</v>
      </c>
      <c r="I67" s="909">
        <v>9</v>
      </c>
      <c r="J67" s="908">
        <v>379</v>
      </c>
      <c r="K67" s="908">
        <v>560</v>
      </c>
      <c r="L67" s="932"/>
      <c r="O67" s="216" t="s">
        <v>123</v>
      </c>
    </row>
    <row r="68" spans="2:15" ht="15" customHeight="1">
      <c r="B68" s="923"/>
      <c r="C68" s="924">
        <v>19</v>
      </c>
      <c r="D68" s="931" t="s">
        <v>123</v>
      </c>
      <c r="E68" s="907" t="s">
        <v>124</v>
      </c>
      <c r="F68" s="908">
        <v>28</v>
      </c>
      <c r="G68" s="908">
        <v>450</v>
      </c>
      <c r="H68" s="909">
        <v>162</v>
      </c>
      <c r="I68" s="909">
        <v>64</v>
      </c>
      <c r="J68" s="909">
        <v>379</v>
      </c>
      <c r="K68" s="909">
        <v>330</v>
      </c>
      <c r="L68" s="936" t="s">
        <v>165</v>
      </c>
      <c r="O68" s="216" t="s">
        <v>125</v>
      </c>
    </row>
    <row r="69" spans="2:15">
      <c r="B69" s="923"/>
      <c r="C69" s="924">
        <v>20</v>
      </c>
      <c r="D69" s="931" t="s">
        <v>125</v>
      </c>
      <c r="E69" s="907" t="s">
        <v>126</v>
      </c>
      <c r="F69" s="908">
        <v>24</v>
      </c>
      <c r="G69" s="908">
        <v>583</v>
      </c>
      <c r="H69" s="909">
        <v>210</v>
      </c>
      <c r="I69" s="909">
        <v>64</v>
      </c>
      <c r="J69" s="909">
        <v>401</v>
      </c>
      <c r="K69" s="909">
        <v>180</v>
      </c>
      <c r="L69" s="932"/>
      <c r="N69" s="167"/>
      <c r="O69" s="216" t="s">
        <v>127</v>
      </c>
    </row>
    <row r="70" spans="2:15">
      <c r="B70" s="923"/>
      <c r="C70" s="924">
        <v>21</v>
      </c>
      <c r="D70" s="931" t="s">
        <v>127</v>
      </c>
      <c r="E70" s="907" t="s">
        <v>101</v>
      </c>
      <c r="F70" s="908">
        <v>36</v>
      </c>
      <c r="G70" s="908">
        <v>3875</v>
      </c>
      <c r="H70" s="908">
        <v>1085</v>
      </c>
      <c r="I70" s="909">
        <v>72</v>
      </c>
      <c r="J70" s="908">
        <v>307</v>
      </c>
      <c r="K70" s="908">
        <v>225</v>
      </c>
      <c r="L70" s="932"/>
      <c r="O70" s="216" t="s">
        <v>128</v>
      </c>
    </row>
    <row r="71" spans="2:15">
      <c r="B71" s="923"/>
      <c r="C71" s="924">
        <v>22</v>
      </c>
      <c r="D71" s="931" t="s">
        <v>128</v>
      </c>
      <c r="E71" s="907" t="s">
        <v>105</v>
      </c>
      <c r="F71" s="908">
        <v>24</v>
      </c>
      <c r="G71" s="908">
        <v>821</v>
      </c>
      <c r="H71" s="908">
        <v>238</v>
      </c>
      <c r="I71" s="909">
        <v>71</v>
      </c>
      <c r="J71" s="908">
        <v>285</v>
      </c>
      <c r="K71" s="908">
        <v>190</v>
      </c>
      <c r="L71" s="932"/>
      <c r="O71" s="216" t="s">
        <v>129</v>
      </c>
    </row>
    <row r="72" spans="2:15" ht="15.6">
      <c r="B72" s="923"/>
      <c r="C72" s="924">
        <v>23</v>
      </c>
      <c r="D72" s="931" t="s">
        <v>129</v>
      </c>
      <c r="E72" s="907" t="s">
        <v>99</v>
      </c>
      <c r="F72" s="908">
        <v>20</v>
      </c>
      <c r="G72" s="908">
        <v>735</v>
      </c>
      <c r="H72" s="908">
        <v>353</v>
      </c>
      <c r="I72" s="909">
        <v>52</v>
      </c>
      <c r="J72" s="908">
        <v>325</v>
      </c>
      <c r="K72" s="908">
        <v>160</v>
      </c>
      <c r="L72" s="936" t="s">
        <v>165</v>
      </c>
      <c r="M72" s="168"/>
      <c r="O72" s="216" t="s">
        <v>130</v>
      </c>
    </row>
    <row r="73" spans="2:15">
      <c r="B73" s="923"/>
      <c r="C73" s="924">
        <v>24</v>
      </c>
      <c r="D73" s="931" t="s">
        <v>130</v>
      </c>
      <c r="E73" s="907" t="s">
        <v>105</v>
      </c>
      <c r="F73" s="908">
        <v>16</v>
      </c>
      <c r="G73" s="908">
        <v>919</v>
      </c>
      <c r="H73" s="908">
        <v>340</v>
      </c>
      <c r="I73" s="909">
        <v>63</v>
      </c>
      <c r="J73" s="908">
        <v>379</v>
      </c>
      <c r="K73" s="908">
        <v>210</v>
      </c>
      <c r="L73" s="932"/>
      <c r="O73" s="216" t="s">
        <v>131</v>
      </c>
    </row>
    <row r="74" spans="2:15">
      <c r="B74" s="923"/>
      <c r="C74" s="924">
        <v>25</v>
      </c>
      <c r="D74" s="931" t="s">
        <v>131</v>
      </c>
      <c r="E74" s="907" t="s">
        <v>110</v>
      </c>
      <c r="F74" s="908">
        <v>20</v>
      </c>
      <c r="G74" s="908">
        <v>744</v>
      </c>
      <c r="H74" s="908">
        <v>409</v>
      </c>
      <c r="I74" s="909">
        <v>45</v>
      </c>
      <c r="J74" s="908">
        <v>350</v>
      </c>
      <c r="K74" s="908">
        <v>360</v>
      </c>
      <c r="L74" s="932"/>
      <c r="O74" s="216" t="s">
        <v>132</v>
      </c>
    </row>
    <row r="75" spans="2:15" ht="26.45">
      <c r="B75" s="923"/>
      <c r="C75" s="924">
        <v>26</v>
      </c>
      <c r="D75" s="931" t="s">
        <v>132</v>
      </c>
      <c r="E75" s="907" t="s">
        <v>133</v>
      </c>
      <c r="F75" s="908">
        <v>24</v>
      </c>
      <c r="G75" s="908">
        <v>900</v>
      </c>
      <c r="H75" s="908">
        <v>333</v>
      </c>
      <c r="I75" s="909">
        <v>63</v>
      </c>
      <c r="J75" s="908">
        <v>300</v>
      </c>
      <c r="K75" s="908">
        <v>182</v>
      </c>
      <c r="L75" s="932"/>
      <c r="O75" s="218" t="s">
        <v>134</v>
      </c>
    </row>
    <row r="76" spans="2:15">
      <c r="B76" s="923"/>
      <c r="C76" s="924">
        <v>27</v>
      </c>
      <c r="D76" s="931" t="s">
        <v>134</v>
      </c>
      <c r="E76" s="907" t="s">
        <v>135</v>
      </c>
      <c r="F76" s="908">
        <v>20</v>
      </c>
      <c r="G76" s="908">
        <v>850</v>
      </c>
      <c r="H76" s="908">
        <v>340</v>
      </c>
      <c r="I76" s="909">
        <v>60</v>
      </c>
      <c r="J76" s="908">
        <v>1666</v>
      </c>
      <c r="K76" s="908">
        <v>462</v>
      </c>
      <c r="L76" s="932"/>
      <c r="O76" s="216" t="s">
        <v>136</v>
      </c>
    </row>
    <row r="77" spans="2:15" ht="15.6" thickBot="1">
      <c r="B77" s="923"/>
      <c r="C77" s="924">
        <v>28</v>
      </c>
      <c r="D77" s="931" t="s">
        <v>136</v>
      </c>
      <c r="E77" s="907" t="s">
        <v>105</v>
      </c>
      <c r="F77" s="908">
        <v>40</v>
      </c>
      <c r="G77" s="908">
        <v>2104</v>
      </c>
      <c r="H77" s="908">
        <v>1052</v>
      </c>
      <c r="I77" s="909">
        <v>50</v>
      </c>
      <c r="J77" s="908">
        <v>280</v>
      </c>
      <c r="K77" s="908">
        <v>250</v>
      </c>
      <c r="L77" s="932"/>
      <c r="O77" s="223" t="s">
        <v>137</v>
      </c>
    </row>
    <row r="78" spans="2:15" ht="15.6" thickBot="1">
      <c r="B78" s="923"/>
      <c r="C78" s="926">
        <v>29</v>
      </c>
      <c r="D78" s="937" t="s">
        <v>137</v>
      </c>
      <c r="E78" s="914" t="s">
        <v>110</v>
      </c>
      <c r="F78" s="915">
        <v>40</v>
      </c>
      <c r="G78" s="915">
        <v>2293</v>
      </c>
      <c r="H78" s="915">
        <v>917</v>
      </c>
      <c r="I78" s="916">
        <v>60</v>
      </c>
      <c r="J78" s="915">
        <v>348</v>
      </c>
      <c r="K78" s="915">
        <v>260</v>
      </c>
      <c r="L78" s="938"/>
    </row>
    <row r="79" spans="2:15" ht="15.6" thickBot="1">
      <c r="D79" s="919"/>
      <c r="E79" s="920"/>
      <c r="F79" s="920"/>
      <c r="G79" s="939">
        <f>SUM(G50:G78)</f>
        <v>40789</v>
      </c>
      <c r="H79" s="939">
        <f>SUM(H50:H78)</f>
        <v>24605</v>
      </c>
      <c r="I79" s="940"/>
      <c r="J79" s="940"/>
      <c r="K79" s="940"/>
    </row>
    <row r="80" spans="2:15" ht="15.6" thickBot="1">
      <c r="E80" s="1234" t="s">
        <v>157</v>
      </c>
      <c r="F80" s="1379"/>
      <c r="G80" s="162"/>
      <c r="H80" s="922">
        <f>H79*0.98</f>
        <v>24112.899999999998</v>
      </c>
      <c r="I80" s="162"/>
      <c r="J80" s="162"/>
      <c r="K80" s="162"/>
    </row>
    <row r="81" spans="2:12" ht="15.6" thickBot="1">
      <c r="E81" s="162"/>
      <c r="F81" s="162"/>
      <c r="G81" s="162"/>
      <c r="H81" s="162"/>
      <c r="I81" s="162"/>
      <c r="J81" s="162"/>
      <c r="K81" s="162"/>
    </row>
    <row r="82" spans="2:12" ht="25.5" customHeight="1" thickBot="1">
      <c r="D82" s="1235" t="s">
        <v>166</v>
      </c>
      <c r="E82" s="1380"/>
      <c r="F82" s="1380"/>
      <c r="G82" s="1380"/>
      <c r="H82" s="1380"/>
      <c r="I82" s="1380"/>
      <c r="J82" s="1380"/>
      <c r="K82" s="1380"/>
      <c r="L82" s="1381"/>
    </row>
    <row r="83" spans="2:12" ht="27" thickBot="1">
      <c r="B83" s="894"/>
      <c r="C83" s="895" t="s">
        <v>156</v>
      </c>
      <c r="D83" s="895" t="s">
        <v>31</v>
      </c>
      <c r="E83" s="896" t="s">
        <v>32</v>
      </c>
      <c r="F83" s="896" t="s">
        <v>33</v>
      </c>
      <c r="G83" s="896" t="s">
        <v>34</v>
      </c>
      <c r="H83" s="896" t="s">
        <v>35</v>
      </c>
      <c r="I83" s="896" t="s">
        <v>37</v>
      </c>
      <c r="J83" s="897" t="s">
        <v>38</v>
      </c>
      <c r="K83" s="897" t="s">
        <v>39</v>
      </c>
      <c r="L83" s="941" t="s">
        <v>40</v>
      </c>
    </row>
    <row r="84" spans="2:12" ht="15.6">
      <c r="B84" s="923"/>
      <c r="C84" s="924">
        <v>1</v>
      </c>
      <c r="D84" s="942" t="s">
        <v>139</v>
      </c>
      <c r="E84" s="943" t="s">
        <v>140</v>
      </c>
      <c r="F84" s="902">
        <v>20</v>
      </c>
      <c r="G84" s="169">
        <v>529</v>
      </c>
      <c r="H84" s="902">
        <v>471</v>
      </c>
      <c r="I84" s="904">
        <v>0.11</v>
      </c>
      <c r="J84" s="170">
        <v>300</v>
      </c>
      <c r="K84" s="902">
        <v>280</v>
      </c>
      <c r="L84" s="905" t="s">
        <v>167</v>
      </c>
    </row>
    <row r="85" spans="2:12" ht="15.6">
      <c r="B85" s="923"/>
      <c r="C85" s="924">
        <v>2</v>
      </c>
      <c r="D85" s="944" t="s">
        <v>142</v>
      </c>
      <c r="E85" s="945" t="s">
        <v>143</v>
      </c>
      <c r="F85" s="908">
        <v>24</v>
      </c>
      <c r="G85" s="169">
        <v>457</v>
      </c>
      <c r="H85" s="908">
        <v>434</v>
      </c>
      <c r="I85" s="910">
        <v>0.05</v>
      </c>
      <c r="J85" s="170">
        <v>457</v>
      </c>
      <c r="K85" s="902">
        <v>280</v>
      </c>
      <c r="L85" s="946" t="s">
        <v>167</v>
      </c>
    </row>
    <row r="86" spans="2:12" ht="15.6">
      <c r="B86" s="923"/>
      <c r="C86" s="924">
        <v>3</v>
      </c>
      <c r="D86" s="944" t="s">
        <v>144</v>
      </c>
      <c r="E86" s="945" t="s">
        <v>140</v>
      </c>
      <c r="F86" s="908">
        <v>36</v>
      </c>
      <c r="G86" s="169">
        <v>1758</v>
      </c>
      <c r="H86" s="908">
        <v>1406</v>
      </c>
      <c r="I86" s="910">
        <v>0.2</v>
      </c>
      <c r="J86" s="170">
        <v>1173</v>
      </c>
      <c r="K86" s="902">
        <v>860</v>
      </c>
      <c r="L86" s="946" t="s">
        <v>167</v>
      </c>
    </row>
    <row r="87" spans="2:12" ht="16.149999999999999" thickBot="1">
      <c r="B87" s="923"/>
      <c r="C87" s="926">
        <v>4</v>
      </c>
      <c r="D87" s="947" t="s">
        <v>145</v>
      </c>
      <c r="E87" s="948" t="s">
        <v>146</v>
      </c>
      <c r="F87" s="915">
        <v>36</v>
      </c>
      <c r="G87" s="169">
        <v>1850</v>
      </c>
      <c r="H87" s="915">
        <v>1739</v>
      </c>
      <c r="I87" s="917">
        <v>0.06</v>
      </c>
      <c r="J87" s="170">
        <v>380</v>
      </c>
      <c r="K87" s="902">
        <v>340</v>
      </c>
      <c r="L87" s="949" t="s">
        <v>167</v>
      </c>
    </row>
    <row r="88" spans="2:12" ht="19.5" customHeight="1" thickBot="1">
      <c r="D88" s="919"/>
      <c r="E88" s="920"/>
      <c r="F88" s="920"/>
      <c r="G88" s="939">
        <f>SUM(G84:G87)</f>
        <v>4594</v>
      </c>
      <c r="H88" s="939">
        <f>SUM(H84:H87)</f>
        <v>4050</v>
      </c>
      <c r="I88" s="166"/>
      <c r="J88" s="166"/>
      <c r="K88" s="166"/>
    </row>
    <row r="89" spans="2:12" ht="15.6" thickBot="1">
      <c r="E89" s="1234" t="s">
        <v>168</v>
      </c>
      <c r="F89" s="1379"/>
      <c r="G89" s="162"/>
      <c r="H89" s="922">
        <f>H88*1</f>
        <v>4050</v>
      </c>
      <c r="I89" s="162"/>
      <c r="J89" s="162"/>
      <c r="K89" s="162"/>
    </row>
    <row r="90" spans="2:12">
      <c r="E90" s="162"/>
      <c r="F90" s="162"/>
      <c r="G90" s="162"/>
      <c r="H90" s="162"/>
      <c r="I90" s="162"/>
      <c r="J90" s="162"/>
      <c r="K90" s="162"/>
    </row>
    <row r="91" spans="2:12">
      <c r="E91" s="162"/>
      <c r="F91" s="162"/>
      <c r="G91" s="162"/>
      <c r="H91" s="162"/>
      <c r="I91" s="162"/>
      <c r="J91" s="162"/>
      <c r="K91" s="162"/>
    </row>
    <row r="92" spans="2:12">
      <c r="E92" s="162"/>
      <c r="F92" s="162"/>
      <c r="G92" s="162"/>
      <c r="H92" s="162"/>
      <c r="I92" s="162"/>
      <c r="J92" s="162"/>
      <c r="K92" s="162"/>
    </row>
    <row r="93" spans="2:12">
      <c r="E93" s="162"/>
      <c r="F93" s="162"/>
      <c r="G93" s="162"/>
      <c r="H93" s="162"/>
      <c r="I93" s="162"/>
      <c r="J93" s="162"/>
      <c r="K93" s="162"/>
    </row>
    <row r="94" spans="2:12">
      <c r="E94" s="162"/>
      <c r="F94" s="162"/>
      <c r="G94" s="162"/>
      <c r="H94" s="162"/>
      <c r="I94" s="162"/>
      <c r="J94" s="162"/>
      <c r="K94" s="162"/>
    </row>
    <row r="95" spans="2:12">
      <c r="E95" s="162"/>
      <c r="F95" s="162"/>
      <c r="G95" s="162"/>
      <c r="H95" s="162"/>
      <c r="I95" s="162"/>
      <c r="J95" s="162"/>
      <c r="K95" s="162"/>
    </row>
    <row r="96" spans="2:12">
      <c r="E96" s="162"/>
      <c r="F96" s="162"/>
      <c r="G96" s="162"/>
      <c r="H96" s="162"/>
      <c r="I96" s="162"/>
      <c r="J96" s="162"/>
      <c r="K96" s="162"/>
    </row>
    <row r="97" spans="5:11">
      <c r="E97" s="162"/>
      <c r="F97" s="162"/>
      <c r="G97" s="162"/>
      <c r="H97" s="162"/>
      <c r="I97" s="162"/>
      <c r="J97" s="162"/>
      <c r="K97" s="162"/>
    </row>
    <row r="98" spans="5:11">
      <c r="E98" s="162"/>
      <c r="F98" s="162"/>
      <c r="G98" s="162"/>
      <c r="H98" s="162"/>
      <c r="I98" s="162"/>
      <c r="J98" s="162"/>
      <c r="K98" s="162"/>
    </row>
    <row r="99" spans="5:11">
      <c r="E99" s="162"/>
      <c r="F99" s="162"/>
      <c r="G99" s="162"/>
      <c r="H99" s="162"/>
      <c r="I99" s="162"/>
      <c r="J99" s="162"/>
      <c r="K99" s="162"/>
    </row>
    <row r="100" spans="5:11">
      <c r="E100" s="162"/>
      <c r="F100" s="162"/>
      <c r="G100" s="162"/>
      <c r="H100" s="162"/>
      <c r="I100" s="162"/>
      <c r="J100" s="162"/>
      <c r="K100" s="162"/>
    </row>
    <row r="101" spans="5:11">
      <c r="E101" s="162"/>
      <c r="F101" s="162"/>
      <c r="G101" s="162"/>
      <c r="H101" s="162"/>
      <c r="I101" s="162"/>
      <c r="J101" s="162"/>
      <c r="K101" s="162"/>
    </row>
    <row r="102" spans="5:11">
      <c r="E102" s="162"/>
      <c r="F102" s="162"/>
      <c r="G102" s="162"/>
      <c r="H102" s="162"/>
      <c r="I102" s="162"/>
      <c r="J102" s="162"/>
      <c r="K102" s="162"/>
    </row>
    <row r="103" spans="5:11">
      <c r="E103" s="162"/>
      <c r="F103" s="162"/>
      <c r="G103" s="162"/>
      <c r="H103" s="162"/>
      <c r="I103" s="162"/>
      <c r="J103" s="162"/>
      <c r="K103" s="162"/>
    </row>
    <row r="104" spans="5:11">
      <c r="E104" s="162"/>
      <c r="F104" s="162"/>
      <c r="G104" s="162"/>
      <c r="H104" s="162"/>
      <c r="I104" s="162"/>
      <c r="J104" s="162"/>
      <c r="K104" s="162"/>
    </row>
    <row r="105" spans="5:11">
      <c r="E105" s="162"/>
      <c r="F105" s="162"/>
      <c r="G105" s="162"/>
      <c r="H105" s="162"/>
      <c r="I105" s="162"/>
      <c r="J105" s="162"/>
      <c r="K105" s="162"/>
    </row>
    <row r="106" spans="5:11">
      <c r="E106" s="162"/>
      <c r="F106" s="162"/>
      <c r="G106" s="162"/>
      <c r="H106" s="162"/>
      <c r="I106" s="162"/>
      <c r="J106" s="162"/>
      <c r="K106" s="162"/>
    </row>
    <row r="107" spans="5:11">
      <c r="E107" s="162"/>
      <c r="F107" s="162"/>
      <c r="G107" s="162"/>
      <c r="H107" s="162"/>
      <c r="I107" s="162"/>
      <c r="J107" s="162"/>
      <c r="K107" s="162"/>
    </row>
    <row r="108" spans="5:11">
      <c r="E108" s="162"/>
      <c r="F108" s="162"/>
      <c r="G108" s="162"/>
      <c r="H108" s="162"/>
      <c r="I108" s="162"/>
      <c r="J108" s="162"/>
      <c r="K108" s="162"/>
    </row>
    <row r="109" spans="5:11">
      <c r="E109" s="162"/>
      <c r="F109" s="162"/>
      <c r="G109" s="162"/>
      <c r="H109" s="162"/>
      <c r="I109" s="162"/>
      <c r="J109" s="162"/>
      <c r="K109" s="162"/>
    </row>
    <row r="110" spans="5:11">
      <c r="E110" s="162"/>
      <c r="F110" s="162"/>
      <c r="G110" s="162"/>
      <c r="H110" s="162"/>
      <c r="I110" s="162"/>
      <c r="J110" s="162"/>
      <c r="K110" s="162"/>
    </row>
    <row r="111" spans="5:11">
      <c r="E111" s="162"/>
      <c r="F111" s="162"/>
      <c r="G111" s="162"/>
      <c r="H111" s="162"/>
      <c r="I111" s="162"/>
      <c r="J111" s="162"/>
      <c r="K111" s="162"/>
    </row>
    <row r="112" spans="5:11">
      <c r="E112" s="162"/>
      <c r="F112" s="162"/>
      <c r="G112" s="162"/>
      <c r="H112" s="162"/>
      <c r="I112" s="162"/>
      <c r="J112" s="162"/>
      <c r="K112" s="162"/>
    </row>
    <row r="113" spans="5:11">
      <c r="E113" s="162"/>
      <c r="F113" s="162"/>
      <c r="G113" s="162"/>
      <c r="H113" s="162"/>
      <c r="I113" s="162"/>
      <c r="J113" s="162"/>
      <c r="K113" s="162"/>
    </row>
    <row r="114" spans="5:11">
      <c r="E114" s="162"/>
      <c r="F114" s="162"/>
      <c r="G114" s="162"/>
      <c r="H114" s="162"/>
      <c r="I114" s="162"/>
      <c r="J114" s="162"/>
      <c r="K114" s="162"/>
    </row>
    <row r="115" spans="5:11">
      <c r="E115" s="162"/>
      <c r="F115" s="162"/>
      <c r="G115" s="162"/>
      <c r="H115" s="162"/>
      <c r="I115" s="162"/>
      <c r="J115" s="162"/>
      <c r="K115" s="162"/>
    </row>
    <row r="116" spans="5:11">
      <c r="E116" s="162"/>
      <c r="F116" s="162"/>
      <c r="G116" s="162"/>
      <c r="H116" s="162"/>
      <c r="I116" s="162"/>
      <c r="J116" s="162"/>
      <c r="K116" s="162"/>
    </row>
    <row r="117" spans="5:11">
      <c r="E117" s="162"/>
      <c r="F117" s="162"/>
      <c r="G117" s="162"/>
      <c r="H117" s="162"/>
      <c r="I117" s="162"/>
      <c r="J117" s="162"/>
      <c r="K117" s="162"/>
    </row>
    <row r="118" spans="5:11">
      <c r="E118" s="162"/>
      <c r="F118" s="162"/>
      <c r="G118" s="162"/>
      <c r="H118" s="162"/>
      <c r="I118" s="162"/>
      <c r="J118" s="162"/>
      <c r="K118" s="162"/>
    </row>
    <row r="119" spans="5:11">
      <c r="E119" s="162"/>
      <c r="F119" s="162"/>
      <c r="G119" s="162"/>
      <c r="H119" s="162"/>
      <c r="I119" s="162"/>
      <c r="J119" s="162"/>
      <c r="K119" s="162"/>
    </row>
    <row r="120" spans="5:11">
      <c r="E120" s="162"/>
      <c r="F120" s="162"/>
      <c r="G120" s="162"/>
      <c r="H120" s="162"/>
      <c r="I120" s="162"/>
      <c r="J120" s="162"/>
      <c r="K120" s="162"/>
    </row>
    <row r="121" spans="5:11">
      <c r="E121" s="162"/>
      <c r="F121" s="162"/>
      <c r="G121" s="162"/>
      <c r="H121" s="162"/>
      <c r="I121" s="162"/>
      <c r="J121" s="162"/>
      <c r="K121" s="162"/>
    </row>
    <row r="122" spans="5:11">
      <c r="E122" s="162"/>
      <c r="F122" s="162"/>
      <c r="G122" s="162"/>
      <c r="H122" s="162"/>
      <c r="I122" s="162"/>
      <c r="J122" s="162"/>
      <c r="K122" s="162"/>
    </row>
    <row r="123" spans="5:11">
      <c r="E123" s="162"/>
      <c r="F123" s="162"/>
      <c r="G123" s="162"/>
      <c r="H123" s="162"/>
      <c r="I123" s="162"/>
      <c r="J123" s="162"/>
      <c r="K123" s="162"/>
    </row>
    <row r="124" spans="5:11">
      <c r="E124" s="162"/>
      <c r="F124" s="162"/>
      <c r="G124" s="162"/>
      <c r="H124" s="162"/>
      <c r="I124" s="162"/>
      <c r="J124" s="162"/>
      <c r="K124" s="162"/>
    </row>
    <row r="125" spans="5:11">
      <c r="E125" s="162"/>
      <c r="F125" s="162"/>
      <c r="G125" s="162"/>
      <c r="H125" s="162"/>
      <c r="I125" s="162"/>
      <c r="J125" s="162"/>
      <c r="K125" s="162"/>
    </row>
    <row r="126" spans="5:11">
      <c r="E126" s="162"/>
      <c r="F126" s="162"/>
      <c r="G126" s="162"/>
      <c r="H126" s="162"/>
      <c r="I126" s="162"/>
      <c r="J126" s="162"/>
      <c r="K126" s="162"/>
    </row>
    <row r="127" spans="5:11">
      <c r="E127" s="162"/>
      <c r="F127" s="162"/>
      <c r="G127" s="162"/>
      <c r="H127" s="162"/>
      <c r="I127" s="162"/>
      <c r="J127" s="162"/>
      <c r="K127" s="162"/>
    </row>
    <row r="128" spans="5:11">
      <c r="E128" s="162"/>
      <c r="F128" s="162"/>
      <c r="G128" s="162"/>
      <c r="H128" s="162"/>
      <c r="I128" s="162"/>
      <c r="J128" s="162"/>
      <c r="K128" s="162"/>
    </row>
    <row r="129" spans="5:11">
      <c r="E129" s="162"/>
      <c r="F129" s="162"/>
      <c r="G129" s="162"/>
      <c r="H129" s="162"/>
      <c r="I129" s="162"/>
      <c r="J129" s="162"/>
      <c r="K129" s="162"/>
    </row>
    <row r="130" spans="5:11">
      <c r="E130" s="162"/>
      <c r="F130" s="162"/>
      <c r="G130" s="162"/>
      <c r="H130" s="162"/>
      <c r="I130" s="162"/>
      <c r="J130" s="162"/>
      <c r="K130" s="162"/>
    </row>
    <row r="131" spans="5:11">
      <c r="E131" s="162"/>
      <c r="F131" s="162"/>
      <c r="G131" s="162"/>
      <c r="H131" s="162"/>
      <c r="I131" s="162"/>
      <c r="J131" s="162"/>
      <c r="K131" s="162"/>
    </row>
    <row r="132" spans="5:11">
      <c r="E132" s="162"/>
      <c r="F132" s="162"/>
      <c r="G132" s="162"/>
      <c r="H132" s="162"/>
      <c r="I132" s="162"/>
      <c r="J132" s="162"/>
      <c r="K132" s="162"/>
    </row>
    <row r="133" spans="5:11">
      <c r="E133" s="162"/>
      <c r="F133" s="162"/>
      <c r="G133" s="162"/>
      <c r="H133" s="162"/>
      <c r="I133" s="162"/>
      <c r="J133" s="162"/>
      <c r="K133" s="162"/>
    </row>
    <row r="134" spans="5:11">
      <c r="E134" s="162"/>
      <c r="F134" s="162"/>
      <c r="G134" s="162"/>
      <c r="H134" s="162"/>
      <c r="I134" s="162"/>
      <c r="J134" s="162"/>
      <c r="K134" s="162"/>
    </row>
    <row r="135" spans="5:11">
      <c r="E135" s="162"/>
      <c r="F135" s="162"/>
      <c r="G135" s="162"/>
      <c r="H135" s="162"/>
      <c r="I135" s="162"/>
      <c r="J135" s="162"/>
      <c r="K135" s="162"/>
    </row>
    <row r="136" spans="5:11">
      <c r="E136" s="162"/>
      <c r="F136" s="162"/>
      <c r="G136" s="162"/>
      <c r="H136" s="162"/>
      <c r="I136" s="162"/>
      <c r="J136" s="162"/>
      <c r="K136" s="162"/>
    </row>
    <row r="137" spans="5:11">
      <c r="E137" s="162"/>
      <c r="F137" s="162"/>
      <c r="G137" s="162"/>
      <c r="H137" s="162"/>
      <c r="I137" s="162"/>
      <c r="J137" s="162"/>
      <c r="K137" s="162"/>
    </row>
    <row r="138" spans="5:11">
      <c r="E138" s="162"/>
      <c r="F138" s="162"/>
      <c r="G138" s="162"/>
      <c r="H138" s="162"/>
      <c r="I138" s="162"/>
      <c r="J138" s="162"/>
      <c r="K138" s="162"/>
    </row>
    <row r="139" spans="5:11">
      <c r="E139" s="162"/>
      <c r="F139" s="162"/>
      <c r="G139" s="162"/>
      <c r="H139" s="162"/>
      <c r="I139" s="162"/>
      <c r="J139" s="162"/>
      <c r="K139" s="162"/>
    </row>
    <row r="140" spans="5:11">
      <c r="E140" s="162"/>
      <c r="F140" s="162"/>
      <c r="G140" s="162"/>
      <c r="H140" s="162"/>
      <c r="I140" s="162"/>
      <c r="J140" s="162"/>
      <c r="K140" s="162"/>
    </row>
    <row r="141" spans="5:11">
      <c r="E141" s="162"/>
      <c r="F141" s="162"/>
      <c r="G141" s="162"/>
      <c r="H141" s="162"/>
      <c r="I141" s="162"/>
      <c r="J141" s="162"/>
      <c r="K141" s="162"/>
    </row>
    <row r="142" spans="5:11">
      <c r="E142" s="162"/>
      <c r="F142" s="162"/>
      <c r="G142" s="162"/>
      <c r="H142" s="162"/>
      <c r="I142" s="162"/>
      <c r="J142" s="162"/>
      <c r="K142" s="162"/>
    </row>
    <row r="143" spans="5:11">
      <c r="E143" s="162"/>
      <c r="F143" s="162"/>
      <c r="G143" s="162"/>
      <c r="H143" s="162"/>
      <c r="I143" s="162"/>
      <c r="J143" s="162"/>
      <c r="K143" s="162"/>
    </row>
    <row r="144" spans="5:11">
      <c r="E144" s="162"/>
      <c r="F144" s="162"/>
      <c r="G144" s="162"/>
      <c r="H144" s="162"/>
      <c r="I144" s="162"/>
      <c r="J144" s="162"/>
      <c r="K144" s="162"/>
    </row>
    <row r="145" spans="5:11">
      <c r="E145" s="162"/>
      <c r="F145" s="162"/>
      <c r="G145" s="162"/>
      <c r="H145" s="162"/>
      <c r="I145" s="162"/>
      <c r="J145" s="162"/>
      <c r="K145" s="162"/>
    </row>
    <row r="146" spans="5:11">
      <c r="E146" s="162"/>
      <c r="F146" s="162"/>
      <c r="G146" s="162"/>
      <c r="H146" s="162"/>
      <c r="I146" s="162"/>
      <c r="J146" s="162"/>
      <c r="K146" s="162"/>
    </row>
    <row r="147" spans="5:11">
      <c r="E147" s="162"/>
      <c r="F147" s="162"/>
      <c r="G147" s="162"/>
      <c r="H147" s="162"/>
      <c r="I147" s="162"/>
      <c r="J147" s="162"/>
      <c r="K147" s="162"/>
    </row>
    <row r="148" spans="5:11">
      <c r="E148" s="162"/>
      <c r="F148" s="162"/>
      <c r="G148" s="162"/>
      <c r="H148" s="162"/>
      <c r="I148" s="162"/>
      <c r="J148" s="162"/>
      <c r="K148" s="162"/>
    </row>
    <row r="149" spans="5:11">
      <c r="E149" s="162"/>
      <c r="F149" s="162"/>
      <c r="G149" s="162"/>
      <c r="H149" s="162"/>
      <c r="I149" s="162"/>
      <c r="J149" s="162"/>
      <c r="K149" s="162"/>
    </row>
    <row r="150" spans="5:11">
      <c r="E150" s="162"/>
      <c r="F150" s="162"/>
      <c r="G150" s="162"/>
      <c r="H150" s="162"/>
      <c r="I150" s="162"/>
      <c r="J150" s="162"/>
      <c r="K150" s="162"/>
    </row>
    <row r="151" spans="5:11">
      <c r="E151" s="162"/>
      <c r="F151" s="162"/>
      <c r="G151" s="162"/>
      <c r="H151" s="162"/>
      <c r="I151" s="162"/>
      <c r="J151" s="162"/>
      <c r="K151" s="162"/>
    </row>
    <row r="152" spans="5:11">
      <c r="E152" s="162"/>
      <c r="F152" s="162"/>
      <c r="G152" s="162"/>
      <c r="H152" s="162"/>
      <c r="I152" s="162"/>
      <c r="J152" s="162"/>
      <c r="K152" s="162"/>
    </row>
    <row r="153" spans="5:11">
      <c r="E153" s="162"/>
      <c r="F153" s="162"/>
      <c r="G153" s="162"/>
      <c r="H153" s="162"/>
      <c r="I153" s="162"/>
      <c r="J153" s="162"/>
      <c r="K153" s="162"/>
    </row>
    <row r="154" spans="5:11">
      <c r="E154" s="162"/>
      <c r="F154" s="162"/>
      <c r="G154" s="162"/>
      <c r="H154" s="162"/>
      <c r="I154" s="162"/>
      <c r="J154" s="162"/>
      <c r="K154" s="162"/>
    </row>
    <row r="155" spans="5:11">
      <c r="E155" s="162"/>
      <c r="F155" s="162"/>
      <c r="G155" s="162"/>
      <c r="H155" s="162"/>
      <c r="I155" s="162"/>
      <c r="J155" s="162"/>
      <c r="K155" s="162"/>
    </row>
    <row r="156" spans="5:11">
      <c r="E156" s="162"/>
      <c r="F156" s="162"/>
      <c r="G156" s="162"/>
      <c r="H156" s="162"/>
      <c r="I156" s="162"/>
      <c r="J156" s="162"/>
      <c r="K156" s="162"/>
    </row>
    <row r="157" spans="5:11">
      <c r="E157" s="162"/>
      <c r="F157" s="162"/>
      <c r="G157" s="162"/>
      <c r="H157" s="162"/>
      <c r="I157" s="162"/>
      <c r="J157" s="162"/>
      <c r="K157" s="162"/>
    </row>
    <row r="158" spans="5:11">
      <c r="E158" s="162"/>
      <c r="F158" s="162"/>
      <c r="G158" s="162"/>
      <c r="H158" s="162"/>
      <c r="I158" s="162"/>
      <c r="J158" s="162"/>
      <c r="K158" s="162"/>
    </row>
    <row r="159" spans="5:11">
      <c r="E159" s="162"/>
      <c r="F159" s="162"/>
      <c r="G159" s="162"/>
      <c r="H159" s="162"/>
      <c r="I159" s="162"/>
      <c r="J159" s="162"/>
      <c r="K159" s="162"/>
    </row>
    <row r="160" spans="5:11">
      <c r="E160" s="162"/>
      <c r="F160" s="162"/>
      <c r="G160" s="162"/>
      <c r="H160" s="162"/>
      <c r="I160" s="162"/>
      <c r="J160" s="162"/>
      <c r="K160" s="162"/>
    </row>
    <row r="161" spans="5:11">
      <c r="E161" s="162"/>
      <c r="F161" s="162"/>
      <c r="G161" s="162"/>
      <c r="H161" s="162"/>
      <c r="I161" s="162"/>
      <c r="J161" s="162"/>
      <c r="K161" s="162"/>
    </row>
    <row r="162" spans="5:11">
      <c r="E162" s="162"/>
      <c r="F162" s="162"/>
      <c r="G162" s="162"/>
      <c r="H162" s="162"/>
      <c r="I162" s="162"/>
      <c r="J162" s="162"/>
      <c r="K162" s="162"/>
    </row>
    <row r="163" spans="5:11">
      <c r="E163" s="162"/>
      <c r="F163" s="162"/>
      <c r="G163" s="162"/>
      <c r="H163" s="162"/>
      <c r="I163" s="162"/>
      <c r="J163" s="162"/>
      <c r="K163" s="162"/>
    </row>
    <row r="164" spans="5:11">
      <c r="E164" s="162"/>
      <c r="F164" s="162"/>
      <c r="G164" s="162"/>
      <c r="H164" s="162"/>
      <c r="I164" s="162"/>
      <c r="J164" s="162"/>
      <c r="K164" s="162"/>
    </row>
    <row r="165" spans="5:11">
      <c r="E165" s="162"/>
      <c r="F165" s="162"/>
      <c r="G165" s="162"/>
      <c r="H165" s="162"/>
      <c r="I165" s="162"/>
      <c r="J165" s="162"/>
      <c r="K165" s="162"/>
    </row>
    <row r="166" spans="5:11">
      <c r="E166" s="162"/>
      <c r="F166" s="162"/>
      <c r="G166" s="162"/>
      <c r="H166" s="162"/>
      <c r="I166" s="162"/>
      <c r="J166" s="162"/>
      <c r="K166" s="162"/>
    </row>
    <row r="167" spans="5:11">
      <c r="E167" s="162"/>
      <c r="F167" s="162"/>
      <c r="G167" s="162"/>
      <c r="H167" s="162"/>
      <c r="I167" s="162"/>
      <c r="J167" s="162"/>
      <c r="K167" s="162"/>
    </row>
    <row r="168" spans="5:11">
      <c r="E168" s="162"/>
      <c r="F168" s="162"/>
      <c r="G168" s="162"/>
      <c r="H168" s="162"/>
      <c r="I168" s="162"/>
      <c r="J168" s="162"/>
      <c r="K168" s="162"/>
    </row>
    <row r="169" spans="5:11">
      <c r="E169" s="162"/>
      <c r="F169" s="162"/>
      <c r="G169" s="162"/>
      <c r="H169" s="162"/>
      <c r="I169" s="162"/>
      <c r="J169" s="162"/>
      <c r="K169" s="162"/>
    </row>
    <row r="170" spans="5:11">
      <c r="E170" s="162"/>
      <c r="F170" s="162"/>
      <c r="G170" s="162"/>
      <c r="H170" s="162"/>
      <c r="I170" s="162"/>
      <c r="J170" s="162"/>
      <c r="K170" s="162"/>
    </row>
    <row r="171" spans="5:11">
      <c r="E171" s="162"/>
      <c r="F171" s="162"/>
      <c r="G171" s="162"/>
      <c r="H171" s="162"/>
      <c r="I171" s="162"/>
      <c r="J171" s="162"/>
      <c r="K171" s="162"/>
    </row>
    <row r="172" spans="5:11">
      <c r="E172" s="162"/>
      <c r="F172" s="162"/>
      <c r="G172" s="162"/>
      <c r="H172" s="162"/>
      <c r="I172" s="162"/>
      <c r="J172" s="162"/>
      <c r="K172" s="162"/>
    </row>
    <row r="173" spans="5:11">
      <c r="E173" s="162"/>
      <c r="F173" s="162"/>
      <c r="G173" s="162"/>
      <c r="H173" s="162"/>
      <c r="I173" s="162"/>
      <c r="J173" s="162"/>
      <c r="K173" s="162"/>
    </row>
    <row r="174" spans="5:11">
      <c r="E174" s="162"/>
      <c r="F174" s="162"/>
      <c r="G174" s="162"/>
      <c r="H174" s="162"/>
      <c r="I174" s="162"/>
      <c r="J174" s="162"/>
      <c r="K174" s="162"/>
    </row>
    <row r="175" spans="5:11">
      <c r="E175" s="162"/>
      <c r="F175" s="162"/>
      <c r="G175" s="162"/>
      <c r="H175" s="162"/>
      <c r="I175" s="162"/>
      <c r="J175" s="162"/>
      <c r="K175" s="162"/>
    </row>
    <row r="176" spans="5:11">
      <c r="E176" s="162"/>
      <c r="F176" s="162"/>
      <c r="G176" s="162"/>
      <c r="H176" s="162"/>
      <c r="I176" s="162"/>
      <c r="J176" s="162"/>
      <c r="K176" s="162"/>
    </row>
    <row r="177" spans="5:11">
      <c r="E177" s="162"/>
      <c r="F177" s="162"/>
      <c r="G177" s="162"/>
      <c r="H177" s="162"/>
      <c r="I177" s="162"/>
      <c r="J177" s="162"/>
      <c r="K177" s="162"/>
    </row>
    <row r="178" spans="5:11">
      <c r="E178" s="162"/>
      <c r="F178" s="162"/>
      <c r="G178" s="162"/>
      <c r="H178" s="162"/>
      <c r="I178" s="162"/>
      <c r="J178" s="162"/>
      <c r="K178" s="162"/>
    </row>
    <row r="179" spans="5:11">
      <c r="E179" s="162"/>
      <c r="F179" s="162"/>
      <c r="G179" s="162"/>
      <c r="H179" s="162"/>
      <c r="I179" s="162"/>
      <c r="J179" s="162"/>
      <c r="K179" s="162"/>
    </row>
    <row r="180" spans="5:11">
      <c r="E180" s="162"/>
      <c r="F180" s="162"/>
      <c r="G180" s="162"/>
      <c r="H180" s="162"/>
      <c r="I180" s="162"/>
      <c r="J180" s="162"/>
      <c r="K180" s="162"/>
    </row>
    <row r="181" spans="5:11">
      <c r="E181" s="162"/>
      <c r="F181" s="162"/>
      <c r="G181" s="162"/>
      <c r="H181" s="162"/>
      <c r="I181" s="162"/>
      <c r="J181" s="162"/>
      <c r="K181" s="162"/>
    </row>
    <row r="182" spans="5:11">
      <c r="E182" s="162"/>
      <c r="F182" s="162"/>
      <c r="G182" s="162"/>
      <c r="H182" s="162"/>
      <c r="I182" s="162"/>
      <c r="J182" s="162"/>
      <c r="K182" s="162"/>
    </row>
    <row r="183" spans="5:11">
      <c r="E183" s="162"/>
      <c r="F183" s="162"/>
      <c r="G183" s="162"/>
      <c r="H183" s="162"/>
      <c r="I183" s="162"/>
      <c r="J183" s="162"/>
      <c r="K183" s="162"/>
    </row>
    <row r="184" spans="5:11">
      <c r="E184" s="162"/>
      <c r="F184" s="162"/>
      <c r="G184" s="162"/>
      <c r="H184" s="162"/>
      <c r="I184" s="162"/>
      <c r="J184" s="162"/>
      <c r="K184" s="162"/>
    </row>
    <row r="185" spans="5:11">
      <c r="E185" s="162"/>
      <c r="F185" s="162"/>
      <c r="G185" s="162"/>
      <c r="H185" s="162"/>
      <c r="I185" s="162"/>
      <c r="J185" s="162"/>
      <c r="K185" s="162"/>
    </row>
    <row r="186" spans="5:11">
      <c r="E186" s="162"/>
      <c r="F186" s="162"/>
      <c r="G186" s="162"/>
      <c r="H186" s="162"/>
      <c r="I186" s="162"/>
      <c r="J186" s="162"/>
      <c r="K186" s="162"/>
    </row>
    <row r="187" spans="5:11">
      <c r="E187" s="162"/>
      <c r="F187" s="162"/>
      <c r="G187" s="162"/>
      <c r="H187" s="162"/>
      <c r="I187" s="162"/>
      <c r="J187" s="162"/>
      <c r="K187" s="162"/>
    </row>
    <row r="188" spans="5:11">
      <c r="E188" s="162"/>
      <c r="F188" s="162"/>
      <c r="G188" s="162"/>
      <c r="H188" s="162"/>
      <c r="I188" s="162"/>
      <c r="J188" s="162"/>
      <c r="K188" s="162"/>
    </row>
    <row r="189" spans="5:11">
      <c r="E189" s="162"/>
      <c r="F189" s="162"/>
      <c r="G189" s="162"/>
      <c r="H189" s="162"/>
      <c r="I189" s="162"/>
      <c r="J189" s="162"/>
      <c r="K189" s="162"/>
    </row>
    <row r="190" spans="5:11">
      <c r="E190" s="162"/>
      <c r="F190" s="162"/>
      <c r="G190" s="162"/>
      <c r="H190" s="162"/>
      <c r="I190" s="162"/>
      <c r="J190" s="162"/>
      <c r="K190" s="162"/>
    </row>
    <row r="191" spans="5:11">
      <c r="E191" s="162"/>
      <c r="F191" s="162"/>
      <c r="G191" s="162"/>
      <c r="H191" s="162"/>
      <c r="I191" s="162"/>
      <c r="J191" s="162"/>
      <c r="K191" s="162"/>
    </row>
    <row r="192" spans="5:11">
      <c r="E192" s="162"/>
      <c r="F192" s="162"/>
      <c r="G192" s="162"/>
      <c r="H192" s="162"/>
      <c r="I192" s="162"/>
      <c r="J192" s="162"/>
      <c r="K192" s="162"/>
    </row>
    <row r="193" spans="5:11">
      <c r="E193" s="162"/>
      <c r="F193" s="162"/>
      <c r="G193" s="162"/>
      <c r="H193" s="162"/>
      <c r="I193" s="162"/>
      <c r="J193" s="162"/>
      <c r="K193" s="162"/>
    </row>
    <row r="194" spans="5:11">
      <c r="E194" s="162"/>
      <c r="F194" s="162"/>
      <c r="G194" s="162"/>
      <c r="H194" s="162"/>
      <c r="I194" s="162"/>
      <c r="J194" s="162"/>
      <c r="K194" s="162"/>
    </row>
    <row r="195" spans="5:11">
      <c r="E195" s="162"/>
      <c r="F195" s="162"/>
      <c r="G195" s="162"/>
      <c r="H195" s="162"/>
      <c r="I195" s="162"/>
      <c r="J195" s="162"/>
      <c r="K195" s="162"/>
    </row>
    <row r="196" spans="5:11">
      <c r="E196" s="162"/>
      <c r="F196" s="162"/>
      <c r="G196" s="162"/>
      <c r="H196" s="162"/>
      <c r="I196" s="162"/>
      <c r="J196" s="162"/>
      <c r="K196" s="162"/>
    </row>
    <row r="197" spans="5:11">
      <c r="E197" s="162"/>
      <c r="F197" s="162"/>
      <c r="G197" s="162"/>
      <c r="H197" s="162"/>
      <c r="I197" s="162"/>
      <c r="J197" s="162"/>
      <c r="K197" s="162"/>
    </row>
    <row r="198" spans="5:11">
      <c r="E198" s="162"/>
      <c r="F198" s="162"/>
      <c r="G198" s="162"/>
      <c r="H198" s="162"/>
      <c r="I198" s="162"/>
      <c r="J198" s="162"/>
      <c r="K198" s="162"/>
    </row>
    <row r="199" spans="5:11">
      <c r="E199" s="162"/>
      <c r="F199" s="162"/>
      <c r="G199" s="162"/>
      <c r="H199" s="162"/>
      <c r="I199" s="162"/>
      <c r="J199" s="162"/>
      <c r="K199" s="162"/>
    </row>
    <row r="200" spans="5:11">
      <c r="E200" s="162"/>
      <c r="F200" s="162"/>
      <c r="G200" s="162"/>
      <c r="H200" s="162"/>
      <c r="I200" s="162"/>
      <c r="J200" s="162"/>
      <c r="K200" s="162"/>
    </row>
    <row r="201" spans="5:11">
      <c r="E201" s="162"/>
      <c r="F201" s="162"/>
      <c r="G201" s="162"/>
      <c r="H201" s="162"/>
      <c r="I201" s="162"/>
      <c r="J201" s="162"/>
      <c r="K201" s="162"/>
    </row>
    <row r="202" spans="5:11">
      <c r="E202" s="162"/>
      <c r="F202" s="162"/>
      <c r="G202" s="162"/>
      <c r="H202" s="162"/>
      <c r="I202" s="162"/>
      <c r="J202" s="162"/>
      <c r="K202" s="162"/>
    </row>
    <row r="203" spans="5:11">
      <c r="E203" s="162"/>
      <c r="F203" s="162"/>
      <c r="G203" s="162"/>
      <c r="H203" s="162"/>
      <c r="I203" s="162"/>
      <c r="J203" s="162"/>
      <c r="K203" s="162"/>
    </row>
    <row r="204" spans="5:11">
      <c r="E204" s="162"/>
      <c r="F204" s="162"/>
      <c r="G204" s="162"/>
      <c r="H204" s="162"/>
      <c r="I204" s="162"/>
      <c r="J204" s="162"/>
      <c r="K204" s="162"/>
    </row>
    <row r="205" spans="5:11">
      <c r="E205" s="162"/>
      <c r="F205" s="162"/>
      <c r="G205" s="162"/>
      <c r="H205" s="162"/>
      <c r="I205" s="162"/>
      <c r="J205" s="162"/>
      <c r="K205" s="162"/>
    </row>
    <row r="206" spans="5:11">
      <c r="E206" s="162"/>
      <c r="F206" s="162"/>
      <c r="G206" s="162"/>
      <c r="H206" s="162"/>
      <c r="I206" s="162"/>
      <c r="J206" s="162"/>
      <c r="K206" s="162"/>
    </row>
    <row r="207" spans="5:11">
      <c r="E207" s="162"/>
      <c r="F207" s="162"/>
      <c r="G207" s="162"/>
      <c r="H207" s="162"/>
      <c r="I207" s="162"/>
      <c r="J207" s="162"/>
      <c r="K207" s="162"/>
    </row>
    <row r="208" spans="5:11">
      <c r="E208" s="162"/>
      <c r="F208" s="162"/>
      <c r="G208" s="162"/>
      <c r="H208" s="162"/>
      <c r="I208" s="162"/>
      <c r="J208" s="162"/>
      <c r="K208" s="162"/>
    </row>
    <row r="209" spans="5:11">
      <c r="E209" s="162"/>
      <c r="F209" s="162"/>
      <c r="G209" s="162"/>
      <c r="H209" s="162"/>
      <c r="I209" s="162"/>
      <c r="J209" s="162"/>
      <c r="K209" s="162"/>
    </row>
    <row r="210" spans="5:11">
      <c r="E210" s="162"/>
      <c r="F210" s="162"/>
      <c r="G210" s="162"/>
      <c r="H210" s="162"/>
      <c r="I210" s="162"/>
      <c r="J210" s="162"/>
      <c r="K210" s="162"/>
    </row>
    <row r="211" spans="5:11">
      <c r="E211" s="162"/>
      <c r="F211" s="162"/>
      <c r="G211" s="162"/>
      <c r="H211" s="162"/>
      <c r="I211" s="162"/>
      <c r="J211" s="162"/>
      <c r="K211" s="162"/>
    </row>
    <row r="212" spans="5:11">
      <c r="E212" s="162"/>
      <c r="F212" s="162"/>
      <c r="G212" s="162"/>
      <c r="H212" s="162"/>
      <c r="I212" s="162"/>
      <c r="J212" s="162"/>
      <c r="K212" s="162"/>
    </row>
    <row r="213" spans="5:11">
      <c r="E213" s="162"/>
      <c r="F213" s="162"/>
      <c r="G213" s="162"/>
      <c r="H213" s="162"/>
      <c r="I213" s="162"/>
      <c r="J213" s="162"/>
      <c r="K213" s="162"/>
    </row>
    <row r="214" spans="5:11">
      <c r="E214" s="162"/>
      <c r="F214" s="162"/>
      <c r="G214" s="162"/>
      <c r="H214" s="162"/>
      <c r="I214" s="162"/>
      <c r="J214" s="162"/>
      <c r="K214" s="162"/>
    </row>
    <row r="215" spans="5:11">
      <c r="E215" s="162"/>
      <c r="F215" s="162"/>
      <c r="G215" s="162"/>
      <c r="H215" s="162"/>
      <c r="I215" s="162"/>
      <c r="J215" s="162"/>
      <c r="K215" s="162"/>
    </row>
    <row r="216" spans="5:11">
      <c r="E216" s="162"/>
      <c r="F216" s="162"/>
      <c r="G216" s="162"/>
      <c r="H216" s="162"/>
      <c r="I216" s="162"/>
      <c r="J216" s="162"/>
      <c r="K216" s="162"/>
    </row>
    <row r="217" spans="5:11">
      <c r="E217" s="162"/>
      <c r="F217" s="162"/>
      <c r="G217" s="162"/>
      <c r="H217" s="162"/>
      <c r="I217" s="162"/>
      <c r="J217" s="162"/>
      <c r="K217" s="162"/>
    </row>
    <row r="218" spans="5:11">
      <c r="E218" s="162"/>
      <c r="F218" s="162"/>
      <c r="G218" s="162"/>
      <c r="H218" s="162"/>
      <c r="I218" s="162"/>
      <c r="J218" s="162"/>
      <c r="K218" s="162"/>
    </row>
    <row r="219" spans="5:11">
      <c r="E219" s="162"/>
      <c r="F219" s="162"/>
      <c r="G219" s="162"/>
      <c r="H219" s="162"/>
      <c r="I219" s="162"/>
      <c r="J219" s="162"/>
      <c r="K219" s="162"/>
    </row>
    <row r="220" spans="5:11">
      <c r="E220" s="162"/>
      <c r="F220" s="162"/>
      <c r="G220" s="162"/>
      <c r="H220" s="162"/>
      <c r="I220" s="162"/>
      <c r="J220" s="162"/>
      <c r="K220" s="162"/>
    </row>
    <row r="221" spans="5:11">
      <c r="E221" s="162"/>
      <c r="F221" s="162"/>
      <c r="G221" s="162"/>
      <c r="H221" s="162"/>
      <c r="I221" s="162"/>
      <c r="J221" s="162"/>
      <c r="K221" s="162"/>
    </row>
    <row r="222" spans="5:11">
      <c r="E222" s="162"/>
      <c r="F222" s="162"/>
      <c r="G222" s="162"/>
      <c r="H222" s="162"/>
      <c r="I222" s="162"/>
      <c r="J222" s="162"/>
      <c r="K222" s="162"/>
    </row>
    <row r="223" spans="5:11">
      <c r="E223" s="162"/>
      <c r="F223" s="162"/>
      <c r="G223" s="162"/>
      <c r="H223" s="162"/>
      <c r="I223" s="162"/>
      <c r="J223" s="162"/>
      <c r="K223" s="162"/>
    </row>
    <row r="224" spans="5:11">
      <c r="E224" s="162"/>
      <c r="F224" s="162"/>
      <c r="G224" s="162"/>
      <c r="H224" s="162"/>
      <c r="I224" s="162"/>
      <c r="J224" s="162"/>
      <c r="K224" s="162"/>
    </row>
    <row r="225" spans="5:11">
      <c r="E225" s="162"/>
      <c r="F225" s="162"/>
      <c r="G225" s="162"/>
      <c r="H225" s="162"/>
      <c r="I225" s="162"/>
      <c r="J225" s="162"/>
      <c r="K225" s="162"/>
    </row>
    <row r="226" spans="5:11">
      <c r="E226" s="162"/>
      <c r="F226" s="162"/>
      <c r="G226" s="162"/>
      <c r="H226" s="162"/>
      <c r="I226" s="162"/>
      <c r="J226" s="162"/>
      <c r="K226" s="162"/>
    </row>
    <row r="227" spans="5:11">
      <c r="E227" s="162"/>
      <c r="F227" s="162"/>
      <c r="G227" s="162"/>
      <c r="H227" s="162"/>
      <c r="I227" s="162"/>
      <c r="J227" s="162"/>
      <c r="K227" s="162"/>
    </row>
    <row r="228" spans="5:11">
      <c r="E228" s="162"/>
      <c r="F228" s="162"/>
      <c r="G228" s="162"/>
      <c r="H228" s="162"/>
      <c r="I228" s="162"/>
      <c r="J228" s="162"/>
      <c r="K228" s="162"/>
    </row>
    <row r="229" spans="5:11">
      <c r="E229" s="162"/>
      <c r="F229" s="162"/>
      <c r="G229" s="162"/>
      <c r="H229" s="162"/>
      <c r="I229" s="162"/>
      <c r="J229" s="162"/>
      <c r="K229" s="162"/>
    </row>
    <row r="230" spans="5:11">
      <c r="E230" s="162"/>
      <c r="F230" s="162"/>
      <c r="G230" s="162"/>
      <c r="H230" s="162"/>
      <c r="I230" s="162"/>
      <c r="J230" s="162"/>
      <c r="K230" s="162"/>
    </row>
    <row r="231" spans="5:11">
      <c r="E231" s="162"/>
      <c r="F231" s="162"/>
      <c r="G231" s="162"/>
      <c r="H231" s="162"/>
      <c r="I231" s="162"/>
      <c r="J231" s="162"/>
      <c r="K231" s="162"/>
    </row>
    <row r="232" spans="5:11">
      <c r="E232" s="162"/>
      <c r="F232" s="162"/>
      <c r="G232" s="162"/>
      <c r="H232" s="162"/>
      <c r="I232" s="162"/>
      <c r="J232" s="162"/>
      <c r="K232" s="162"/>
    </row>
    <row r="233" spans="5:11">
      <c r="E233" s="162"/>
      <c r="F233" s="162"/>
      <c r="G233" s="162"/>
      <c r="H233" s="162"/>
      <c r="I233" s="162"/>
      <c r="J233" s="162"/>
      <c r="K233" s="162"/>
    </row>
    <row r="234" spans="5:11">
      <c r="E234" s="162"/>
      <c r="F234" s="162"/>
      <c r="G234" s="162"/>
      <c r="H234" s="162"/>
      <c r="I234" s="162"/>
      <c r="J234" s="162"/>
      <c r="K234" s="162"/>
    </row>
    <row r="235" spans="5:11">
      <c r="E235" s="162"/>
      <c r="F235" s="162"/>
      <c r="G235" s="162"/>
      <c r="H235" s="162"/>
      <c r="I235" s="162"/>
      <c r="J235" s="162"/>
      <c r="K235" s="162"/>
    </row>
    <row r="236" spans="5:11">
      <c r="E236" s="162"/>
      <c r="F236" s="162"/>
      <c r="G236" s="162"/>
      <c r="H236" s="162"/>
      <c r="I236" s="162"/>
      <c r="J236" s="162"/>
      <c r="K236" s="162"/>
    </row>
    <row r="237" spans="5:11">
      <c r="E237" s="162"/>
      <c r="F237" s="162"/>
      <c r="G237" s="162"/>
      <c r="H237" s="162"/>
      <c r="I237" s="162"/>
      <c r="J237" s="162"/>
      <c r="K237" s="162"/>
    </row>
    <row r="238" spans="5:11">
      <c r="E238" s="162"/>
      <c r="F238" s="162"/>
      <c r="G238" s="162"/>
      <c r="H238" s="162"/>
      <c r="I238" s="162"/>
      <c r="J238" s="162"/>
      <c r="K238" s="162"/>
    </row>
    <row r="239" spans="5:11">
      <c r="E239" s="162"/>
      <c r="F239" s="162"/>
      <c r="G239" s="162"/>
      <c r="H239" s="162"/>
      <c r="I239" s="162"/>
      <c r="J239" s="162"/>
      <c r="K239" s="162"/>
    </row>
    <row r="240" spans="5:11">
      <c r="E240" s="162"/>
      <c r="F240" s="162"/>
      <c r="G240" s="162"/>
      <c r="H240" s="162"/>
      <c r="I240" s="162"/>
      <c r="J240" s="162"/>
      <c r="K240" s="162"/>
    </row>
    <row r="241" spans="5:11">
      <c r="E241" s="162"/>
      <c r="F241" s="162"/>
      <c r="G241" s="162"/>
      <c r="H241" s="162"/>
      <c r="I241" s="162"/>
      <c r="J241" s="162"/>
      <c r="K241" s="162"/>
    </row>
    <row r="242" spans="5:11">
      <c r="E242" s="162"/>
      <c r="F242" s="162"/>
      <c r="G242" s="162"/>
      <c r="H242" s="162"/>
      <c r="I242" s="162"/>
      <c r="J242" s="162"/>
      <c r="K242" s="162"/>
    </row>
    <row r="243" spans="5:11">
      <c r="E243" s="162"/>
      <c r="F243" s="162"/>
      <c r="G243" s="162"/>
      <c r="H243" s="162"/>
      <c r="I243" s="162"/>
      <c r="J243" s="162"/>
      <c r="K243" s="162"/>
    </row>
    <row r="244" spans="5:11">
      <c r="E244" s="162"/>
      <c r="F244" s="162"/>
      <c r="G244" s="162"/>
      <c r="H244" s="162"/>
      <c r="I244" s="162"/>
      <c r="J244" s="162"/>
      <c r="K244" s="162"/>
    </row>
    <row r="245" spans="5:11">
      <c r="E245" s="162"/>
      <c r="F245" s="162"/>
      <c r="G245" s="162"/>
      <c r="H245" s="162"/>
      <c r="I245" s="162"/>
      <c r="J245" s="162"/>
      <c r="K245" s="162"/>
    </row>
    <row r="246" spans="5:11">
      <c r="E246" s="162"/>
      <c r="F246" s="162"/>
      <c r="G246" s="162"/>
      <c r="H246" s="162"/>
      <c r="I246" s="162"/>
      <c r="J246" s="162"/>
      <c r="K246" s="162"/>
    </row>
    <row r="247" spans="5:11">
      <c r="E247" s="162"/>
      <c r="F247" s="162"/>
      <c r="G247" s="162"/>
      <c r="H247" s="162"/>
      <c r="I247" s="162"/>
      <c r="J247" s="162"/>
      <c r="K247" s="162"/>
    </row>
    <row r="248" spans="5:11">
      <c r="E248" s="162"/>
      <c r="F248" s="162"/>
      <c r="G248" s="162"/>
      <c r="H248" s="162"/>
      <c r="I248" s="162"/>
      <c r="J248" s="162"/>
      <c r="K248" s="162"/>
    </row>
    <row r="249" spans="5:11">
      <c r="E249" s="162"/>
      <c r="F249" s="162"/>
      <c r="G249" s="162"/>
      <c r="H249" s="162"/>
      <c r="I249" s="162"/>
      <c r="J249" s="162"/>
      <c r="K249" s="162"/>
    </row>
    <row r="250" spans="5:11">
      <c r="E250" s="162"/>
      <c r="F250" s="162"/>
      <c r="G250" s="162"/>
      <c r="H250" s="162"/>
      <c r="I250" s="162"/>
      <c r="J250" s="162"/>
      <c r="K250" s="162"/>
    </row>
    <row r="251" spans="5:11">
      <c r="E251" s="162"/>
      <c r="F251" s="162"/>
      <c r="G251" s="162"/>
      <c r="H251" s="162"/>
      <c r="I251" s="162"/>
      <c r="J251" s="162"/>
      <c r="K251" s="162"/>
    </row>
    <row r="252" spans="5:11">
      <c r="E252" s="162"/>
      <c r="F252" s="162"/>
      <c r="G252" s="162"/>
      <c r="H252" s="162"/>
      <c r="I252" s="162"/>
      <c r="J252" s="162"/>
      <c r="K252" s="162"/>
    </row>
    <row r="253" spans="5:11">
      <c r="E253" s="162"/>
      <c r="F253" s="162"/>
      <c r="G253" s="162"/>
      <c r="H253" s="162"/>
      <c r="I253" s="162"/>
      <c r="J253" s="162"/>
      <c r="K253" s="162"/>
    </row>
    <row r="254" spans="5:11">
      <c r="E254" s="162"/>
      <c r="F254" s="162"/>
      <c r="G254" s="162"/>
      <c r="H254" s="162"/>
      <c r="I254" s="162"/>
      <c r="J254" s="162"/>
      <c r="K254" s="162"/>
    </row>
    <row r="255" spans="5:11">
      <c r="E255" s="162"/>
      <c r="F255" s="162"/>
      <c r="G255" s="162"/>
      <c r="H255" s="162"/>
      <c r="I255" s="162"/>
      <c r="J255" s="162"/>
      <c r="K255" s="162"/>
    </row>
    <row r="256" spans="5:11">
      <c r="E256" s="162"/>
      <c r="F256" s="162"/>
      <c r="G256" s="162"/>
      <c r="H256" s="162"/>
      <c r="I256" s="162"/>
      <c r="J256" s="162"/>
      <c r="K256" s="162"/>
    </row>
    <row r="257" spans="5:11">
      <c r="E257" s="162"/>
      <c r="F257" s="162"/>
      <c r="G257" s="162"/>
      <c r="H257" s="162"/>
      <c r="I257" s="162"/>
      <c r="J257" s="162"/>
      <c r="K257" s="162"/>
    </row>
    <row r="258" spans="5:11">
      <c r="E258" s="162"/>
      <c r="F258" s="162"/>
      <c r="G258" s="162"/>
      <c r="H258" s="162"/>
      <c r="I258" s="162"/>
      <c r="J258" s="162"/>
      <c r="K258" s="162"/>
    </row>
    <row r="259" spans="5:11">
      <c r="E259" s="162"/>
      <c r="F259" s="162"/>
      <c r="G259" s="162"/>
      <c r="H259" s="162"/>
      <c r="I259" s="162"/>
      <c r="J259" s="162"/>
      <c r="K259" s="162"/>
    </row>
    <row r="260" spans="5:11">
      <c r="E260" s="162"/>
      <c r="F260" s="162"/>
      <c r="G260" s="162"/>
      <c r="H260" s="162"/>
      <c r="I260" s="162"/>
      <c r="J260" s="162"/>
      <c r="K260" s="162"/>
    </row>
    <row r="261" spans="5:11">
      <c r="E261" s="162"/>
      <c r="F261" s="162"/>
      <c r="G261" s="162"/>
      <c r="H261" s="162"/>
      <c r="I261" s="162"/>
      <c r="J261" s="162"/>
      <c r="K261" s="162"/>
    </row>
    <row r="262" spans="5:11">
      <c r="E262" s="162"/>
      <c r="F262" s="162"/>
      <c r="G262" s="162"/>
      <c r="H262" s="162"/>
      <c r="I262" s="162"/>
      <c r="J262" s="162"/>
      <c r="K262" s="162"/>
    </row>
    <row r="263" spans="5:11">
      <c r="E263" s="162"/>
      <c r="F263" s="162"/>
      <c r="G263" s="162"/>
      <c r="H263" s="162"/>
      <c r="I263" s="162"/>
      <c r="J263" s="162"/>
      <c r="K263" s="162"/>
    </row>
    <row r="264" spans="5:11">
      <c r="E264" s="162"/>
      <c r="F264" s="162"/>
      <c r="G264" s="162"/>
      <c r="H264" s="162"/>
      <c r="I264" s="162"/>
      <c r="J264" s="162"/>
      <c r="K264" s="162"/>
    </row>
    <row r="265" spans="5:11">
      <c r="E265" s="162"/>
      <c r="F265" s="162"/>
      <c r="G265" s="162"/>
      <c r="H265" s="162"/>
      <c r="I265" s="162"/>
      <c r="J265" s="162"/>
      <c r="K265" s="162"/>
    </row>
    <row r="266" spans="5:11">
      <c r="E266" s="162"/>
      <c r="F266" s="162"/>
      <c r="G266" s="162"/>
      <c r="H266" s="162"/>
      <c r="I266" s="162"/>
      <c r="J266" s="162"/>
      <c r="K266" s="162"/>
    </row>
    <row r="267" spans="5:11">
      <c r="E267" s="162"/>
      <c r="F267" s="162"/>
      <c r="G267" s="162"/>
      <c r="H267" s="162"/>
      <c r="I267" s="162"/>
      <c r="J267" s="162"/>
      <c r="K267" s="162"/>
    </row>
    <row r="268" spans="5:11">
      <c r="E268" s="162"/>
      <c r="F268" s="162"/>
      <c r="G268" s="162"/>
      <c r="H268" s="162"/>
      <c r="I268" s="162"/>
      <c r="J268" s="162"/>
      <c r="K268" s="162"/>
    </row>
    <row r="269" spans="5:11">
      <c r="E269" s="162"/>
      <c r="F269" s="162"/>
      <c r="G269" s="162"/>
      <c r="H269" s="162"/>
      <c r="I269" s="162"/>
      <c r="J269" s="162"/>
      <c r="K269" s="162"/>
    </row>
    <row r="270" spans="5:11">
      <c r="E270" s="162"/>
      <c r="F270" s="162"/>
      <c r="G270" s="162"/>
      <c r="H270" s="162"/>
      <c r="I270" s="162"/>
      <c r="J270" s="162"/>
      <c r="K270" s="162"/>
    </row>
    <row r="271" spans="5:11">
      <c r="E271" s="162"/>
      <c r="F271" s="162"/>
      <c r="G271" s="162"/>
      <c r="H271" s="162"/>
      <c r="I271" s="162"/>
      <c r="J271" s="162"/>
      <c r="K271" s="162"/>
    </row>
    <row r="272" spans="5:11">
      <c r="E272" s="162"/>
      <c r="F272" s="162"/>
      <c r="G272" s="162"/>
      <c r="H272" s="162"/>
      <c r="I272" s="162"/>
      <c r="J272" s="162"/>
      <c r="K272" s="162"/>
    </row>
    <row r="273" spans="5:11">
      <c r="E273" s="162"/>
      <c r="F273" s="162"/>
      <c r="G273" s="162"/>
      <c r="H273" s="162"/>
      <c r="I273" s="162"/>
      <c r="J273" s="162"/>
      <c r="K273" s="162"/>
    </row>
    <row r="274" spans="5:11">
      <c r="E274" s="162"/>
      <c r="F274" s="162"/>
      <c r="G274" s="162"/>
      <c r="H274" s="162"/>
      <c r="I274" s="162"/>
      <c r="J274" s="162"/>
      <c r="K274" s="162"/>
    </row>
    <row r="275" spans="5:11">
      <c r="E275" s="162"/>
      <c r="F275" s="162"/>
      <c r="G275" s="162"/>
      <c r="H275" s="162"/>
      <c r="I275" s="162"/>
      <c r="J275" s="162"/>
      <c r="K275" s="162"/>
    </row>
    <row r="276" spans="5:11">
      <c r="E276" s="162"/>
      <c r="F276" s="162"/>
      <c r="G276" s="162"/>
      <c r="H276" s="162"/>
      <c r="I276" s="162"/>
      <c r="J276" s="162"/>
      <c r="K276" s="162"/>
    </row>
    <row r="277" spans="5:11">
      <c r="E277" s="162"/>
      <c r="F277" s="162"/>
      <c r="G277" s="162"/>
      <c r="H277" s="162"/>
      <c r="I277" s="162"/>
      <c r="J277" s="162"/>
      <c r="K277" s="162"/>
    </row>
    <row r="278" spans="5:11">
      <c r="E278" s="162"/>
      <c r="F278" s="162"/>
      <c r="G278" s="162"/>
      <c r="H278" s="162"/>
      <c r="I278" s="162"/>
      <c r="J278" s="162"/>
      <c r="K278" s="162"/>
    </row>
    <row r="279" spans="5:11">
      <c r="E279" s="162"/>
      <c r="F279" s="162"/>
      <c r="G279" s="162"/>
      <c r="H279" s="162"/>
      <c r="I279" s="162"/>
      <c r="J279" s="162"/>
      <c r="K279" s="162"/>
    </row>
    <row r="280" spans="5:11">
      <c r="E280" s="162"/>
      <c r="F280" s="162"/>
      <c r="G280" s="162"/>
      <c r="H280" s="162"/>
      <c r="I280" s="162"/>
      <c r="J280" s="162"/>
      <c r="K280" s="162"/>
    </row>
    <row r="281" spans="5:11">
      <c r="E281" s="162"/>
      <c r="F281" s="162"/>
      <c r="G281" s="162"/>
      <c r="H281" s="162"/>
      <c r="I281" s="162"/>
      <c r="J281" s="162"/>
      <c r="K281" s="162"/>
    </row>
    <row r="282" spans="5:11">
      <c r="E282" s="162"/>
      <c r="F282" s="162"/>
      <c r="G282" s="162"/>
      <c r="H282" s="162"/>
      <c r="I282" s="162"/>
      <c r="J282" s="162"/>
      <c r="K282" s="162"/>
    </row>
    <row r="283" spans="5:11">
      <c r="E283" s="162"/>
      <c r="F283" s="162"/>
      <c r="G283" s="162"/>
      <c r="H283" s="162"/>
      <c r="I283" s="162"/>
      <c r="J283" s="162"/>
      <c r="K283" s="162"/>
    </row>
    <row r="284" spans="5:11">
      <c r="E284" s="162"/>
      <c r="F284" s="162"/>
      <c r="G284" s="162"/>
      <c r="H284" s="162"/>
      <c r="I284" s="162"/>
      <c r="J284" s="162"/>
      <c r="K284" s="162"/>
    </row>
    <row r="285" spans="5:11">
      <c r="E285" s="162"/>
      <c r="F285" s="162"/>
      <c r="G285" s="162"/>
      <c r="H285" s="162"/>
      <c r="I285" s="162"/>
      <c r="J285" s="162"/>
      <c r="K285" s="162"/>
    </row>
    <row r="286" spans="5:11">
      <c r="E286" s="162"/>
      <c r="F286" s="162"/>
      <c r="G286" s="162"/>
      <c r="H286" s="162"/>
      <c r="I286" s="162"/>
      <c r="J286" s="162"/>
      <c r="K286" s="162"/>
    </row>
    <row r="287" spans="5:11">
      <c r="E287" s="162"/>
      <c r="F287" s="162"/>
      <c r="G287" s="162"/>
      <c r="H287" s="162"/>
      <c r="I287" s="162"/>
      <c r="J287" s="162"/>
      <c r="K287" s="162"/>
    </row>
    <row r="288" spans="5:11">
      <c r="E288" s="162"/>
      <c r="F288" s="162"/>
      <c r="G288" s="162"/>
      <c r="H288" s="162"/>
      <c r="I288" s="162"/>
      <c r="J288" s="162"/>
      <c r="K288" s="162"/>
    </row>
    <row r="289" spans="5:11">
      <c r="E289" s="162"/>
      <c r="F289" s="162"/>
      <c r="G289" s="162"/>
      <c r="H289" s="162"/>
      <c r="I289" s="162"/>
      <c r="J289" s="162"/>
      <c r="K289" s="162"/>
    </row>
    <row r="290" spans="5:11">
      <c r="E290" s="162"/>
      <c r="F290" s="162"/>
      <c r="G290" s="162"/>
      <c r="H290" s="162"/>
      <c r="I290" s="162"/>
      <c r="J290" s="162"/>
      <c r="K290" s="162"/>
    </row>
    <row r="291" spans="5:11">
      <c r="E291" s="162"/>
      <c r="F291" s="162"/>
      <c r="G291" s="162"/>
      <c r="H291" s="162"/>
      <c r="I291" s="162"/>
      <c r="J291" s="162"/>
      <c r="K291" s="162"/>
    </row>
    <row r="292" spans="5:11">
      <c r="E292" s="162"/>
      <c r="F292" s="162"/>
      <c r="G292" s="162"/>
      <c r="H292" s="162"/>
      <c r="I292" s="162"/>
      <c r="J292" s="162"/>
      <c r="K292" s="162"/>
    </row>
    <row r="293" spans="5:11">
      <c r="E293" s="162"/>
      <c r="F293" s="162"/>
      <c r="G293" s="162"/>
      <c r="H293" s="162"/>
      <c r="I293" s="162"/>
      <c r="J293" s="162"/>
      <c r="K293" s="162"/>
    </row>
    <row r="294" spans="5:11">
      <c r="E294" s="162"/>
      <c r="F294" s="162"/>
      <c r="G294" s="162"/>
      <c r="H294" s="162"/>
      <c r="I294" s="162"/>
      <c r="J294" s="162"/>
      <c r="K294" s="162"/>
    </row>
    <row r="295" spans="5:11">
      <c r="E295" s="162"/>
      <c r="F295" s="162"/>
      <c r="G295" s="162"/>
      <c r="H295" s="162"/>
      <c r="I295" s="162"/>
      <c r="J295" s="162"/>
      <c r="K295" s="162"/>
    </row>
    <row r="296" spans="5:11">
      <c r="E296" s="162"/>
      <c r="F296" s="162"/>
      <c r="G296" s="162"/>
      <c r="H296" s="162"/>
      <c r="I296" s="162"/>
      <c r="J296" s="162"/>
      <c r="K296" s="162"/>
    </row>
    <row r="297" spans="5:11">
      <c r="E297" s="162"/>
      <c r="F297" s="162"/>
      <c r="G297" s="162"/>
      <c r="H297" s="162"/>
      <c r="I297" s="162"/>
      <c r="J297" s="162"/>
      <c r="K297" s="162"/>
    </row>
    <row r="298" spans="5:11">
      <c r="E298" s="162"/>
      <c r="F298" s="162"/>
      <c r="G298" s="162"/>
      <c r="H298" s="162"/>
      <c r="I298" s="162"/>
      <c r="J298" s="162"/>
      <c r="K298" s="162"/>
    </row>
    <row r="299" spans="5:11">
      <c r="E299" s="162"/>
      <c r="F299" s="162"/>
      <c r="G299" s="162"/>
      <c r="H299" s="162"/>
      <c r="I299" s="162"/>
      <c r="J299" s="162"/>
      <c r="K299" s="162"/>
    </row>
    <row r="300" spans="5:11">
      <c r="E300" s="162"/>
      <c r="F300" s="162"/>
      <c r="G300" s="162"/>
      <c r="H300" s="162"/>
      <c r="I300" s="162"/>
      <c r="J300" s="162"/>
      <c r="K300" s="162"/>
    </row>
    <row r="301" spans="5:11">
      <c r="E301" s="162"/>
      <c r="F301" s="162"/>
      <c r="G301" s="162"/>
      <c r="H301" s="162"/>
      <c r="I301" s="162"/>
      <c r="J301" s="162"/>
      <c r="K301" s="162"/>
    </row>
    <row r="302" spans="5:11">
      <c r="E302" s="162"/>
      <c r="F302" s="162"/>
      <c r="G302" s="162"/>
      <c r="H302" s="162"/>
      <c r="I302" s="162"/>
      <c r="J302" s="162"/>
      <c r="K302" s="162"/>
    </row>
    <row r="303" spans="5:11">
      <c r="E303" s="162"/>
      <c r="F303" s="162"/>
      <c r="G303" s="162"/>
      <c r="H303" s="162"/>
      <c r="I303" s="162"/>
      <c r="J303" s="162"/>
      <c r="K303" s="162"/>
    </row>
    <row r="304" spans="5:11">
      <c r="E304" s="162"/>
      <c r="F304" s="162"/>
      <c r="G304" s="162"/>
      <c r="H304" s="162"/>
      <c r="I304" s="162"/>
      <c r="J304" s="162"/>
      <c r="K304" s="162"/>
    </row>
    <row r="305" spans="5:11">
      <c r="E305" s="162"/>
      <c r="F305" s="162"/>
      <c r="G305" s="162"/>
      <c r="H305" s="162"/>
      <c r="I305" s="162"/>
      <c r="J305" s="162"/>
      <c r="K305" s="162"/>
    </row>
    <row r="306" spans="5:11">
      <c r="E306" s="162"/>
      <c r="F306" s="162"/>
      <c r="G306" s="162"/>
      <c r="H306" s="162"/>
      <c r="I306" s="162"/>
      <c r="J306" s="162"/>
      <c r="K306" s="162"/>
    </row>
    <row r="307" spans="5:11">
      <c r="E307" s="162"/>
      <c r="F307" s="162"/>
      <c r="G307" s="162"/>
      <c r="H307" s="162"/>
      <c r="I307" s="162"/>
      <c r="J307" s="162"/>
      <c r="K307" s="162"/>
    </row>
    <row r="308" spans="5:11">
      <c r="E308" s="162"/>
      <c r="F308" s="162"/>
      <c r="G308" s="162"/>
      <c r="H308" s="162"/>
      <c r="I308" s="162"/>
      <c r="J308" s="162"/>
      <c r="K308" s="162"/>
    </row>
    <row r="309" spans="5:11">
      <c r="E309" s="162"/>
      <c r="F309" s="162"/>
      <c r="G309" s="162"/>
      <c r="H309" s="162"/>
      <c r="I309" s="162"/>
      <c r="J309" s="162"/>
      <c r="K309" s="162"/>
    </row>
    <row r="310" spans="5:11">
      <c r="E310" s="162"/>
      <c r="F310" s="162"/>
      <c r="G310" s="162"/>
      <c r="H310" s="162"/>
      <c r="I310" s="162"/>
      <c r="J310" s="162"/>
      <c r="K310" s="162"/>
    </row>
    <row r="311" spans="5:11">
      <c r="E311" s="162"/>
      <c r="F311" s="162"/>
      <c r="G311" s="162"/>
      <c r="H311" s="162"/>
      <c r="I311" s="162"/>
      <c r="J311" s="162"/>
      <c r="K311" s="162"/>
    </row>
    <row r="312" spans="5:11">
      <c r="E312" s="162"/>
      <c r="F312" s="162"/>
      <c r="G312" s="162"/>
      <c r="H312" s="162"/>
      <c r="I312" s="162"/>
      <c r="J312" s="162"/>
      <c r="K312" s="162"/>
    </row>
    <row r="313" spans="5:11">
      <c r="E313" s="162"/>
      <c r="F313" s="162"/>
      <c r="G313" s="162"/>
      <c r="H313" s="162"/>
      <c r="I313" s="162"/>
      <c r="J313" s="162"/>
      <c r="K313" s="162"/>
    </row>
    <row r="314" spans="5:11">
      <c r="E314" s="162"/>
      <c r="F314" s="162"/>
      <c r="G314" s="162"/>
      <c r="H314" s="162"/>
      <c r="I314" s="162"/>
      <c r="J314" s="162"/>
      <c r="K314" s="162"/>
    </row>
    <row r="315" spans="5:11">
      <c r="E315" s="162"/>
      <c r="F315" s="162"/>
      <c r="G315" s="162"/>
      <c r="H315" s="162"/>
      <c r="I315" s="162"/>
      <c r="J315" s="162"/>
      <c r="K315" s="162"/>
    </row>
    <row r="316" spans="5:11">
      <c r="E316" s="162"/>
      <c r="F316" s="162"/>
      <c r="G316" s="162"/>
      <c r="H316" s="162"/>
      <c r="I316" s="162"/>
      <c r="J316" s="162"/>
      <c r="K316" s="162"/>
    </row>
    <row r="317" spans="5:11">
      <c r="E317" s="162"/>
      <c r="F317" s="162"/>
      <c r="G317" s="162"/>
      <c r="H317" s="162"/>
      <c r="I317" s="162"/>
      <c r="J317" s="162"/>
      <c r="K317" s="162"/>
    </row>
    <row r="318" spans="5:11">
      <c r="E318" s="162"/>
      <c r="F318" s="162"/>
      <c r="G318" s="162"/>
      <c r="H318" s="162"/>
      <c r="I318" s="162"/>
      <c r="J318" s="162"/>
      <c r="K318" s="162"/>
    </row>
    <row r="319" spans="5:11">
      <c r="E319" s="162"/>
      <c r="F319" s="162"/>
      <c r="G319" s="162"/>
      <c r="H319" s="162"/>
      <c r="I319" s="162"/>
      <c r="J319" s="162"/>
      <c r="K319" s="162"/>
    </row>
    <row r="320" spans="5:11">
      <c r="E320" s="162"/>
      <c r="F320" s="162"/>
      <c r="G320" s="162"/>
      <c r="H320" s="162"/>
      <c r="I320" s="162"/>
      <c r="J320" s="162"/>
      <c r="K320" s="162"/>
    </row>
    <row r="321" spans="5:11">
      <c r="E321" s="162"/>
      <c r="F321" s="162"/>
      <c r="G321" s="162"/>
      <c r="H321" s="162"/>
      <c r="I321" s="162"/>
      <c r="J321" s="162"/>
      <c r="K321" s="162"/>
    </row>
    <row r="322" spans="5:11">
      <c r="E322" s="162"/>
      <c r="F322" s="162"/>
      <c r="G322" s="162"/>
      <c r="H322" s="162"/>
      <c r="I322" s="162"/>
      <c r="J322" s="162"/>
      <c r="K322" s="162"/>
    </row>
    <row r="323" spans="5:11">
      <c r="E323" s="162"/>
      <c r="F323" s="162"/>
      <c r="G323" s="162"/>
      <c r="H323" s="162"/>
      <c r="I323" s="162"/>
      <c r="J323" s="162"/>
      <c r="K323" s="162"/>
    </row>
    <row r="324" spans="5:11">
      <c r="E324" s="162"/>
      <c r="F324" s="162"/>
      <c r="G324" s="162"/>
      <c r="H324" s="162"/>
      <c r="I324" s="162"/>
      <c r="J324" s="162"/>
      <c r="K324" s="162"/>
    </row>
    <row r="325" spans="5:11">
      <c r="E325" s="162"/>
      <c r="F325" s="162"/>
      <c r="G325" s="162"/>
      <c r="H325" s="162"/>
      <c r="I325" s="162"/>
      <c r="J325" s="162"/>
      <c r="K325" s="162"/>
    </row>
    <row r="326" spans="5:11">
      <c r="E326" s="162"/>
      <c r="F326" s="162"/>
      <c r="G326" s="162"/>
      <c r="H326" s="162"/>
      <c r="I326" s="162"/>
      <c r="J326" s="162"/>
      <c r="K326" s="162"/>
    </row>
    <row r="327" spans="5:11">
      <c r="E327" s="162"/>
      <c r="F327" s="162"/>
      <c r="G327" s="162"/>
      <c r="H327" s="162"/>
      <c r="I327" s="162"/>
      <c r="J327" s="162"/>
      <c r="K327" s="162"/>
    </row>
    <row r="328" spans="5:11">
      <c r="E328" s="162"/>
      <c r="F328" s="162"/>
      <c r="G328" s="162"/>
      <c r="H328" s="162"/>
      <c r="I328" s="162"/>
      <c r="J328" s="162"/>
      <c r="K328" s="162"/>
    </row>
    <row r="329" spans="5:11">
      <c r="E329" s="162"/>
      <c r="F329" s="162"/>
      <c r="G329" s="162"/>
      <c r="H329" s="162"/>
      <c r="I329" s="162"/>
      <c r="J329" s="162"/>
      <c r="K329" s="162"/>
    </row>
    <row r="330" spans="5:11">
      <c r="E330" s="162"/>
      <c r="F330" s="162"/>
      <c r="G330" s="162"/>
      <c r="H330" s="162"/>
      <c r="I330" s="162"/>
      <c r="J330" s="162"/>
      <c r="K330" s="162"/>
    </row>
    <row r="331" spans="5:11">
      <c r="E331" s="162"/>
      <c r="F331" s="162"/>
      <c r="G331" s="162"/>
      <c r="H331" s="162"/>
      <c r="I331" s="162"/>
      <c r="J331" s="162"/>
      <c r="K331" s="162"/>
    </row>
    <row r="332" spans="5:11">
      <c r="E332" s="162"/>
      <c r="F332" s="162"/>
      <c r="G332" s="162"/>
      <c r="H332" s="162"/>
      <c r="I332" s="162"/>
      <c r="J332" s="162"/>
      <c r="K332" s="162"/>
    </row>
    <row r="333" spans="5:11">
      <c r="E333" s="162"/>
      <c r="F333" s="162"/>
      <c r="G333" s="162"/>
      <c r="H333" s="162"/>
      <c r="I333" s="162"/>
      <c r="J333" s="162"/>
      <c r="K333" s="162"/>
    </row>
    <row r="334" spans="5:11">
      <c r="E334" s="162"/>
      <c r="F334" s="162"/>
      <c r="G334" s="162"/>
      <c r="H334" s="162"/>
      <c r="I334" s="162"/>
      <c r="J334" s="162"/>
      <c r="K334" s="162"/>
    </row>
    <row r="335" spans="5:11">
      <c r="E335" s="162"/>
      <c r="F335" s="162"/>
      <c r="G335" s="162"/>
      <c r="H335" s="162"/>
      <c r="I335" s="162"/>
      <c r="J335" s="162"/>
      <c r="K335" s="162"/>
    </row>
    <row r="336" spans="5:11">
      <c r="E336" s="162"/>
      <c r="F336" s="162"/>
      <c r="G336" s="162"/>
      <c r="H336" s="162"/>
      <c r="I336" s="162"/>
      <c r="J336" s="162"/>
      <c r="K336" s="162"/>
    </row>
    <row r="337" spans="5:11">
      <c r="E337" s="162"/>
      <c r="F337" s="162"/>
      <c r="G337" s="162"/>
      <c r="H337" s="162"/>
      <c r="I337" s="162"/>
      <c r="J337" s="162"/>
      <c r="K337" s="162"/>
    </row>
    <row r="338" spans="5:11">
      <c r="E338" s="162"/>
      <c r="F338" s="162"/>
      <c r="G338" s="162"/>
      <c r="H338" s="162"/>
      <c r="I338" s="162"/>
      <c r="J338" s="162"/>
      <c r="K338" s="162"/>
    </row>
    <row r="339" spans="5:11">
      <c r="E339" s="162"/>
      <c r="F339" s="162"/>
      <c r="G339" s="162"/>
      <c r="H339" s="162"/>
      <c r="I339" s="162"/>
      <c r="J339" s="162"/>
      <c r="K339" s="162"/>
    </row>
    <row r="340" spans="5:11">
      <c r="E340" s="162"/>
      <c r="F340" s="162"/>
      <c r="G340" s="162"/>
      <c r="H340" s="162"/>
      <c r="I340" s="162"/>
      <c r="J340" s="162"/>
      <c r="K340" s="162"/>
    </row>
    <row r="341" spans="5:11">
      <c r="E341" s="162"/>
      <c r="F341" s="162"/>
      <c r="G341" s="162"/>
      <c r="H341" s="162"/>
      <c r="I341" s="162"/>
      <c r="J341" s="162"/>
      <c r="K341" s="162"/>
    </row>
    <row r="342" spans="5:11">
      <c r="E342" s="162"/>
      <c r="F342" s="162"/>
      <c r="G342" s="162"/>
      <c r="H342" s="162"/>
      <c r="I342" s="162"/>
      <c r="J342" s="162"/>
      <c r="K342" s="162"/>
    </row>
    <row r="343" spans="5:11">
      <c r="E343" s="162"/>
      <c r="F343" s="162"/>
      <c r="G343" s="162"/>
      <c r="H343" s="162"/>
      <c r="I343" s="162"/>
      <c r="J343" s="162"/>
      <c r="K343" s="162"/>
    </row>
    <row r="344" spans="5:11">
      <c r="E344" s="162"/>
      <c r="F344" s="162"/>
      <c r="G344" s="162"/>
      <c r="H344" s="162"/>
      <c r="I344" s="162"/>
      <c r="J344" s="162"/>
      <c r="K344" s="162"/>
    </row>
    <row r="345" spans="5:11">
      <c r="E345" s="162"/>
      <c r="F345" s="162"/>
      <c r="G345" s="162"/>
      <c r="H345" s="162"/>
      <c r="I345" s="162"/>
      <c r="J345" s="162"/>
      <c r="K345" s="162"/>
    </row>
    <row r="346" spans="5:11">
      <c r="E346" s="162"/>
      <c r="F346" s="162"/>
      <c r="G346" s="162"/>
      <c r="H346" s="162"/>
      <c r="I346" s="162"/>
      <c r="J346" s="162"/>
      <c r="K346" s="162"/>
    </row>
    <row r="347" spans="5:11">
      <c r="E347" s="162"/>
      <c r="F347" s="162"/>
      <c r="G347" s="162"/>
      <c r="H347" s="162"/>
      <c r="I347" s="162"/>
      <c r="J347" s="162"/>
      <c r="K347" s="162"/>
    </row>
    <row r="348" spans="5:11">
      <c r="E348" s="162"/>
      <c r="F348" s="162"/>
      <c r="G348" s="162"/>
      <c r="H348" s="162"/>
      <c r="I348" s="162"/>
      <c r="J348" s="162"/>
      <c r="K348" s="162"/>
    </row>
    <row r="349" spans="5:11">
      <c r="E349" s="162"/>
      <c r="F349" s="162"/>
      <c r="G349" s="162"/>
      <c r="H349" s="162"/>
      <c r="I349" s="162"/>
      <c r="J349" s="162"/>
      <c r="K349" s="162"/>
    </row>
    <row r="350" spans="5:11">
      <c r="E350" s="162"/>
      <c r="F350" s="162"/>
      <c r="G350" s="162"/>
      <c r="H350" s="162"/>
      <c r="I350" s="162"/>
      <c r="J350" s="162"/>
      <c r="K350" s="162"/>
    </row>
    <row r="351" spans="5:11">
      <c r="E351" s="162"/>
      <c r="F351" s="162"/>
      <c r="G351" s="162"/>
      <c r="H351" s="162"/>
      <c r="I351" s="162"/>
      <c r="J351" s="162"/>
      <c r="K351" s="162"/>
    </row>
    <row r="352" spans="5:11">
      <c r="E352" s="162"/>
      <c r="F352" s="162"/>
      <c r="G352" s="162"/>
      <c r="H352" s="162"/>
      <c r="I352" s="162"/>
      <c r="J352" s="162"/>
      <c r="K352" s="162"/>
    </row>
    <row r="353" spans="5:11">
      <c r="E353" s="162"/>
      <c r="F353" s="162"/>
      <c r="G353" s="162"/>
      <c r="H353" s="162"/>
      <c r="I353" s="162"/>
      <c r="J353" s="162"/>
      <c r="K353" s="162"/>
    </row>
    <row r="354" spans="5:11">
      <c r="E354" s="162"/>
      <c r="F354" s="162"/>
      <c r="G354" s="162"/>
      <c r="H354" s="162"/>
      <c r="I354" s="162"/>
      <c r="J354" s="162"/>
      <c r="K354" s="162"/>
    </row>
    <row r="355" spans="5:11">
      <c r="E355" s="162"/>
      <c r="F355" s="162"/>
      <c r="G355" s="162"/>
      <c r="H355" s="162"/>
      <c r="I355" s="162"/>
      <c r="J355" s="162"/>
      <c r="K355" s="162"/>
    </row>
    <row r="356" spans="5:11">
      <c r="E356" s="162"/>
      <c r="F356" s="162"/>
      <c r="G356" s="162"/>
      <c r="H356" s="162"/>
      <c r="I356" s="162"/>
      <c r="J356" s="162"/>
      <c r="K356" s="162"/>
    </row>
    <row r="357" spans="5:11">
      <c r="E357" s="162"/>
      <c r="F357" s="162"/>
      <c r="G357" s="162"/>
      <c r="H357" s="162"/>
      <c r="I357" s="162"/>
      <c r="J357" s="162"/>
      <c r="K357" s="162"/>
    </row>
    <row r="358" spans="5:11">
      <c r="E358" s="162"/>
      <c r="F358" s="162"/>
      <c r="G358" s="162"/>
      <c r="H358" s="162"/>
      <c r="I358" s="162"/>
      <c r="J358" s="162"/>
      <c r="K358" s="162"/>
    </row>
    <row r="359" spans="5:11">
      <c r="E359" s="162"/>
      <c r="F359" s="162"/>
      <c r="G359" s="162"/>
      <c r="H359" s="162"/>
      <c r="I359" s="162"/>
      <c r="J359" s="162"/>
      <c r="K359" s="162"/>
    </row>
    <row r="360" spans="5:11">
      <c r="E360" s="162"/>
      <c r="F360" s="162"/>
      <c r="G360" s="162"/>
      <c r="H360" s="162"/>
      <c r="I360" s="162"/>
      <c r="J360" s="162"/>
      <c r="K360" s="162"/>
    </row>
    <row r="361" spans="5:11">
      <c r="E361" s="162"/>
      <c r="F361" s="162"/>
      <c r="G361" s="162"/>
      <c r="H361" s="162"/>
      <c r="I361" s="162"/>
      <c r="J361" s="162"/>
      <c r="K361" s="162"/>
    </row>
    <row r="362" spans="5:11">
      <c r="E362" s="162"/>
      <c r="F362" s="162"/>
      <c r="G362" s="162"/>
      <c r="H362" s="162"/>
      <c r="I362" s="162"/>
      <c r="J362" s="162"/>
      <c r="K362" s="162"/>
    </row>
    <row r="363" spans="5:11">
      <c r="E363" s="162"/>
      <c r="F363" s="162"/>
      <c r="G363" s="162"/>
      <c r="H363" s="162"/>
      <c r="I363" s="162"/>
      <c r="J363" s="162"/>
      <c r="K363" s="162"/>
    </row>
    <row r="364" spans="5:11">
      <c r="E364" s="162"/>
      <c r="F364" s="162"/>
      <c r="G364" s="162"/>
      <c r="H364" s="162"/>
      <c r="I364" s="162"/>
      <c r="J364" s="162"/>
      <c r="K364" s="162"/>
    </row>
    <row r="365" spans="5:11">
      <c r="E365" s="162"/>
      <c r="F365" s="162"/>
      <c r="G365" s="162"/>
      <c r="H365" s="162"/>
      <c r="I365" s="162"/>
      <c r="J365" s="162"/>
      <c r="K365" s="162"/>
    </row>
    <row r="366" spans="5:11">
      <c r="E366" s="162"/>
      <c r="F366" s="162"/>
      <c r="G366" s="162"/>
      <c r="H366" s="162"/>
      <c r="I366" s="162"/>
      <c r="J366" s="162"/>
      <c r="K366" s="162"/>
    </row>
    <row r="367" spans="5:11">
      <c r="E367" s="162"/>
      <c r="F367" s="162"/>
      <c r="G367" s="162"/>
      <c r="H367" s="162"/>
      <c r="I367" s="162"/>
      <c r="J367" s="162"/>
      <c r="K367" s="162"/>
    </row>
    <row r="368" spans="5:11">
      <c r="E368" s="162"/>
      <c r="F368" s="162"/>
      <c r="G368" s="162"/>
      <c r="H368" s="162"/>
      <c r="I368" s="162"/>
      <c r="J368" s="162"/>
      <c r="K368" s="162"/>
    </row>
    <row r="369" spans="5:11">
      <c r="E369" s="162"/>
      <c r="F369" s="162"/>
      <c r="G369" s="162"/>
      <c r="H369" s="162"/>
      <c r="I369" s="162"/>
      <c r="J369" s="162"/>
      <c r="K369" s="162"/>
    </row>
    <row r="370" spans="5:11">
      <c r="E370" s="162"/>
      <c r="F370" s="162"/>
      <c r="G370" s="162"/>
      <c r="H370" s="162"/>
      <c r="I370" s="162"/>
      <c r="J370" s="162"/>
      <c r="K370" s="162"/>
    </row>
    <row r="371" spans="5:11">
      <c r="E371" s="162"/>
      <c r="F371" s="162"/>
      <c r="G371" s="162"/>
      <c r="H371" s="162"/>
      <c r="I371" s="162"/>
      <c r="J371" s="162"/>
      <c r="K371" s="162"/>
    </row>
    <row r="372" spans="5:11">
      <c r="E372" s="162"/>
      <c r="F372" s="162"/>
      <c r="G372" s="162"/>
      <c r="H372" s="162"/>
      <c r="I372" s="162"/>
      <c r="J372" s="162"/>
      <c r="K372" s="162"/>
    </row>
    <row r="373" spans="5:11">
      <c r="E373" s="162"/>
      <c r="F373" s="162"/>
      <c r="G373" s="162"/>
      <c r="H373" s="162"/>
      <c r="I373" s="162"/>
      <c r="J373" s="162"/>
      <c r="K373" s="162"/>
    </row>
    <row r="374" spans="5:11">
      <c r="E374" s="162"/>
      <c r="F374" s="162"/>
      <c r="G374" s="162"/>
      <c r="H374" s="162"/>
      <c r="I374" s="162"/>
      <c r="J374" s="162"/>
      <c r="K374" s="162"/>
    </row>
    <row r="375" spans="5:11">
      <c r="E375" s="162"/>
      <c r="F375" s="162"/>
      <c r="G375" s="162"/>
      <c r="H375" s="162"/>
      <c r="I375" s="162"/>
      <c r="J375" s="162"/>
      <c r="K375" s="162"/>
    </row>
    <row r="376" spans="5:11">
      <c r="E376" s="162"/>
      <c r="F376" s="162"/>
      <c r="G376" s="162"/>
      <c r="H376" s="162"/>
      <c r="I376" s="162"/>
      <c r="J376" s="162"/>
      <c r="K376" s="162"/>
    </row>
    <row r="377" spans="5:11">
      <c r="E377" s="162"/>
      <c r="F377" s="162"/>
      <c r="G377" s="162"/>
      <c r="H377" s="162"/>
      <c r="I377" s="162"/>
      <c r="J377" s="162"/>
      <c r="K377" s="162"/>
    </row>
    <row r="378" spans="5:11">
      <c r="E378" s="162"/>
      <c r="F378" s="162"/>
      <c r="G378" s="162"/>
      <c r="H378" s="162"/>
      <c r="I378" s="162"/>
      <c r="J378" s="162"/>
      <c r="K378" s="162"/>
    </row>
    <row r="379" spans="5:11">
      <c r="E379" s="162"/>
      <c r="F379" s="162"/>
      <c r="G379" s="162"/>
      <c r="H379" s="162"/>
      <c r="I379" s="162"/>
      <c r="J379" s="162"/>
      <c r="K379" s="162"/>
    </row>
    <row r="380" spans="5:11">
      <c r="E380" s="162"/>
      <c r="F380" s="162"/>
      <c r="G380" s="162"/>
      <c r="H380" s="162"/>
      <c r="I380" s="162"/>
      <c r="J380" s="162"/>
      <c r="K380" s="162"/>
    </row>
    <row r="381" spans="5:11">
      <c r="E381" s="162"/>
      <c r="F381" s="162"/>
      <c r="G381" s="162"/>
      <c r="H381" s="162"/>
      <c r="I381" s="162"/>
      <c r="J381" s="162"/>
      <c r="K381" s="162"/>
    </row>
    <row r="382" spans="5:11">
      <c r="E382" s="162"/>
      <c r="F382" s="162"/>
      <c r="G382" s="162"/>
      <c r="H382" s="162"/>
      <c r="I382" s="162"/>
      <c r="J382" s="162"/>
      <c r="K382" s="162"/>
    </row>
    <row r="383" spans="5:11">
      <c r="E383" s="162"/>
      <c r="F383" s="162"/>
      <c r="G383" s="162"/>
      <c r="H383" s="162"/>
      <c r="I383" s="162"/>
      <c r="J383" s="162"/>
      <c r="K383" s="162"/>
    </row>
    <row r="384" spans="5:11">
      <c r="E384" s="162"/>
      <c r="F384" s="162"/>
      <c r="G384" s="162"/>
      <c r="H384" s="162"/>
      <c r="I384" s="162"/>
      <c r="J384" s="162"/>
      <c r="K384" s="162"/>
    </row>
    <row r="385" spans="5:11">
      <c r="E385" s="162"/>
      <c r="F385" s="162"/>
      <c r="G385" s="162"/>
      <c r="H385" s="162"/>
      <c r="I385" s="162"/>
      <c r="J385" s="162"/>
      <c r="K385" s="162"/>
    </row>
    <row r="386" spans="5:11">
      <c r="E386" s="162"/>
      <c r="F386" s="162"/>
      <c r="G386" s="162"/>
      <c r="H386" s="162"/>
      <c r="I386" s="162"/>
      <c r="J386" s="162"/>
      <c r="K386" s="162"/>
    </row>
    <row r="387" spans="5:11">
      <c r="E387" s="162"/>
      <c r="F387" s="162"/>
      <c r="G387" s="162"/>
      <c r="H387" s="162"/>
      <c r="I387" s="162"/>
      <c r="J387" s="162"/>
      <c r="K387" s="162"/>
    </row>
    <row r="388" spans="5:11">
      <c r="E388" s="162"/>
      <c r="F388" s="162"/>
      <c r="G388" s="162"/>
      <c r="H388" s="162"/>
      <c r="I388" s="162"/>
      <c r="J388" s="162"/>
      <c r="K388" s="162"/>
    </row>
    <row r="389" spans="5:11">
      <c r="E389" s="162"/>
      <c r="F389" s="162"/>
      <c r="G389" s="162"/>
      <c r="H389" s="162"/>
      <c r="I389" s="162"/>
      <c r="J389" s="162"/>
      <c r="K389" s="162"/>
    </row>
    <row r="390" spans="5:11">
      <c r="E390" s="162"/>
      <c r="F390" s="162"/>
      <c r="G390" s="162"/>
      <c r="H390" s="162"/>
      <c r="I390" s="162"/>
      <c r="J390" s="162"/>
      <c r="K390" s="162"/>
    </row>
    <row r="391" spans="5:11">
      <c r="E391" s="162"/>
      <c r="F391" s="162"/>
      <c r="G391" s="162"/>
      <c r="H391" s="162"/>
      <c r="I391" s="162"/>
      <c r="J391" s="162"/>
      <c r="K391" s="162"/>
    </row>
    <row r="392" spans="5:11">
      <c r="E392" s="162"/>
      <c r="F392" s="162"/>
      <c r="G392" s="162"/>
      <c r="H392" s="162"/>
      <c r="I392" s="162"/>
      <c r="J392" s="162"/>
      <c r="K392" s="162"/>
    </row>
    <row r="393" spans="5:11">
      <c r="E393" s="162"/>
      <c r="F393" s="162"/>
      <c r="G393" s="162"/>
      <c r="H393" s="162"/>
      <c r="I393" s="162"/>
      <c r="J393" s="162"/>
      <c r="K393" s="162"/>
    </row>
    <row r="394" spans="5:11">
      <c r="E394" s="162"/>
      <c r="F394" s="162"/>
      <c r="G394" s="162"/>
      <c r="H394" s="162"/>
      <c r="I394" s="162"/>
      <c r="J394" s="162"/>
      <c r="K394" s="162"/>
    </row>
    <row r="395" spans="5:11">
      <c r="E395" s="162"/>
      <c r="F395" s="162"/>
      <c r="G395" s="162"/>
      <c r="H395" s="162"/>
      <c r="I395" s="162"/>
      <c r="J395" s="162"/>
      <c r="K395" s="162"/>
    </row>
    <row r="396" spans="5:11">
      <c r="E396" s="162"/>
      <c r="F396" s="162"/>
      <c r="G396" s="162"/>
      <c r="H396" s="162"/>
      <c r="I396" s="162"/>
      <c r="J396" s="162"/>
      <c r="K396" s="162"/>
    </row>
    <row r="397" spans="5:11">
      <c r="E397" s="162"/>
      <c r="F397" s="162"/>
      <c r="G397" s="162"/>
      <c r="H397" s="162"/>
      <c r="I397" s="162"/>
      <c r="J397" s="162"/>
      <c r="K397" s="162"/>
    </row>
    <row r="398" spans="5:11">
      <c r="E398" s="162"/>
      <c r="F398" s="162"/>
      <c r="G398" s="162"/>
      <c r="H398" s="162"/>
      <c r="I398" s="162"/>
      <c r="J398" s="162"/>
      <c r="K398" s="162"/>
    </row>
    <row r="399" spans="5:11">
      <c r="E399" s="162"/>
      <c r="F399" s="162"/>
      <c r="G399" s="162"/>
      <c r="H399" s="162"/>
      <c r="I399" s="162"/>
      <c r="J399" s="162"/>
      <c r="K399" s="162"/>
    </row>
    <row r="400" spans="5:11">
      <c r="E400" s="162"/>
      <c r="F400" s="162"/>
      <c r="G400" s="162"/>
      <c r="H400" s="162"/>
      <c r="I400" s="162"/>
      <c r="J400" s="162"/>
      <c r="K400" s="162"/>
    </row>
    <row r="401" spans="5:11">
      <c r="E401" s="162"/>
      <c r="F401" s="162"/>
      <c r="G401" s="162"/>
      <c r="H401" s="162"/>
      <c r="I401" s="162"/>
      <c r="J401" s="162"/>
      <c r="K401" s="162"/>
    </row>
    <row r="402" spans="5:11">
      <c r="E402" s="162"/>
      <c r="F402" s="162"/>
      <c r="G402" s="162"/>
      <c r="H402" s="162"/>
      <c r="I402" s="162"/>
      <c r="J402" s="162"/>
      <c r="K402" s="162"/>
    </row>
    <row r="403" spans="5:11">
      <c r="E403" s="162"/>
      <c r="F403" s="162"/>
      <c r="G403" s="162"/>
      <c r="H403" s="162"/>
      <c r="I403" s="162"/>
      <c r="J403" s="162"/>
      <c r="K403" s="162"/>
    </row>
    <row r="404" spans="5:11">
      <c r="E404" s="162"/>
      <c r="F404" s="162"/>
      <c r="G404" s="162"/>
      <c r="H404" s="162"/>
      <c r="I404" s="162"/>
      <c r="J404" s="162"/>
      <c r="K404" s="162"/>
    </row>
    <row r="405" spans="5:11">
      <c r="E405" s="162"/>
      <c r="F405" s="162"/>
      <c r="G405" s="162"/>
      <c r="H405" s="162"/>
      <c r="I405" s="162"/>
      <c r="J405" s="162"/>
      <c r="K405" s="162"/>
    </row>
    <row r="406" spans="5:11">
      <c r="E406" s="162"/>
      <c r="F406" s="162"/>
      <c r="G406" s="162"/>
      <c r="H406" s="162"/>
      <c r="I406" s="162"/>
      <c r="J406" s="162"/>
      <c r="K406" s="162"/>
    </row>
    <row r="407" spans="5:11">
      <c r="E407" s="162"/>
      <c r="F407" s="162"/>
      <c r="G407" s="162"/>
      <c r="H407" s="162"/>
      <c r="I407" s="162"/>
      <c r="J407" s="162"/>
      <c r="K407" s="162"/>
    </row>
    <row r="408" spans="5:11">
      <c r="E408" s="162"/>
      <c r="F408" s="162"/>
      <c r="G408" s="162"/>
      <c r="H408" s="162"/>
      <c r="I408" s="162"/>
      <c r="J408" s="162"/>
      <c r="K408" s="162"/>
    </row>
    <row r="409" spans="5:11">
      <c r="E409" s="162"/>
      <c r="F409" s="162"/>
      <c r="G409" s="162"/>
      <c r="H409" s="162"/>
      <c r="I409" s="162"/>
      <c r="J409" s="162"/>
      <c r="K409" s="162"/>
    </row>
    <row r="410" spans="5:11">
      <c r="E410" s="162"/>
      <c r="F410" s="162"/>
      <c r="G410" s="162"/>
      <c r="H410" s="162"/>
      <c r="I410" s="162"/>
      <c r="J410" s="162"/>
      <c r="K410" s="162"/>
    </row>
    <row r="411" spans="5:11">
      <c r="E411" s="162"/>
      <c r="F411" s="162"/>
      <c r="G411" s="162"/>
      <c r="H411" s="162"/>
      <c r="I411" s="162"/>
      <c r="J411" s="162"/>
      <c r="K411" s="162"/>
    </row>
    <row r="412" spans="5:11">
      <c r="E412" s="162"/>
      <c r="F412" s="162"/>
      <c r="G412" s="162"/>
      <c r="H412" s="162"/>
      <c r="I412" s="162"/>
      <c r="J412" s="162"/>
      <c r="K412" s="162"/>
    </row>
    <row r="413" spans="5:11">
      <c r="E413" s="162"/>
      <c r="F413" s="162"/>
      <c r="G413" s="162"/>
      <c r="H413" s="162"/>
      <c r="I413" s="162"/>
      <c r="J413" s="162"/>
      <c r="K413" s="162"/>
    </row>
    <row r="414" spans="5:11">
      <c r="E414" s="162"/>
      <c r="F414" s="162"/>
      <c r="G414" s="162"/>
      <c r="H414" s="162"/>
      <c r="I414" s="162"/>
      <c r="J414" s="162"/>
      <c r="K414" s="162"/>
    </row>
    <row r="415" spans="5:11">
      <c r="E415" s="162"/>
      <c r="F415" s="162"/>
      <c r="G415" s="162"/>
      <c r="H415" s="162"/>
      <c r="I415" s="162"/>
      <c r="J415" s="162"/>
      <c r="K415" s="162"/>
    </row>
    <row r="416" spans="5:11">
      <c r="E416" s="162"/>
      <c r="F416" s="162"/>
      <c r="G416" s="162"/>
      <c r="H416" s="162"/>
      <c r="I416" s="162"/>
      <c r="J416" s="162"/>
      <c r="K416" s="162"/>
    </row>
    <row r="417" spans="5:11">
      <c r="E417" s="162"/>
      <c r="F417" s="162"/>
      <c r="G417" s="162"/>
      <c r="H417" s="162"/>
      <c r="I417" s="162"/>
      <c r="J417" s="162"/>
      <c r="K417" s="162"/>
    </row>
    <row r="418" spans="5:11">
      <c r="E418" s="162"/>
      <c r="F418" s="162"/>
      <c r="G418" s="162"/>
      <c r="H418" s="162"/>
      <c r="I418" s="162"/>
      <c r="J418" s="162"/>
      <c r="K418" s="162"/>
    </row>
    <row r="419" spans="5:11">
      <c r="E419" s="162"/>
      <c r="F419" s="162"/>
      <c r="G419" s="162"/>
      <c r="H419" s="162"/>
      <c r="I419" s="162"/>
      <c r="J419" s="162"/>
      <c r="K419" s="162"/>
    </row>
    <row r="420" spans="5:11">
      <c r="E420" s="162"/>
      <c r="F420" s="162"/>
      <c r="G420" s="162"/>
      <c r="H420" s="162"/>
      <c r="I420" s="162"/>
      <c r="J420" s="162"/>
      <c r="K420" s="162"/>
    </row>
    <row r="421" spans="5:11">
      <c r="E421" s="162"/>
      <c r="F421" s="162"/>
      <c r="G421" s="162"/>
      <c r="H421" s="162"/>
      <c r="I421" s="162"/>
      <c r="J421" s="162"/>
      <c r="K421" s="162"/>
    </row>
    <row r="422" spans="5:11">
      <c r="E422" s="162"/>
      <c r="F422" s="162"/>
      <c r="G422" s="162"/>
      <c r="H422" s="162"/>
      <c r="I422" s="162"/>
      <c r="J422" s="162"/>
      <c r="K422" s="162"/>
    </row>
    <row r="423" spans="5:11">
      <c r="E423" s="162"/>
      <c r="F423" s="162"/>
      <c r="G423" s="162"/>
      <c r="H423" s="162"/>
      <c r="I423" s="162"/>
      <c r="J423" s="162"/>
      <c r="K423" s="162"/>
    </row>
    <row r="424" spans="5:11">
      <c r="E424" s="162"/>
      <c r="F424" s="162"/>
      <c r="G424" s="162"/>
      <c r="H424" s="162"/>
      <c r="I424" s="162"/>
      <c r="J424" s="162"/>
      <c r="K424" s="162"/>
    </row>
    <row r="425" spans="5:11">
      <c r="E425" s="162"/>
      <c r="F425" s="162"/>
      <c r="G425" s="162"/>
      <c r="H425" s="162"/>
      <c r="I425" s="162"/>
      <c r="J425" s="162"/>
      <c r="K425" s="162"/>
    </row>
    <row r="426" spans="5:11">
      <c r="E426" s="162"/>
      <c r="F426" s="162"/>
      <c r="G426" s="162"/>
      <c r="H426" s="162"/>
      <c r="I426" s="162"/>
      <c r="J426" s="162"/>
      <c r="K426" s="162"/>
    </row>
    <row r="427" spans="5:11">
      <c r="E427" s="162"/>
      <c r="F427" s="162"/>
      <c r="G427" s="162"/>
      <c r="H427" s="162"/>
      <c r="I427" s="162"/>
      <c r="J427" s="162"/>
      <c r="K427" s="162"/>
    </row>
    <row r="428" spans="5:11">
      <c r="E428" s="162"/>
      <c r="F428" s="162"/>
      <c r="G428" s="162"/>
      <c r="H428" s="162"/>
      <c r="I428" s="162"/>
      <c r="J428" s="162"/>
      <c r="K428" s="162"/>
    </row>
    <row r="429" spans="5:11">
      <c r="E429" s="162"/>
      <c r="F429" s="162"/>
      <c r="G429" s="162"/>
      <c r="H429" s="162"/>
      <c r="I429" s="162"/>
      <c r="J429" s="162"/>
      <c r="K429" s="162"/>
    </row>
    <row r="430" spans="5:11">
      <c r="E430" s="162"/>
      <c r="F430" s="162"/>
      <c r="G430" s="162"/>
      <c r="H430" s="162"/>
      <c r="I430" s="162"/>
      <c r="J430" s="162"/>
      <c r="K430" s="162"/>
    </row>
    <row r="431" spans="5:11">
      <c r="E431" s="162"/>
      <c r="F431" s="162"/>
      <c r="G431" s="162"/>
      <c r="H431" s="162"/>
      <c r="I431" s="162"/>
      <c r="J431" s="162"/>
      <c r="K431" s="162"/>
    </row>
    <row r="432" spans="5:11">
      <c r="E432" s="162"/>
      <c r="F432" s="162"/>
      <c r="G432" s="162"/>
      <c r="H432" s="162"/>
      <c r="I432" s="162"/>
      <c r="J432" s="162"/>
      <c r="K432" s="162"/>
    </row>
    <row r="433" spans="5:11">
      <c r="E433" s="162"/>
      <c r="F433" s="162"/>
      <c r="G433" s="162"/>
      <c r="H433" s="162"/>
      <c r="I433" s="162"/>
      <c r="J433" s="162"/>
      <c r="K433" s="162"/>
    </row>
    <row r="434" spans="5:11">
      <c r="E434" s="162"/>
      <c r="F434" s="162"/>
      <c r="G434" s="162"/>
      <c r="H434" s="162"/>
      <c r="I434" s="162"/>
      <c r="J434" s="162"/>
      <c r="K434" s="162"/>
    </row>
    <row r="435" spans="5:11">
      <c r="E435" s="162"/>
      <c r="F435" s="162"/>
      <c r="G435" s="162"/>
      <c r="H435" s="162"/>
      <c r="I435" s="162"/>
      <c r="J435" s="162"/>
      <c r="K435" s="162"/>
    </row>
    <row r="436" spans="5:11">
      <c r="E436" s="162"/>
      <c r="F436" s="162"/>
      <c r="G436" s="162"/>
      <c r="H436" s="162"/>
      <c r="I436" s="162"/>
      <c r="J436" s="162"/>
      <c r="K436" s="162"/>
    </row>
    <row r="437" spans="5:11">
      <c r="E437" s="162"/>
      <c r="F437" s="162"/>
      <c r="G437" s="162"/>
      <c r="H437" s="162"/>
      <c r="I437" s="162"/>
      <c r="J437" s="162"/>
      <c r="K437" s="162"/>
    </row>
    <row r="438" spans="5:11">
      <c r="E438" s="162"/>
      <c r="F438" s="162"/>
      <c r="G438" s="162"/>
      <c r="H438" s="162"/>
      <c r="I438" s="162"/>
      <c r="J438" s="162"/>
      <c r="K438" s="162"/>
    </row>
    <row r="439" spans="5:11">
      <c r="E439" s="162"/>
      <c r="F439" s="162"/>
      <c r="G439" s="162"/>
      <c r="H439" s="162"/>
      <c r="I439" s="162"/>
      <c r="J439" s="162"/>
      <c r="K439" s="162"/>
    </row>
    <row r="440" spans="5:11">
      <c r="E440" s="162"/>
      <c r="F440" s="162"/>
      <c r="G440" s="162"/>
      <c r="H440" s="162"/>
      <c r="I440" s="162"/>
      <c r="J440" s="162"/>
      <c r="K440" s="162"/>
    </row>
    <row r="441" spans="5:11">
      <c r="E441" s="162"/>
      <c r="F441" s="162"/>
      <c r="G441" s="162"/>
      <c r="H441" s="162"/>
      <c r="I441" s="162"/>
      <c r="J441" s="162"/>
      <c r="K441" s="162"/>
    </row>
    <row r="442" spans="5:11">
      <c r="E442" s="162"/>
      <c r="F442" s="162"/>
      <c r="G442" s="162"/>
      <c r="H442" s="162"/>
      <c r="I442" s="162"/>
      <c r="J442" s="162"/>
      <c r="K442" s="162"/>
    </row>
    <row r="443" spans="5:11">
      <c r="E443" s="162"/>
      <c r="F443" s="162"/>
      <c r="G443" s="162"/>
      <c r="H443" s="162"/>
      <c r="I443" s="162"/>
      <c r="J443" s="162"/>
      <c r="K443" s="162"/>
    </row>
    <row r="444" spans="5:11">
      <c r="E444" s="162"/>
      <c r="F444" s="162"/>
      <c r="G444" s="162"/>
      <c r="H444" s="162"/>
      <c r="I444" s="162"/>
      <c r="J444" s="162"/>
      <c r="K444" s="162"/>
    </row>
    <row r="445" spans="5:11">
      <c r="E445" s="162"/>
      <c r="F445" s="162"/>
      <c r="G445" s="162"/>
      <c r="H445" s="162"/>
      <c r="I445" s="162"/>
      <c r="J445" s="162"/>
      <c r="K445" s="162"/>
    </row>
    <row r="446" spans="5:11">
      <c r="E446" s="162"/>
      <c r="F446" s="162"/>
      <c r="G446" s="162"/>
      <c r="H446" s="162"/>
      <c r="I446" s="162"/>
      <c r="J446" s="162"/>
      <c r="K446" s="162"/>
    </row>
    <row r="447" spans="5:11">
      <c r="E447" s="162"/>
      <c r="F447" s="162"/>
      <c r="G447" s="162"/>
      <c r="H447" s="162"/>
      <c r="I447" s="162"/>
      <c r="J447" s="162"/>
      <c r="K447" s="162"/>
    </row>
    <row r="448" spans="5:11">
      <c r="E448" s="162"/>
      <c r="F448" s="162"/>
      <c r="G448" s="162"/>
      <c r="H448" s="162"/>
      <c r="I448" s="162"/>
      <c r="J448" s="162"/>
      <c r="K448" s="162"/>
    </row>
    <row r="449" spans="5:11">
      <c r="E449" s="162"/>
      <c r="F449" s="162"/>
      <c r="G449" s="162"/>
      <c r="H449" s="162"/>
      <c r="I449" s="162"/>
      <c r="J449" s="162"/>
      <c r="K449" s="162"/>
    </row>
    <row r="450" spans="5:11">
      <c r="E450" s="162"/>
      <c r="F450" s="162"/>
      <c r="G450" s="162"/>
      <c r="H450" s="162"/>
      <c r="I450" s="162"/>
      <c r="J450" s="162"/>
      <c r="K450" s="162"/>
    </row>
    <row r="451" spans="5:11">
      <c r="E451" s="162"/>
      <c r="F451" s="162"/>
      <c r="G451" s="162"/>
      <c r="H451" s="162"/>
      <c r="I451" s="162"/>
      <c r="J451" s="162"/>
      <c r="K451" s="162"/>
    </row>
    <row r="452" spans="5:11">
      <c r="E452" s="162"/>
      <c r="F452" s="162"/>
      <c r="G452" s="162"/>
      <c r="H452" s="162"/>
      <c r="I452" s="162"/>
      <c r="J452" s="162"/>
      <c r="K452" s="162"/>
    </row>
    <row r="453" spans="5:11">
      <c r="E453" s="162"/>
      <c r="F453" s="162"/>
      <c r="G453" s="162"/>
      <c r="H453" s="162"/>
      <c r="I453" s="162"/>
      <c r="J453" s="162"/>
      <c r="K453" s="162"/>
    </row>
    <row r="454" spans="5:11">
      <c r="E454" s="162"/>
      <c r="F454" s="162"/>
      <c r="G454" s="162"/>
      <c r="H454" s="162"/>
      <c r="I454" s="162"/>
      <c r="J454" s="162"/>
      <c r="K454" s="162"/>
    </row>
    <row r="455" spans="5:11">
      <c r="E455" s="162"/>
      <c r="F455" s="162"/>
      <c r="G455" s="162"/>
      <c r="H455" s="162"/>
      <c r="I455" s="162"/>
      <c r="J455" s="162"/>
      <c r="K455" s="162"/>
    </row>
    <row r="456" spans="5:11">
      <c r="E456" s="162"/>
      <c r="F456" s="162"/>
      <c r="G456" s="162"/>
      <c r="H456" s="162"/>
      <c r="I456" s="162"/>
      <c r="J456" s="162"/>
      <c r="K456" s="162"/>
    </row>
    <row r="457" spans="5:11">
      <c r="E457" s="162"/>
      <c r="F457" s="162"/>
      <c r="G457" s="162"/>
      <c r="H457" s="162"/>
      <c r="I457" s="162"/>
      <c r="J457" s="162"/>
      <c r="K457" s="162"/>
    </row>
    <row r="458" spans="5:11">
      <c r="E458" s="162"/>
      <c r="F458" s="162"/>
      <c r="G458" s="162"/>
      <c r="H458" s="162"/>
      <c r="I458" s="162"/>
      <c r="J458" s="162"/>
      <c r="K458" s="162"/>
    </row>
    <row r="459" spans="5:11">
      <c r="E459" s="162"/>
      <c r="F459" s="162"/>
      <c r="G459" s="162"/>
      <c r="H459" s="162"/>
      <c r="I459" s="162"/>
      <c r="J459" s="162"/>
      <c r="K459" s="162"/>
    </row>
    <row r="460" spans="5:11">
      <c r="E460" s="162"/>
      <c r="F460" s="162"/>
      <c r="G460" s="162"/>
      <c r="H460" s="162"/>
      <c r="I460" s="162"/>
      <c r="J460" s="162"/>
      <c r="K460" s="162"/>
    </row>
    <row r="461" spans="5:11">
      <c r="E461" s="162"/>
      <c r="F461" s="162"/>
      <c r="G461" s="162"/>
      <c r="H461" s="162"/>
      <c r="I461" s="162"/>
      <c r="J461" s="162"/>
      <c r="K461" s="162"/>
    </row>
    <row r="462" spans="5:11">
      <c r="E462" s="162"/>
      <c r="F462" s="162"/>
      <c r="G462" s="162"/>
      <c r="H462" s="162"/>
      <c r="I462" s="162"/>
      <c r="J462" s="162"/>
      <c r="K462" s="162"/>
    </row>
    <row r="463" spans="5:11">
      <c r="E463" s="162"/>
      <c r="F463" s="162"/>
      <c r="G463" s="162"/>
      <c r="H463" s="162"/>
      <c r="I463" s="162"/>
      <c r="J463" s="162"/>
      <c r="K463" s="162"/>
    </row>
    <row r="464" spans="5:11">
      <c r="E464" s="162"/>
      <c r="F464" s="162"/>
      <c r="G464" s="162"/>
      <c r="H464" s="162"/>
      <c r="I464" s="162"/>
      <c r="J464" s="162"/>
      <c r="K464" s="162"/>
    </row>
    <row r="465" spans="5:11">
      <c r="E465" s="162"/>
      <c r="F465" s="162"/>
      <c r="G465" s="162"/>
      <c r="H465" s="162"/>
      <c r="I465" s="162"/>
      <c r="J465" s="162"/>
      <c r="K465" s="162"/>
    </row>
    <row r="466" spans="5:11">
      <c r="E466" s="162"/>
      <c r="F466" s="162"/>
      <c r="G466" s="162"/>
      <c r="H466" s="162"/>
      <c r="I466" s="162"/>
      <c r="J466" s="162"/>
      <c r="K466" s="162"/>
    </row>
    <row r="467" spans="5:11">
      <c r="E467" s="162"/>
      <c r="F467" s="162"/>
      <c r="G467" s="162"/>
      <c r="H467" s="162"/>
      <c r="I467" s="162"/>
      <c r="J467" s="162"/>
      <c r="K467" s="162"/>
    </row>
    <row r="468" spans="5:11">
      <c r="E468" s="162"/>
      <c r="F468" s="162"/>
      <c r="G468" s="162"/>
      <c r="H468" s="162"/>
      <c r="I468" s="162"/>
      <c r="J468" s="162"/>
      <c r="K468" s="162"/>
    </row>
    <row r="469" spans="5:11">
      <c r="E469" s="162"/>
      <c r="F469" s="162"/>
      <c r="G469" s="162"/>
      <c r="H469" s="162"/>
      <c r="I469" s="162"/>
      <c r="J469" s="162"/>
      <c r="K469" s="162"/>
    </row>
    <row r="470" spans="5:11">
      <c r="E470" s="162"/>
      <c r="F470" s="162"/>
      <c r="G470" s="162"/>
      <c r="H470" s="162"/>
      <c r="I470" s="162"/>
      <c r="J470" s="162"/>
      <c r="K470" s="162"/>
    </row>
    <row r="471" spans="5:11">
      <c r="E471" s="162"/>
      <c r="F471" s="162"/>
      <c r="G471" s="162"/>
      <c r="H471" s="162"/>
      <c r="I471" s="162"/>
      <c r="J471" s="162"/>
      <c r="K471" s="162"/>
    </row>
    <row r="472" spans="5:11">
      <c r="E472" s="162"/>
      <c r="F472" s="162"/>
      <c r="G472" s="162"/>
      <c r="H472" s="162"/>
      <c r="I472" s="162"/>
      <c r="J472" s="162"/>
      <c r="K472" s="162"/>
    </row>
    <row r="473" spans="5:11">
      <c r="E473" s="162"/>
      <c r="F473" s="162"/>
      <c r="G473" s="162"/>
      <c r="H473" s="162"/>
      <c r="I473" s="162"/>
      <c r="J473" s="162"/>
      <c r="K473" s="162"/>
    </row>
    <row r="474" spans="5:11">
      <c r="E474" s="162"/>
      <c r="F474" s="162"/>
      <c r="G474" s="162"/>
      <c r="H474" s="162"/>
      <c r="I474" s="162"/>
      <c r="J474" s="162"/>
      <c r="K474" s="162"/>
    </row>
    <row r="475" spans="5:11">
      <c r="E475" s="162"/>
      <c r="F475" s="162"/>
      <c r="G475" s="162"/>
      <c r="H475" s="162"/>
      <c r="I475" s="162"/>
      <c r="J475" s="162"/>
      <c r="K475" s="162"/>
    </row>
    <row r="476" spans="5:11">
      <c r="E476" s="162"/>
      <c r="F476" s="162"/>
      <c r="G476" s="162"/>
      <c r="H476" s="162"/>
      <c r="I476" s="162"/>
      <c r="J476" s="162"/>
      <c r="K476" s="162"/>
    </row>
    <row r="477" spans="5:11">
      <c r="E477" s="162"/>
      <c r="F477" s="162"/>
      <c r="G477" s="162"/>
      <c r="H477" s="162"/>
      <c r="I477" s="162"/>
      <c r="J477" s="162"/>
      <c r="K477" s="162"/>
    </row>
    <row r="478" spans="5:11">
      <c r="E478" s="162"/>
      <c r="F478" s="162"/>
      <c r="G478" s="162"/>
      <c r="H478" s="162"/>
      <c r="I478" s="162"/>
      <c r="J478" s="162"/>
      <c r="K478" s="162"/>
    </row>
    <row r="479" spans="5:11">
      <c r="E479" s="162"/>
      <c r="F479" s="162"/>
      <c r="G479" s="162"/>
      <c r="H479" s="162"/>
      <c r="I479" s="162"/>
      <c r="J479" s="162"/>
      <c r="K479" s="162"/>
    </row>
    <row r="480" spans="5:11">
      <c r="E480" s="162"/>
      <c r="F480" s="162"/>
      <c r="G480" s="162"/>
      <c r="H480" s="162"/>
      <c r="I480" s="162"/>
      <c r="J480" s="162"/>
      <c r="K480" s="162"/>
    </row>
    <row r="481" spans="5:11">
      <c r="E481" s="162"/>
      <c r="F481" s="162"/>
      <c r="G481" s="162"/>
      <c r="H481" s="162"/>
      <c r="I481" s="162"/>
      <c r="J481" s="162"/>
      <c r="K481" s="162"/>
    </row>
    <row r="482" spans="5:11">
      <c r="E482" s="162"/>
      <c r="F482" s="162"/>
      <c r="G482" s="162"/>
      <c r="H482" s="162"/>
      <c r="I482" s="162"/>
      <c r="J482" s="162"/>
      <c r="K482" s="162"/>
    </row>
    <row r="483" spans="5:11">
      <c r="E483" s="162"/>
      <c r="F483" s="162"/>
      <c r="G483" s="162"/>
      <c r="H483" s="162"/>
      <c r="I483" s="162"/>
      <c r="J483" s="162"/>
      <c r="K483" s="162"/>
    </row>
    <row r="484" spans="5:11">
      <c r="E484" s="162"/>
      <c r="F484" s="162"/>
      <c r="G484" s="162"/>
      <c r="H484" s="162"/>
      <c r="I484" s="162"/>
      <c r="J484" s="162"/>
      <c r="K484" s="162"/>
    </row>
    <row r="485" spans="5:11">
      <c r="E485" s="162"/>
      <c r="F485" s="162"/>
      <c r="G485" s="162"/>
      <c r="H485" s="162"/>
      <c r="I485" s="162"/>
      <c r="J485" s="162"/>
      <c r="K485" s="162"/>
    </row>
    <row r="486" spans="5:11">
      <c r="E486" s="162"/>
      <c r="F486" s="162"/>
      <c r="G486" s="162"/>
      <c r="H486" s="162"/>
      <c r="I486" s="162"/>
      <c r="J486" s="162"/>
      <c r="K486" s="162"/>
    </row>
    <row r="487" spans="5:11">
      <c r="E487" s="162"/>
      <c r="F487" s="162"/>
      <c r="G487" s="162"/>
      <c r="H487" s="162"/>
      <c r="I487" s="162"/>
      <c r="J487" s="162"/>
      <c r="K487" s="162"/>
    </row>
    <row r="488" spans="5:11">
      <c r="E488" s="162"/>
      <c r="F488" s="162"/>
      <c r="G488" s="162"/>
      <c r="H488" s="162"/>
      <c r="I488" s="162"/>
      <c r="J488" s="162"/>
      <c r="K488" s="162"/>
    </row>
    <row r="489" spans="5:11">
      <c r="E489" s="162"/>
      <c r="F489" s="162"/>
      <c r="G489" s="162"/>
      <c r="H489" s="162"/>
      <c r="I489" s="162"/>
      <c r="J489" s="162"/>
      <c r="K489" s="162"/>
    </row>
    <row r="490" spans="5:11">
      <c r="E490" s="162"/>
      <c r="F490" s="162"/>
      <c r="G490" s="162"/>
      <c r="H490" s="162"/>
      <c r="I490" s="162"/>
      <c r="J490" s="162"/>
      <c r="K490" s="162"/>
    </row>
    <row r="491" spans="5:11">
      <c r="E491" s="162"/>
      <c r="F491" s="162"/>
      <c r="G491" s="162"/>
      <c r="H491" s="162"/>
      <c r="I491" s="162"/>
      <c r="J491" s="162"/>
      <c r="K491" s="162"/>
    </row>
    <row r="492" spans="5:11">
      <c r="E492" s="162"/>
      <c r="F492" s="162"/>
      <c r="G492" s="162"/>
      <c r="H492" s="162"/>
      <c r="I492" s="162"/>
      <c r="J492" s="162"/>
      <c r="K492" s="162"/>
    </row>
    <row r="493" spans="5:11">
      <c r="E493" s="162"/>
      <c r="F493" s="162"/>
      <c r="G493" s="162"/>
      <c r="H493" s="162"/>
      <c r="I493" s="162"/>
      <c r="J493" s="162"/>
      <c r="K493" s="162"/>
    </row>
    <row r="494" spans="5:11">
      <c r="E494" s="162"/>
      <c r="F494" s="162"/>
      <c r="G494" s="162"/>
      <c r="H494" s="162"/>
      <c r="I494" s="162"/>
      <c r="J494" s="162"/>
      <c r="K494" s="162"/>
    </row>
    <row r="495" spans="5:11">
      <c r="E495" s="162"/>
      <c r="F495" s="162"/>
      <c r="G495" s="162"/>
      <c r="H495" s="162"/>
      <c r="I495" s="162"/>
      <c r="J495" s="162"/>
      <c r="K495" s="162"/>
    </row>
    <row r="496" spans="5:11">
      <c r="E496" s="162"/>
      <c r="F496" s="162"/>
      <c r="G496" s="162"/>
      <c r="H496" s="162"/>
      <c r="I496" s="162"/>
      <c r="J496" s="162"/>
      <c r="K496" s="162"/>
    </row>
    <row r="497" spans="5:11">
      <c r="E497" s="162"/>
      <c r="F497" s="162"/>
      <c r="G497" s="162"/>
      <c r="H497" s="162"/>
      <c r="I497" s="162"/>
      <c r="J497" s="162"/>
      <c r="K497" s="162"/>
    </row>
    <row r="498" spans="5:11">
      <c r="E498" s="162"/>
      <c r="F498" s="162"/>
      <c r="G498" s="162"/>
      <c r="H498" s="162"/>
      <c r="I498" s="162"/>
      <c r="J498" s="162"/>
      <c r="K498" s="162"/>
    </row>
    <row r="499" spans="5:11">
      <c r="E499" s="162"/>
      <c r="F499" s="162"/>
      <c r="G499" s="162"/>
      <c r="H499" s="162"/>
      <c r="I499" s="162"/>
      <c r="J499" s="162"/>
      <c r="K499" s="162"/>
    </row>
    <row r="500" spans="5:11">
      <c r="E500" s="162"/>
      <c r="F500" s="162"/>
      <c r="G500" s="162"/>
      <c r="H500" s="162"/>
      <c r="I500" s="162"/>
      <c r="J500" s="162"/>
      <c r="K500" s="162"/>
    </row>
    <row r="501" spans="5:11">
      <c r="E501" s="162"/>
      <c r="F501" s="162"/>
      <c r="G501" s="162"/>
      <c r="H501" s="162"/>
      <c r="I501" s="162"/>
      <c r="J501" s="162"/>
      <c r="K501" s="162"/>
    </row>
    <row r="502" spans="5:11">
      <c r="E502" s="162"/>
      <c r="F502" s="162"/>
      <c r="G502" s="162"/>
      <c r="H502" s="162"/>
      <c r="I502" s="162"/>
      <c r="J502" s="162"/>
      <c r="K502" s="162"/>
    </row>
    <row r="503" spans="5:11">
      <c r="E503" s="162"/>
      <c r="F503" s="162"/>
      <c r="G503" s="162"/>
      <c r="H503" s="162"/>
      <c r="I503" s="162"/>
      <c r="J503" s="162"/>
      <c r="K503" s="162"/>
    </row>
    <row r="504" spans="5:11">
      <c r="E504" s="162"/>
      <c r="F504" s="162"/>
      <c r="G504" s="162"/>
      <c r="H504" s="162"/>
      <c r="I504" s="162"/>
      <c r="J504" s="162"/>
      <c r="K504" s="162"/>
    </row>
    <row r="505" spans="5:11">
      <c r="E505" s="162"/>
      <c r="F505" s="162"/>
      <c r="G505" s="162"/>
      <c r="H505" s="162"/>
      <c r="I505" s="162"/>
      <c r="J505" s="162"/>
      <c r="K505" s="162"/>
    </row>
    <row r="506" spans="5:11">
      <c r="E506" s="162"/>
      <c r="F506" s="162"/>
      <c r="G506" s="162"/>
      <c r="H506" s="162"/>
      <c r="I506" s="162"/>
      <c r="J506" s="162"/>
      <c r="K506" s="162"/>
    </row>
    <row r="507" spans="5:11">
      <c r="E507" s="162"/>
      <c r="F507" s="162"/>
      <c r="G507" s="162"/>
      <c r="H507" s="162"/>
      <c r="I507" s="162"/>
      <c r="J507" s="162"/>
      <c r="K507" s="162"/>
    </row>
    <row r="508" spans="5:11">
      <c r="E508" s="162"/>
      <c r="F508" s="162"/>
      <c r="G508" s="162"/>
      <c r="H508" s="162"/>
      <c r="I508" s="162"/>
      <c r="J508" s="162"/>
      <c r="K508" s="162"/>
    </row>
    <row r="509" spans="5:11">
      <c r="E509" s="162"/>
      <c r="F509" s="162"/>
      <c r="G509" s="162"/>
      <c r="H509" s="162"/>
      <c r="I509" s="162"/>
      <c r="J509" s="162"/>
      <c r="K509" s="162"/>
    </row>
    <row r="510" spans="5:11">
      <c r="E510" s="162"/>
      <c r="F510" s="162"/>
      <c r="G510" s="162"/>
      <c r="H510" s="162"/>
      <c r="I510" s="162"/>
      <c r="J510" s="162"/>
      <c r="K510" s="162"/>
    </row>
    <row r="511" spans="5:11">
      <c r="E511" s="162"/>
      <c r="F511" s="162"/>
      <c r="G511" s="162"/>
      <c r="H511" s="162"/>
      <c r="I511" s="162"/>
      <c r="J511" s="162"/>
      <c r="K511" s="162"/>
    </row>
    <row r="512" spans="5:11">
      <c r="E512" s="162"/>
      <c r="F512" s="162"/>
      <c r="G512" s="162"/>
      <c r="H512" s="162"/>
      <c r="I512" s="162"/>
      <c r="J512" s="162"/>
      <c r="K512" s="162"/>
    </row>
    <row r="513" spans="5:11">
      <c r="E513" s="162"/>
      <c r="F513" s="162"/>
      <c r="G513" s="162"/>
      <c r="H513" s="162"/>
      <c r="I513" s="162"/>
      <c r="J513" s="162"/>
      <c r="K513" s="162"/>
    </row>
    <row r="514" spans="5:11">
      <c r="E514" s="162"/>
      <c r="F514" s="162"/>
      <c r="G514" s="162"/>
      <c r="H514" s="162"/>
      <c r="I514" s="162"/>
      <c r="J514" s="162"/>
      <c r="K514" s="162"/>
    </row>
    <row r="515" spans="5:11">
      <c r="E515" s="162"/>
      <c r="F515" s="162"/>
      <c r="G515" s="162"/>
      <c r="H515" s="162"/>
      <c r="I515" s="162"/>
      <c r="J515" s="162"/>
      <c r="K515" s="162"/>
    </row>
    <row r="516" spans="5:11">
      <c r="E516" s="162"/>
      <c r="F516" s="162"/>
      <c r="G516" s="162"/>
      <c r="H516" s="162"/>
      <c r="I516" s="162"/>
      <c r="J516" s="162"/>
      <c r="K516" s="162"/>
    </row>
    <row r="517" spans="5:11">
      <c r="E517" s="162"/>
      <c r="F517" s="162"/>
      <c r="G517" s="162"/>
      <c r="H517" s="162"/>
      <c r="I517" s="162"/>
      <c r="J517" s="162"/>
      <c r="K517" s="162"/>
    </row>
    <row r="518" spans="5:11">
      <c r="E518" s="162"/>
      <c r="F518" s="162"/>
      <c r="G518" s="162"/>
      <c r="H518" s="162"/>
      <c r="I518" s="162"/>
      <c r="J518" s="162"/>
      <c r="K518" s="162"/>
    </row>
    <row r="519" spans="5:11">
      <c r="E519" s="162"/>
      <c r="F519" s="162"/>
      <c r="G519" s="162"/>
      <c r="H519" s="162"/>
      <c r="I519" s="162"/>
      <c r="J519" s="162"/>
      <c r="K519" s="162"/>
    </row>
    <row r="520" spans="5:11">
      <c r="E520" s="162"/>
      <c r="F520" s="162"/>
      <c r="G520" s="162"/>
      <c r="H520" s="162"/>
      <c r="I520" s="162"/>
      <c r="J520" s="162"/>
      <c r="K520" s="162"/>
    </row>
    <row r="521" spans="5:11">
      <c r="E521" s="162"/>
      <c r="F521" s="162"/>
      <c r="G521" s="162"/>
      <c r="H521" s="162"/>
      <c r="I521" s="162"/>
      <c r="J521" s="162"/>
      <c r="K521" s="162"/>
    </row>
    <row r="522" spans="5:11">
      <c r="E522" s="162"/>
      <c r="F522" s="162"/>
      <c r="G522" s="162"/>
      <c r="H522" s="162"/>
      <c r="I522" s="162"/>
      <c r="J522" s="162"/>
      <c r="K522" s="162"/>
    </row>
    <row r="523" spans="5:11">
      <c r="E523" s="162"/>
      <c r="F523" s="162"/>
      <c r="G523" s="162"/>
      <c r="H523" s="162"/>
      <c r="I523" s="162"/>
      <c r="J523" s="162"/>
      <c r="K523" s="162"/>
    </row>
    <row r="524" spans="5:11">
      <c r="E524" s="162"/>
      <c r="F524" s="162"/>
      <c r="G524" s="162"/>
      <c r="H524" s="162"/>
      <c r="I524" s="162"/>
      <c r="J524" s="162"/>
      <c r="K524" s="162"/>
    </row>
    <row r="525" spans="5:11">
      <c r="E525" s="162"/>
      <c r="F525" s="162"/>
      <c r="G525" s="162"/>
      <c r="H525" s="162"/>
      <c r="I525" s="162"/>
      <c r="J525" s="162"/>
      <c r="K525" s="162"/>
    </row>
    <row r="526" spans="5:11">
      <c r="E526" s="162"/>
      <c r="F526" s="162"/>
      <c r="G526" s="162"/>
      <c r="H526" s="162"/>
      <c r="I526" s="162"/>
      <c r="J526" s="162"/>
      <c r="K526" s="162"/>
    </row>
    <row r="527" spans="5:11">
      <c r="E527" s="162"/>
      <c r="F527" s="162"/>
      <c r="G527" s="162"/>
      <c r="H527" s="162"/>
      <c r="I527" s="162"/>
      <c r="J527" s="162"/>
      <c r="K527" s="162"/>
    </row>
    <row r="528" spans="5:11">
      <c r="E528" s="162"/>
      <c r="F528" s="162"/>
      <c r="G528" s="162"/>
      <c r="H528" s="162"/>
      <c r="I528" s="162"/>
      <c r="J528" s="162"/>
      <c r="K528" s="162"/>
    </row>
    <row r="529" spans="5:11">
      <c r="E529" s="162"/>
      <c r="F529" s="162"/>
      <c r="G529" s="162"/>
      <c r="H529" s="162"/>
      <c r="I529" s="162"/>
      <c r="J529" s="162"/>
      <c r="K529" s="162"/>
    </row>
    <row r="530" spans="5:11">
      <c r="E530" s="162"/>
      <c r="F530" s="162"/>
      <c r="G530" s="162"/>
      <c r="H530" s="162"/>
      <c r="I530" s="162"/>
      <c r="J530" s="162"/>
      <c r="K530" s="162"/>
    </row>
    <row r="531" spans="5:11">
      <c r="E531" s="162"/>
      <c r="F531" s="162"/>
      <c r="G531" s="162"/>
      <c r="H531" s="162"/>
      <c r="I531" s="162"/>
      <c r="J531" s="162"/>
      <c r="K531" s="162"/>
    </row>
    <row r="532" spans="5:11">
      <c r="E532" s="162"/>
      <c r="F532" s="162"/>
      <c r="G532" s="162"/>
      <c r="H532" s="162"/>
      <c r="I532" s="162"/>
      <c r="J532" s="162"/>
      <c r="K532" s="162"/>
    </row>
    <row r="533" spans="5:11">
      <c r="E533" s="162"/>
      <c r="F533" s="162"/>
      <c r="G533" s="162"/>
      <c r="H533" s="162"/>
      <c r="I533" s="162"/>
      <c r="J533" s="162"/>
      <c r="K533" s="162"/>
    </row>
    <row r="534" spans="5:11">
      <c r="E534" s="162"/>
      <c r="F534" s="162"/>
      <c r="G534" s="162"/>
      <c r="H534" s="162"/>
      <c r="I534" s="162"/>
      <c r="J534" s="162"/>
      <c r="K534" s="162"/>
    </row>
    <row r="535" spans="5:11">
      <c r="E535" s="162"/>
      <c r="F535" s="162"/>
      <c r="G535" s="162"/>
      <c r="H535" s="162"/>
      <c r="I535" s="162"/>
      <c r="J535" s="162"/>
      <c r="K535" s="162"/>
    </row>
    <row r="536" spans="5:11">
      <c r="E536" s="162"/>
      <c r="F536" s="162"/>
      <c r="G536" s="162"/>
      <c r="H536" s="162"/>
      <c r="I536" s="162"/>
      <c r="J536" s="162"/>
      <c r="K536" s="162"/>
    </row>
    <row r="537" spans="5:11">
      <c r="E537" s="162"/>
      <c r="F537" s="162"/>
      <c r="G537" s="162"/>
      <c r="H537" s="162"/>
      <c r="I537" s="162"/>
      <c r="J537" s="162"/>
      <c r="K537" s="162"/>
    </row>
    <row r="538" spans="5:11">
      <c r="E538" s="162"/>
      <c r="F538" s="162"/>
      <c r="G538" s="162"/>
      <c r="H538" s="162"/>
      <c r="I538" s="162"/>
      <c r="J538" s="162"/>
      <c r="K538" s="162"/>
    </row>
    <row r="539" spans="5:11">
      <c r="E539" s="162"/>
      <c r="F539" s="162"/>
      <c r="G539" s="162"/>
      <c r="H539" s="162"/>
      <c r="I539" s="162"/>
      <c r="J539" s="162"/>
      <c r="K539" s="162"/>
    </row>
    <row r="540" spans="5:11">
      <c r="E540" s="162"/>
      <c r="F540" s="162"/>
      <c r="G540" s="162"/>
      <c r="H540" s="162"/>
      <c r="I540" s="162"/>
      <c r="J540" s="162"/>
      <c r="K540" s="162"/>
    </row>
    <row r="541" spans="5:11">
      <c r="E541" s="162"/>
      <c r="F541" s="162"/>
      <c r="G541" s="162"/>
      <c r="H541" s="162"/>
      <c r="I541" s="162"/>
      <c r="J541" s="162"/>
      <c r="K541" s="162"/>
    </row>
    <row r="542" spans="5:11">
      <c r="E542" s="162"/>
      <c r="F542" s="162"/>
      <c r="G542" s="162"/>
      <c r="H542" s="162"/>
      <c r="I542" s="162"/>
      <c r="J542" s="162"/>
      <c r="K542" s="162"/>
    </row>
    <row r="543" spans="5:11">
      <c r="E543" s="162"/>
      <c r="F543" s="162"/>
      <c r="G543" s="162"/>
      <c r="H543" s="162"/>
      <c r="I543" s="162"/>
      <c r="J543" s="162"/>
      <c r="K543" s="162"/>
    </row>
    <row r="544" spans="5:11">
      <c r="E544" s="162"/>
      <c r="F544" s="162"/>
      <c r="G544" s="162"/>
      <c r="H544" s="162"/>
      <c r="I544" s="162"/>
      <c r="J544" s="162"/>
      <c r="K544" s="162"/>
    </row>
    <row r="545" spans="5:11">
      <c r="E545" s="162"/>
      <c r="F545" s="162"/>
      <c r="G545" s="162"/>
      <c r="H545" s="162"/>
      <c r="I545" s="162"/>
      <c r="J545" s="162"/>
      <c r="K545" s="162"/>
    </row>
    <row r="546" spans="5:11">
      <c r="E546" s="162"/>
      <c r="F546" s="162"/>
      <c r="G546" s="162"/>
      <c r="H546" s="162"/>
      <c r="I546" s="162"/>
      <c r="J546" s="162"/>
      <c r="K546" s="162"/>
    </row>
    <row r="547" spans="5:11">
      <c r="E547" s="162"/>
      <c r="F547" s="162"/>
      <c r="G547" s="162"/>
      <c r="H547" s="162"/>
      <c r="I547" s="162"/>
      <c r="J547" s="162"/>
      <c r="K547" s="162"/>
    </row>
    <row r="548" spans="5:11">
      <c r="E548" s="162"/>
      <c r="F548" s="162"/>
      <c r="G548" s="162"/>
      <c r="H548" s="162"/>
      <c r="I548" s="162"/>
      <c r="J548" s="162"/>
      <c r="K548" s="162"/>
    </row>
    <row r="549" spans="5:11">
      <c r="E549" s="162"/>
      <c r="F549" s="162"/>
      <c r="G549" s="162"/>
      <c r="H549" s="162"/>
      <c r="I549" s="162"/>
      <c r="J549" s="162"/>
      <c r="K549" s="162"/>
    </row>
    <row r="550" spans="5:11">
      <c r="E550" s="162"/>
      <c r="F550" s="162"/>
      <c r="G550" s="162"/>
      <c r="H550" s="162"/>
      <c r="I550" s="162"/>
      <c r="J550" s="162"/>
      <c r="K550" s="162"/>
    </row>
    <row r="551" spans="5:11">
      <c r="E551" s="162"/>
      <c r="F551" s="162"/>
      <c r="G551" s="162"/>
      <c r="H551" s="162"/>
      <c r="I551" s="162"/>
      <c r="J551" s="162"/>
      <c r="K551" s="162"/>
    </row>
    <row r="552" spans="5:11">
      <c r="E552" s="162"/>
      <c r="F552" s="162"/>
      <c r="G552" s="162"/>
      <c r="H552" s="162"/>
      <c r="I552" s="162"/>
      <c r="J552" s="162"/>
      <c r="K552" s="162"/>
    </row>
    <row r="553" spans="5:11">
      <c r="E553" s="162"/>
      <c r="F553" s="162"/>
      <c r="G553" s="162"/>
      <c r="H553" s="162"/>
      <c r="I553" s="162"/>
      <c r="J553" s="162"/>
      <c r="K553" s="162"/>
    </row>
    <row r="554" spans="5:11">
      <c r="E554" s="162"/>
      <c r="F554" s="162"/>
      <c r="G554" s="162"/>
      <c r="H554" s="162"/>
      <c r="I554" s="162"/>
      <c r="J554" s="162"/>
      <c r="K554" s="162"/>
    </row>
    <row r="555" spans="5:11">
      <c r="E555" s="162"/>
      <c r="F555" s="162"/>
      <c r="G555" s="162"/>
      <c r="H555" s="162"/>
      <c r="I555" s="162"/>
      <c r="J555" s="162"/>
      <c r="K555" s="162"/>
    </row>
    <row r="556" spans="5:11">
      <c r="E556" s="162"/>
      <c r="F556" s="162"/>
      <c r="G556" s="162"/>
      <c r="H556" s="162"/>
      <c r="I556" s="162"/>
      <c r="J556" s="162"/>
      <c r="K556" s="162"/>
    </row>
    <row r="557" spans="5:11">
      <c r="E557" s="162"/>
      <c r="F557" s="162"/>
      <c r="G557" s="162"/>
      <c r="H557" s="162"/>
      <c r="I557" s="162"/>
      <c r="J557" s="162"/>
      <c r="K557" s="162"/>
    </row>
    <row r="558" spans="5:11">
      <c r="E558" s="162"/>
      <c r="F558" s="162"/>
      <c r="G558" s="162"/>
      <c r="H558" s="162"/>
      <c r="I558" s="162"/>
      <c r="J558" s="162"/>
      <c r="K558" s="162"/>
    </row>
    <row r="559" spans="5:11">
      <c r="E559" s="162"/>
      <c r="F559" s="162"/>
      <c r="G559" s="162"/>
      <c r="H559" s="162"/>
      <c r="I559" s="162"/>
      <c r="J559" s="162"/>
      <c r="K559" s="162"/>
    </row>
    <row r="560" spans="5:11">
      <c r="E560" s="162"/>
      <c r="F560" s="162"/>
      <c r="G560" s="162"/>
      <c r="H560" s="162"/>
      <c r="I560" s="162"/>
      <c r="J560" s="162"/>
      <c r="K560" s="162"/>
    </row>
    <row r="561" spans="5:11">
      <c r="E561" s="162"/>
      <c r="F561" s="162"/>
      <c r="G561" s="162"/>
      <c r="H561" s="162"/>
      <c r="I561" s="162"/>
      <c r="J561" s="162"/>
      <c r="K561" s="162"/>
    </row>
    <row r="562" spans="5:11">
      <c r="E562" s="162"/>
      <c r="F562" s="162"/>
      <c r="G562" s="162"/>
      <c r="H562" s="162"/>
      <c r="I562" s="162"/>
      <c r="J562" s="162"/>
      <c r="K562" s="162"/>
    </row>
    <row r="563" spans="5:11">
      <c r="E563" s="162"/>
      <c r="F563" s="162"/>
      <c r="G563" s="162"/>
      <c r="H563" s="162"/>
      <c r="I563" s="162"/>
      <c r="J563" s="162"/>
      <c r="K563" s="162"/>
    </row>
    <row r="564" spans="5:11">
      <c r="E564" s="162"/>
      <c r="F564" s="162"/>
      <c r="G564" s="162"/>
      <c r="H564" s="162"/>
      <c r="I564" s="162"/>
      <c r="J564" s="162"/>
      <c r="K564" s="162"/>
    </row>
    <row r="565" spans="5:11">
      <c r="E565" s="162"/>
      <c r="F565" s="162"/>
      <c r="G565" s="162"/>
      <c r="H565" s="162"/>
      <c r="I565" s="162"/>
      <c r="J565" s="162"/>
      <c r="K565" s="162"/>
    </row>
    <row r="566" spans="5:11">
      <c r="E566" s="162"/>
      <c r="F566" s="162"/>
      <c r="G566" s="162"/>
      <c r="H566" s="162"/>
      <c r="I566" s="162"/>
      <c r="J566" s="162"/>
      <c r="K566" s="162"/>
    </row>
    <row r="567" spans="5:11">
      <c r="E567" s="162"/>
      <c r="F567" s="162"/>
      <c r="G567" s="162"/>
      <c r="H567" s="162"/>
      <c r="I567" s="162"/>
      <c r="J567" s="162"/>
      <c r="K567" s="162"/>
    </row>
    <row r="568" spans="5:11">
      <c r="E568" s="162"/>
      <c r="F568" s="162"/>
      <c r="G568" s="162"/>
      <c r="H568" s="162"/>
      <c r="I568" s="162"/>
      <c r="J568" s="162"/>
      <c r="K568" s="162"/>
    </row>
    <row r="569" spans="5:11">
      <c r="E569" s="162"/>
      <c r="F569" s="162"/>
      <c r="G569" s="162"/>
      <c r="H569" s="162"/>
      <c r="I569" s="162"/>
      <c r="J569" s="162"/>
      <c r="K569" s="162"/>
    </row>
    <row r="570" spans="5:11">
      <c r="E570" s="162"/>
      <c r="F570" s="162"/>
      <c r="G570" s="162"/>
      <c r="H570" s="162"/>
      <c r="I570" s="162"/>
      <c r="J570" s="162"/>
      <c r="K570" s="162"/>
    </row>
    <row r="571" spans="5:11">
      <c r="E571" s="162"/>
      <c r="F571" s="162"/>
      <c r="G571" s="162"/>
      <c r="H571" s="162"/>
      <c r="I571" s="162"/>
      <c r="J571" s="162"/>
      <c r="K571" s="162"/>
    </row>
    <row r="572" spans="5:11">
      <c r="E572" s="162"/>
      <c r="F572" s="162"/>
      <c r="G572" s="162"/>
      <c r="H572" s="162"/>
      <c r="I572" s="162"/>
      <c r="J572" s="162"/>
      <c r="K572" s="162"/>
    </row>
    <row r="573" spans="5:11">
      <c r="E573" s="162"/>
      <c r="F573" s="162"/>
      <c r="G573" s="162"/>
      <c r="H573" s="162"/>
      <c r="I573" s="162"/>
      <c r="J573" s="162"/>
      <c r="K573" s="162"/>
    </row>
    <row r="574" spans="5:11">
      <c r="E574" s="162"/>
      <c r="F574" s="162"/>
      <c r="G574" s="162"/>
      <c r="H574" s="162"/>
      <c r="I574" s="162"/>
      <c r="J574" s="162"/>
      <c r="K574" s="162"/>
    </row>
    <row r="575" spans="5:11">
      <c r="E575" s="162"/>
      <c r="F575" s="162"/>
      <c r="G575" s="162"/>
      <c r="H575" s="162"/>
      <c r="I575" s="162"/>
      <c r="J575" s="162"/>
      <c r="K575" s="162"/>
    </row>
    <row r="576" spans="5:11">
      <c r="E576" s="162"/>
      <c r="F576" s="162"/>
      <c r="G576" s="162"/>
      <c r="H576" s="162"/>
      <c r="I576" s="162"/>
      <c r="J576" s="162"/>
      <c r="K576" s="162"/>
    </row>
    <row r="577" spans="5:11">
      <c r="E577" s="162"/>
      <c r="F577" s="162"/>
      <c r="G577" s="162"/>
      <c r="H577" s="162"/>
      <c r="I577" s="162"/>
      <c r="J577" s="162"/>
      <c r="K577" s="162"/>
    </row>
    <row r="578" spans="5:11">
      <c r="E578" s="162"/>
      <c r="F578" s="162"/>
      <c r="G578" s="162"/>
      <c r="H578" s="162"/>
      <c r="I578" s="162"/>
      <c r="J578" s="162"/>
      <c r="K578" s="162"/>
    </row>
    <row r="579" spans="5:11">
      <c r="E579" s="162"/>
      <c r="F579" s="162"/>
      <c r="G579" s="162"/>
      <c r="H579" s="162"/>
      <c r="I579" s="162"/>
      <c r="J579" s="162"/>
      <c r="K579" s="162"/>
    </row>
    <row r="580" spans="5:11">
      <c r="E580" s="162"/>
      <c r="F580" s="162"/>
      <c r="G580" s="162"/>
      <c r="H580" s="162"/>
      <c r="I580" s="162"/>
      <c r="J580" s="162"/>
      <c r="K580" s="162"/>
    </row>
    <row r="581" spans="5:11">
      <c r="E581" s="162"/>
      <c r="F581" s="162"/>
      <c r="G581" s="162"/>
      <c r="H581" s="162"/>
      <c r="I581" s="162"/>
      <c r="J581" s="162"/>
      <c r="K581" s="162"/>
    </row>
    <row r="582" spans="5:11">
      <c r="E582" s="162"/>
      <c r="F582" s="162"/>
      <c r="G582" s="162"/>
      <c r="H582" s="162"/>
      <c r="I582" s="162"/>
      <c r="J582" s="162"/>
      <c r="K582" s="162"/>
    </row>
    <row r="583" spans="5:11">
      <c r="E583" s="162"/>
      <c r="F583" s="162"/>
      <c r="G583" s="162"/>
      <c r="H583" s="162"/>
      <c r="I583" s="162"/>
      <c r="J583" s="162"/>
      <c r="K583" s="162"/>
    </row>
    <row r="584" spans="5:11">
      <c r="E584" s="162"/>
      <c r="F584" s="162"/>
      <c r="G584" s="162"/>
      <c r="H584" s="162"/>
      <c r="I584" s="162"/>
      <c r="J584" s="162"/>
      <c r="K584" s="162"/>
    </row>
    <row r="585" spans="5:11">
      <c r="E585" s="162"/>
      <c r="F585" s="162"/>
      <c r="G585" s="162"/>
      <c r="H585" s="162"/>
      <c r="I585" s="162"/>
      <c r="J585" s="162"/>
      <c r="K585" s="162"/>
    </row>
    <row r="586" spans="5:11">
      <c r="E586" s="162"/>
      <c r="F586" s="162"/>
      <c r="G586" s="162"/>
      <c r="H586" s="162"/>
      <c r="I586" s="162"/>
      <c r="J586" s="162"/>
      <c r="K586" s="162"/>
    </row>
    <row r="587" spans="5:11">
      <c r="E587" s="162"/>
      <c r="F587" s="162"/>
      <c r="G587" s="162"/>
      <c r="H587" s="162"/>
      <c r="I587" s="162"/>
      <c r="J587" s="162"/>
      <c r="K587" s="162"/>
    </row>
    <row r="588" spans="5:11">
      <c r="E588" s="162"/>
      <c r="F588" s="162"/>
      <c r="G588" s="162"/>
      <c r="H588" s="162"/>
      <c r="I588" s="162"/>
      <c r="J588" s="162"/>
      <c r="K588" s="162"/>
    </row>
    <row r="589" spans="5:11">
      <c r="E589" s="162"/>
      <c r="F589" s="162"/>
      <c r="G589" s="162"/>
      <c r="H589" s="162"/>
      <c r="I589" s="162"/>
      <c r="J589" s="162"/>
      <c r="K589" s="162"/>
    </row>
    <row r="590" spans="5:11">
      <c r="E590" s="162"/>
      <c r="F590" s="162"/>
      <c r="G590" s="162"/>
      <c r="H590" s="162"/>
      <c r="I590" s="162"/>
      <c r="J590" s="162"/>
      <c r="K590" s="162"/>
    </row>
    <row r="591" spans="5:11">
      <c r="E591" s="162"/>
      <c r="F591" s="162"/>
      <c r="G591" s="162"/>
      <c r="H591" s="162"/>
      <c r="I591" s="162"/>
      <c r="J591" s="162"/>
      <c r="K591" s="162"/>
    </row>
    <row r="592" spans="5:11">
      <c r="E592" s="162"/>
      <c r="F592" s="162"/>
      <c r="G592" s="162"/>
      <c r="H592" s="162"/>
      <c r="I592" s="162"/>
      <c r="J592" s="162"/>
      <c r="K592" s="162"/>
    </row>
    <row r="593" spans="5:11">
      <c r="E593" s="162"/>
      <c r="F593" s="162"/>
      <c r="G593" s="162"/>
      <c r="H593" s="162"/>
      <c r="I593" s="162"/>
      <c r="J593" s="162"/>
      <c r="K593" s="162"/>
    </row>
    <row r="594" spans="5:11">
      <c r="E594" s="162"/>
      <c r="F594" s="162"/>
      <c r="G594" s="162"/>
      <c r="H594" s="162"/>
      <c r="I594" s="162"/>
      <c r="J594" s="162"/>
      <c r="K594" s="162"/>
    </row>
    <row r="595" spans="5:11">
      <c r="E595" s="162"/>
      <c r="F595" s="162"/>
      <c r="G595" s="162"/>
      <c r="H595" s="162"/>
      <c r="I595" s="162"/>
      <c r="J595" s="162"/>
      <c r="K595" s="162"/>
    </row>
    <row r="596" spans="5:11">
      <c r="E596" s="162"/>
      <c r="F596" s="162"/>
      <c r="G596" s="162"/>
      <c r="H596" s="162"/>
      <c r="I596" s="162"/>
      <c r="J596" s="162"/>
      <c r="K596" s="162"/>
    </row>
    <row r="597" spans="5:11">
      <c r="E597" s="162"/>
      <c r="F597" s="162"/>
      <c r="G597" s="162"/>
      <c r="H597" s="162"/>
      <c r="I597" s="162"/>
      <c r="J597" s="162"/>
      <c r="K597" s="162"/>
    </row>
    <row r="598" spans="5:11">
      <c r="E598" s="162"/>
      <c r="F598" s="162"/>
      <c r="G598" s="162"/>
      <c r="H598" s="162"/>
      <c r="I598" s="162"/>
      <c r="J598" s="162"/>
      <c r="K598" s="162"/>
    </row>
    <row r="599" spans="5:11">
      <c r="E599" s="162"/>
      <c r="F599" s="162"/>
      <c r="G599" s="162"/>
      <c r="H599" s="162"/>
      <c r="I599" s="162"/>
      <c r="J599" s="162"/>
      <c r="K599" s="162"/>
    </row>
    <row r="600" spans="5:11">
      <c r="E600" s="162"/>
      <c r="F600" s="162"/>
      <c r="G600" s="162"/>
      <c r="H600" s="162"/>
      <c r="I600" s="162"/>
      <c r="J600" s="162"/>
      <c r="K600" s="162"/>
    </row>
    <row r="601" spans="5:11">
      <c r="E601" s="162"/>
      <c r="F601" s="162"/>
      <c r="G601" s="162"/>
      <c r="H601" s="162"/>
      <c r="I601" s="162"/>
      <c r="J601" s="162"/>
      <c r="K601" s="162"/>
    </row>
    <row r="602" spans="5:11">
      <c r="E602" s="162"/>
      <c r="F602" s="162"/>
      <c r="G602" s="162"/>
      <c r="H602" s="162"/>
      <c r="I602" s="162"/>
      <c r="J602" s="162"/>
      <c r="K602" s="162"/>
    </row>
    <row r="603" spans="5:11">
      <c r="E603" s="162"/>
      <c r="F603" s="162"/>
      <c r="G603" s="162"/>
      <c r="H603" s="162"/>
      <c r="I603" s="162"/>
      <c r="J603" s="162"/>
      <c r="K603" s="162"/>
    </row>
    <row r="604" spans="5:11">
      <c r="E604" s="162"/>
      <c r="F604" s="162"/>
      <c r="G604" s="162"/>
      <c r="H604" s="162"/>
      <c r="I604" s="162"/>
      <c r="J604" s="162"/>
      <c r="K604" s="162"/>
    </row>
    <row r="605" spans="5:11">
      <c r="E605" s="162"/>
      <c r="F605" s="162"/>
      <c r="G605" s="162"/>
      <c r="H605" s="162"/>
      <c r="I605" s="162"/>
      <c r="J605" s="162"/>
      <c r="K605" s="162"/>
    </row>
    <row r="606" spans="5:11">
      <c r="E606" s="162"/>
      <c r="F606" s="162"/>
      <c r="G606" s="162"/>
      <c r="H606" s="162"/>
      <c r="I606" s="162"/>
      <c r="J606" s="162"/>
      <c r="K606" s="162"/>
    </row>
    <row r="607" spans="5:11">
      <c r="E607" s="162"/>
      <c r="F607" s="162"/>
      <c r="G607" s="162"/>
      <c r="H607" s="162"/>
      <c r="I607" s="162"/>
      <c r="J607" s="162"/>
      <c r="K607" s="162"/>
    </row>
    <row r="608" spans="5:11">
      <c r="E608" s="162"/>
      <c r="F608" s="162"/>
      <c r="G608" s="162"/>
      <c r="H608" s="162"/>
      <c r="I608" s="162"/>
      <c r="J608" s="162"/>
      <c r="K608" s="162"/>
    </row>
    <row r="609" spans="5:11">
      <c r="E609" s="162"/>
      <c r="F609" s="162"/>
      <c r="G609" s="162"/>
      <c r="H609" s="162"/>
      <c r="I609" s="162"/>
      <c r="J609" s="162"/>
      <c r="K609" s="162"/>
    </row>
    <row r="610" spans="5:11">
      <c r="E610" s="162"/>
      <c r="F610" s="162"/>
      <c r="G610" s="162"/>
      <c r="H610" s="162"/>
      <c r="I610" s="162"/>
      <c r="J610" s="162"/>
      <c r="K610" s="162"/>
    </row>
    <row r="611" spans="5:11">
      <c r="E611" s="162"/>
      <c r="F611" s="162"/>
      <c r="G611" s="162"/>
      <c r="H611" s="162"/>
      <c r="I611" s="162"/>
      <c r="J611" s="162"/>
      <c r="K611" s="162"/>
    </row>
    <row r="612" spans="5:11">
      <c r="E612" s="162"/>
      <c r="F612" s="162"/>
      <c r="G612" s="162"/>
      <c r="H612" s="162"/>
      <c r="I612" s="162"/>
      <c r="J612" s="162"/>
      <c r="K612" s="162"/>
    </row>
    <row r="613" spans="5:11">
      <c r="E613" s="162"/>
      <c r="F613" s="162"/>
      <c r="G613" s="162"/>
      <c r="H613" s="162"/>
      <c r="I613" s="162"/>
      <c r="J613" s="162"/>
      <c r="K613" s="162"/>
    </row>
    <row r="614" spans="5:11">
      <c r="E614" s="162"/>
      <c r="F614" s="162"/>
      <c r="G614" s="162"/>
      <c r="H614" s="162"/>
      <c r="I614" s="162"/>
      <c r="J614" s="162"/>
      <c r="K614" s="162"/>
    </row>
    <row r="615" spans="5:11">
      <c r="E615" s="162"/>
      <c r="F615" s="162"/>
      <c r="G615" s="162"/>
      <c r="H615" s="162"/>
      <c r="I615" s="162"/>
      <c r="J615" s="162"/>
      <c r="K615" s="162"/>
    </row>
    <row r="616" spans="5:11">
      <c r="E616" s="162"/>
      <c r="F616" s="162"/>
      <c r="G616" s="162"/>
      <c r="H616" s="162"/>
      <c r="I616" s="162"/>
      <c r="J616" s="162"/>
      <c r="K616" s="162"/>
    </row>
    <row r="617" spans="5:11">
      <c r="E617" s="162"/>
      <c r="F617" s="162"/>
      <c r="G617" s="162"/>
      <c r="H617" s="162"/>
      <c r="I617" s="162"/>
      <c r="J617" s="162"/>
      <c r="K617" s="162"/>
    </row>
    <row r="618" spans="5:11">
      <c r="E618" s="162"/>
      <c r="F618" s="162"/>
      <c r="G618" s="162"/>
      <c r="H618" s="162"/>
      <c r="I618" s="162"/>
      <c r="J618" s="162"/>
      <c r="K618" s="162"/>
    </row>
    <row r="619" spans="5:11">
      <c r="E619" s="162"/>
      <c r="F619" s="162"/>
      <c r="G619" s="162"/>
      <c r="H619" s="162"/>
      <c r="I619" s="162"/>
      <c r="J619" s="162"/>
      <c r="K619" s="162"/>
    </row>
    <row r="620" spans="5:11">
      <c r="E620" s="162"/>
      <c r="F620" s="162"/>
      <c r="G620" s="162"/>
      <c r="H620" s="162"/>
      <c r="I620" s="162"/>
      <c r="J620" s="162"/>
      <c r="K620" s="162"/>
    </row>
    <row r="621" spans="5:11">
      <c r="E621" s="162"/>
      <c r="F621" s="162"/>
      <c r="G621" s="162"/>
      <c r="H621" s="162"/>
      <c r="I621" s="162"/>
      <c r="J621" s="162"/>
      <c r="K621" s="162"/>
    </row>
    <row r="622" spans="5:11">
      <c r="E622" s="162"/>
      <c r="F622" s="162"/>
      <c r="G622" s="162"/>
      <c r="H622" s="162"/>
      <c r="I622" s="162"/>
      <c r="J622" s="162"/>
      <c r="K622" s="162"/>
    </row>
    <row r="623" spans="5:11">
      <c r="E623" s="162"/>
      <c r="F623" s="162"/>
      <c r="G623" s="162"/>
      <c r="H623" s="162"/>
      <c r="I623" s="162"/>
      <c r="J623" s="162"/>
      <c r="K623" s="162"/>
    </row>
    <row r="624" spans="5:11">
      <c r="E624" s="162"/>
      <c r="F624" s="162"/>
      <c r="G624" s="162"/>
      <c r="H624" s="162"/>
      <c r="I624" s="162"/>
      <c r="J624" s="162"/>
      <c r="K624" s="162"/>
    </row>
    <row r="625" spans="5:11">
      <c r="E625" s="162"/>
      <c r="F625" s="162"/>
      <c r="G625" s="162"/>
      <c r="H625" s="162"/>
      <c r="I625" s="162"/>
      <c r="J625" s="162"/>
      <c r="K625" s="162"/>
    </row>
    <row r="626" spans="5:11">
      <c r="E626" s="162"/>
      <c r="F626" s="162"/>
      <c r="G626" s="162"/>
      <c r="H626" s="162"/>
      <c r="I626" s="162"/>
      <c r="J626" s="162"/>
      <c r="K626" s="162"/>
    </row>
    <row r="627" spans="5:11">
      <c r="E627" s="162"/>
      <c r="F627" s="162"/>
      <c r="G627" s="162"/>
      <c r="H627" s="162"/>
      <c r="I627" s="162"/>
      <c r="J627" s="162"/>
      <c r="K627" s="162"/>
    </row>
    <row r="628" spans="5:11">
      <c r="E628" s="162"/>
      <c r="F628" s="162"/>
      <c r="G628" s="162"/>
      <c r="H628" s="162"/>
      <c r="I628" s="162"/>
      <c r="J628" s="162"/>
      <c r="K628" s="162"/>
    </row>
    <row r="629" spans="5:11">
      <c r="E629" s="162"/>
      <c r="F629" s="162"/>
      <c r="G629" s="162"/>
      <c r="H629" s="162"/>
      <c r="I629" s="162"/>
      <c r="J629" s="162"/>
      <c r="K629" s="162"/>
    </row>
    <row r="630" spans="5:11">
      <c r="E630" s="162"/>
      <c r="F630" s="162"/>
      <c r="G630" s="162"/>
      <c r="H630" s="162"/>
      <c r="I630" s="162"/>
      <c r="J630" s="162"/>
      <c r="K630" s="162"/>
    </row>
    <row r="631" spans="5:11">
      <c r="E631" s="162"/>
      <c r="F631" s="162"/>
      <c r="G631" s="162"/>
      <c r="H631" s="162"/>
      <c r="I631" s="162"/>
      <c r="J631" s="162"/>
      <c r="K631" s="162"/>
    </row>
    <row r="632" spans="5:11">
      <c r="E632" s="162"/>
      <c r="F632" s="162"/>
      <c r="G632" s="162"/>
      <c r="H632" s="162"/>
      <c r="I632" s="162"/>
      <c r="J632" s="162"/>
      <c r="K632" s="162"/>
    </row>
    <row r="633" spans="5:11">
      <c r="E633" s="162"/>
      <c r="F633" s="162"/>
      <c r="G633" s="162"/>
      <c r="H633" s="162"/>
      <c r="I633" s="162"/>
      <c r="J633" s="162"/>
      <c r="K633" s="162"/>
    </row>
    <row r="634" spans="5:11">
      <c r="E634" s="162"/>
      <c r="F634" s="162"/>
      <c r="G634" s="162"/>
      <c r="H634" s="162"/>
      <c r="I634" s="162"/>
      <c r="J634" s="162"/>
      <c r="K634" s="162"/>
    </row>
    <row r="635" spans="5:11">
      <c r="E635" s="162"/>
      <c r="F635" s="162"/>
      <c r="G635" s="162"/>
      <c r="H635" s="162"/>
      <c r="I635" s="162"/>
      <c r="J635" s="162"/>
      <c r="K635" s="162"/>
    </row>
    <row r="636" spans="5:11">
      <c r="E636" s="162"/>
      <c r="F636" s="162"/>
      <c r="G636" s="162"/>
      <c r="H636" s="162"/>
      <c r="I636" s="162"/>
      <c r="J636" s="162"/>
      <c r="K636" s="162"/>
    </row>
    <row r="637" spans="5:11">
      <c r="E637" s="162"/>
      <c r="F637" s="162"/>
      <c r="G637" s="162"/>
      <c r="H637" s="162"/>
      <c r="I637" s="162"/>
      <c r="J637" s="162"/>
      <c r="K637" s="162"/>
    </row>
    <row r="638" spans="5:11">
      <c r="E638" s="162"/>
      <c r="F638" s="162"/>
      <c r="G638" s="162"/>
      <c r="H638" s="162"/>
      <c r="I638" s="162"/>
      <c r="J638" s="162"/>
      <c r="K638" s="162"/>
    </row>
    <row r="639" spans="5:11">
      <c r="E639" s="162"/>
      <c r="F639" s="162"/>
      <c r="G639" s="162"/>
      <c r="H639" s="162"/>
      <c r="I639" s="162"/>
      <c r="J639" s="162"/>
      <c r="K639" s="162"/>
    </row>
    <row r="640" spans="5:11">
      <c r="E640" s="162"/>
      <c r="F640" s="162"/>
      <c r="G640" s="162"/>
      <c r="H640" s="162"/>
      <c r="I640" s="162"/>
      <c r="J640" s="162"/>
      <c r="K640" s="162"/>
    </row>
    <row r="641" spans="5:11">
      <c r="E641" s="162"/>
      <c r="F641" s="162"/>
      <c r="G641" s="162"/>
      <c r="H641" s="162"/>
      <c r="I641" s="162"/>
      <c r="J641" s="162"/>
      <c r="K641" s="162"/>
    </row>
    <row r="642" spans="5:11">
      <c r="E642" s="162"/>
      <c r="F642" s="162"/>
      <c r="G642" s="162"/>
      <c r="H642" s="162"/>
      <c r="I642" s="162"/>
      <c r="J642" s="162"/>
      <c r="K642" s="162"/>
    </row>
    <row r="643" spans="5:11">
      <c r="E643" s="162"/>
      <c r="F643" s="162"/>
      <c r="G643" s="162"/>
      <c r="H643" s="162"/>
      <c r="I643" s="162"/>
      <c r="J643" s="162"/>
      <c r="K643" s="162"/>
    </row>
    <row r="644" spans="5:11">
      <c r="E644" s="162"/>
      <c r="F644" s="162"/>
      <c r="G644" s="162"/>
      <c r="H644" s="162"/>
      <c r="I644" s="162"/>
      <c r="J644" s="162"/>
      <c r="K644" s="162"/>
    </row>
    <row r="645" spans="5:11">
      <c r="E645" s="162"/>
      <c r="F645" s="162"/>
      <c r="G645" s="162"/>
      <c r="H645" s="162"/>
      <c r="I645" s="162"/>
      <c r="J645" s="162"/>
      <c r="K645" s="162"/>
    </row>
    <row r="646" spans="5:11">
      <c r="E646" s="162"/>
      <c r="F646" s="162"/>
      <c r="G646" s="162"/>
      <c r="H646" s="162"/>
      <c r="I646" s="162"/>
      <c r="J646" s="162"/>
      <c r="K646" s="162"/>
    </row>
    <row r="647" spans="5:11">
      <c r="E647" s="162"/>
      <c r="F647" s="162"/>
      <c r="G647" s="162"/>
      <c r="H647" s="162"/>
      <c r="I647" s="162"/>
      <c r="J647" s="162"/>
      <c r="K647" s="162"/>
    </row>
    <row r="648" spans="5:11">
      <c r="E648" s="162"/>
      <c r="F648" s="162"/>
      <c r="G648" s="162"/>
      <c r="H648" s="162"/>
      <c r="I648" s="162"/>
      <c r="J648" s="162"/>
      <c r="K648" s="162"/>
    </row>
    <row r="649" spans="5:11">
      <c r="E649" s="162"/>
      <c r="F649" s="162"/>
      <c r="G649" s="162"/>
      <c r="H649" s="162"/>
      <c r="I649" s="162"/>
      <c r="J649" s="162"/>
      <c r="K649" s="162"/>
    </row>
    <row r="650" spans="5:11">
      <c r="E650" s="162"/>
      <c r="F650" s="162"/>
      <c r="G650" s="162"/>
      <c r="H650" s="162"/>
      <c r="I650" s="162"/>
      <c r="J650" s="162"/>
      <c r="K650" s="162"/>
    </row>
    <row r="651" spans="5:11">
      <c r="E651" s="162"/>
      <c r="F651" s="162"/>
      <c r="G651" s="162"/>
      <c r="H651" s="162"/>
      <c r="I651" s="162"/>
      <c r="J651" s="162"/>
      <c r="K651" s="162"/>
    </row>
    <row r="652" spans="5:11">
      <c r="E652" s="162"/>
      <c r="F652" s="162"/>
      <c r="G652" s="162"/>
      <c r="H652" s="162"/>
      <c r="I652" s="162"/>
      <c r="J652" s="162"/>
      <c r="K652" s="162"/>
    </row>
    <row r="653" spans="5:11">
      <c r="E653" s="162"/>
      <c r="F653" s="162"/>
      <c r="G653" s="162"/>
      <c r="H653" s="162"/>
      <c r="I653" s="162"/>
      <c r="J653" s="162"/>
      <c r="K653" s="162"/>
    </row>
    <row r="654" spans="5:11">
      <c r="E654" s="162"/>
      <c r="F654" s="162"/>
      <c r="G654" s="162"/>
      <c r="H654" s="162"/>
      <c r="I654" s="162"/>
      <c r="J654" s="162"/>
      <c r="K654" s="162"/>
    </row>
    <row r="655" spans="5:11">
      <c r="E655" s="162"/>
      <c r="F655" s="162"/>
      <c r="G655" s="162"/>
      <c r="H655" s="162"/>
      <c r="I655" s="162"/>
      <c r="J655" s="162"/>
      <c r="K655" s="162"/>
    </row>
    <row r="656" spans="5:11">
      <c r="E656" s="162"/>
      <c r="F656" s="162"/>
      <c r="G656" s="162"/>
      <c r="H656" s="162"/>
      <c r="I656" s="162"/>
      <c r="J656" s="162"/>
      <c r="K656" s="162"/>
    </row>
    <row r="657" spans="5:11">
      <c r="E657" s="162"/>
      <c r="F657" s="162"/>
      <c r="G657" s="162"/>
      <c r="H657" s="162"/>
      <c r="I657" s="162"/>
      <c r="J657" s="162"/>
      <c r="K657" s="162"/>
    </row>
    <row r="658" spans="5:11">
      <c r="E658" s="162"/>
      <c r="F658" s="162"/>
      <c r="G658" s="162"/>
      <c r="H658" s="162"/>
      <c r="I658" s="162"/>
      <c r="J658" s="162"/>
      <c r="K658" s="162"/>
    </row>
    <row r="659" spans="5:11">
      <c r="E659" s="162"/>
      <c r="F659" s="162"/>
      <c r="G659" s="162"/>
      <c r="H659" s="162"/>
      <c r="I659" s="162"/>
      <c r="J659" s="162"/>
      <c r="K659" s="162"/>
    </row>
    <row r="660" spans="5:11">
      <c r="E660" s="162"/>
      <c r="F660" s="162"/>
      <c r="G660" s="162"/>
      <c r="H660" s="162"/>
      <c r="I660" s="162"/>
      <c r="J660" s="162"/>
      <c r="K660" s="162"/>
    </row>
    <row r="661" spans="5:11">
      <c r="E661" s="162"/>
      <c r="F661" s="162"/>
      <c r="G661" s="162"/>
      <c r="H661" s="162"/>
      <c r="I661" s="162"/>
      <c r="J661" s="162"/>
      <c r="K661" s="162"/>
    </row>
    <row r="662" spans="5:11">
      <c r="E662" s="162"/>
      <c r="F662" s="162"/>
      <c r="G662" s="162"/>
      <c r="H662" s="162"/>
      <c r="I662" s="162"/>
      <c r="J662" s="162"/>
      <c r="K662" s="162"/>
    </row>
    <row r="663" spans="5:11">
      <c r="E663" s="162"/>
      <c r="F663" s="162"/>
      <c r="G663" s="162"/>
      <c r="H663" s="162"/>
      <c r="I663" s="162"/>
      <c r="J663" s="162"/>
      <c r="K663" s="162"/>
    </row>
    <row r="664" spans="5:11">
      <c r="E664" s="162"/>
      <c r="F664" s="162"/>
      <c r="G664" s="162"/>
      <c r="H664" s="162"/>
      <c r="I664" s="162"/>
      <c r="J664" s="162"/>
      <c r="K664" s="162"/>
    </row>
    <row r="665" spans="5:11">
      <c r="E665" s="162"/>
      <c r="F665" s="162"/>
      <c r="G665" s="162"/>
      <c r="H665" s="162"/>
      <c r="I665" s="162"/>
      <c r="J665" s="162"/>
      <c r="K665" s="162"/>
    </row>
    <row r="666" spans="5:11">
      <c r="E666" s="162"/>
      <c r="F666" s="162"/>
      <c r="G666" s="162"/>
      <c r="H666" s="162"/>
      <c r="I666" s="162"/>
      <c r="J666" s="162"/>
      <c r="K666" s="162"/>
    </row>
    <row r="667" spans="5:11">
      <c r="E667" s="162"/>
      <c r="F667" s="162"/>
      <c r="G667" s="162"/>
      <c r="H667" s="162"/>
      <c r="I667" s="162"/>
      <c r="J667" s="162"/>
      <c r="K667" s="162"/>
    </row>
    <row r="668" spans="5:11">
      <c r="E668" s="162"/>
      <c r="F668" s="162"/>
      <c r="G668" s="162"/>
      <c r="H668" s="162"/>
      <c r="I668" s="162"/>
      <c r="J668" s="162"/>
      <c r="K668" s="162"/>
    </row>
    <row r="669" spans="5:11">
      <c r="E669" s="162"/>
      <c r="F669" s="162"/>
      <c r="G669" s="162"/>
      <c r="H669" s="162"/>
      <c r="I669" s="162"/>
      <c r="J669" s="162"/>
      <c r="K669" s="162"/>
    </row>
    <row r="670" spans="5:11">
      <c r="E670" s="162"/>
      <c r="F670" s="162"/>
      <c r="G670" s="162"/>
      <c r="H670" s="162"/>
      <c r="I670" s="162"/>
      <c r="J670" s="162"/>
      <c r="K670" s="162"/>
    </row>
    <row r="671" spans="5:11">
      <c r="E671" s="162"/>
      <c r="F671" s="162"/>
      <c r="G671" s="162"/>
      <c r="H671" s="162"/>
      <c r="I671" s="162"/>
      <c r="J671" s="162"/>
      <c r="K671" s="162"/>
    </row>
    <row r="672" spans="5:11">
      <c r="E672" s="162"/>
      <c r="F672" s="162"/>
      <c r="G672" s="162"/>
      <c r="H672" s="162"/>
      <c r="I672" s="162"/>
      <c r="J672" s="162"/>
      <c r="K672" s="162"/>
    </row>
    <row r="673" spans="5:11">
      <c r="E673" s="162"/>
      <c r="F673" s="162"/>
      <c r="G673" s="162"/>
      <c r="H673" s="162"/>
      <c r="I673" s="162"/>
      <c r="J673" s="162"/>
      <c r="K673" s="162"/>
    </row>
    <row r="674" spans="5:11">
      <c r="E674" s="162"/>
      <c r="F674" s="162"/>
      <c r="G674" s="162"/>
      <c r="H674" s="162"/>
      <c r="I674" s="162"/>
      <c r="J674" s="162"/>
      <c r="K674" s="162"/>
    </row>
    <row r="675" spans="5:11">
      <c r="E675" s="162"/>
      <c r="F675" s="162"/>
      <c r="G675" s="162"/>
      <c r="H675" s="162"/>
      <c r="I675" s="162"/>
      <c r="J675" s="162"/>
      <c r="K675" s="162"/>
    </row>
    <row r="676" spans="5:11">
      <c r="E676" s="162"/>
      <c r="F676" s="162"/>
      <c r="G676" s="162"/>
      <c r="H676" s="162"/>
      <c r="I676" s="162"/>
      <c r="J676" s="162"/>
      <c r="K676" s="162"/>
    </row>
    <row r="677" spans="5:11">
      <c r="E677" s="162"/>
      <c r="F677" s="162"/>
      <c r="G677" s="162"/>
      <c r="H677" s="162"/>
      <c r="I677" s="162"/>
      <c r="J677" s="162"/>
      <c r="K677" s="162"/>
    </row>
    <row r="678" spans="5:11">
      <c r="E678" s="162"/>
      <c r="F678" s="162"/>
      <c r="G678" s="162"/>
      <c r="H678" s="162"/>
      <c r="I678" s="162"/>
      <c r="J678" s="162"/>
      <c r="K678" s="162"/>
    </row>
    <row r="679" spans="5:11">
      <c r="E679" s="162"/>
      <c r="F679" s="162"/>
      <c r="G679" s="162"/>
      <c r="H679" s="162"/>
      <c r="I679" s="162"/>
      <c r="J679" s="162"/>
      <c r="K679" s="162"/>
    </row>
    <row r="680" spans="5:11">
      <c r="E680" s="162"/>
      <c r="F680" s="162"/>
      <c r="G680" s="162"/>
      <c r="H680" s="162"/>
      <c r="I680" s="162"/>
      <c r="J680" s="162"/>
      <c r="K680" s="162"/>
    </row>
    <row r="681" spans="5:11">
      <c r="E681" s="162"/>
      <c r="F681" s="162"/>
      <c r="G681" s="162"/>
      <c r="H681" s="162"/>
      <c r="I681" s="162"/>
      <c r="J681" s="162"/>
      <c r="K681" s="162"/>
    </row>
    <row r="682" spans="5:11">
      <c r="E682" s="162"/>
      <c r="F682" s="162"/>
      <c r="G682" s="162"/>
      <c r="H682" s="162"/>
      <c r="I682" s="162"/>
      <c r="J682" s="162"/>
      <c r="K682" s="162"/>
    </row>
    <row r="683" spans="5:11">
      <c r="E683" s="162"/>
      <c r="F683" s="162"/>
      <c r="G683" s="162"/>
      <c r="H683" s="162"/>
      <c r="I683" s="162"/>
      <c r="J683" s="162"/>
      <c r="K683" s="162"/>
    </row>
    <row r="684" spans="5:11">
      <c r="E684" s="162"/>
      <c r="F684" s="162"/>
      <c r="G684" s="162"/>
      <c r="H684" s="162"/>
      <c r="I684" s="162"/>
      <c r="J684" s="162"/>
      <c r="K684" s="162"/>
    </row>
    <row r="685" spans="5:11">
      <c r="E685" s="162"/>
      <c r="F685" s="162"/>
      <c r="G685" s="162"/>
      <c r="H685" s="162"/>
      <c r="I685" s="162"/>
      <c r="J685" s="162"/>
      <c r="K685" s="162"/>
    </row>
    <row r="686" spans="5:11">
      <c r="E686" s="162"/>
      <c r="F686" s="162"/>
      <c r="G686" s="162"/>
      <c r="H686" s="162"/>
      <c r="I686" s="162"/>
      <c r="J686" s="162"/>
      <c r="K686" s="162"/>
    </row>
    <row r="687" spans="5:11">
      <c r="E687" s="162"/>
      <c r="F687" s="162"/>
      <c r="G687" s="162"/>
      <c r="H687" s="162"/>
      <c r="I687" s="162"/>
      <c r="J687" s="162"/>
      <c r="K687" s="162"/>
    </row>
    <row r="688" spans="5:11">
      <c r="E688" s="162"/>
      <c r="F688" s="162"/>
      <c r="G688" s="162"/>
      <c r="H688" s="162"/>
      <c r="I688" s="162"/>
      <c r="J688" s="162"/>
      <c r="K688" s="162"/>
    </row>
    <row r="689" spans="5:11">
      <c r="E689" s="162"/>
      <c r="F689" s="162"/>
      <c r="G689" s="162"/>
      <c r="H689" s="162"/>
      <c r="I689" s="162"/>
      <c r="J689" s="162"/>
      <c r="K689" s="162"/>
    </row>
    <row r="690" spans="5:11">
      <c r="E690" s="162"/>
      <c r="F690" s="162"/>
      <c r="G690" s="162"/>
      <c r="H690" s="162"/>
      <c r="I690" s="162"/>
      <c r="J690" s="162"/>
      <c r="K690" s="162"/>
    </row>
    <row r="691" spans="5:11">
      <c r="E691" s="162"/>
      <c r="F691" s="162"/>
      <c r="G691" s="162"/>
      <c r="H691" s="162"/>
      <c r="I691" s="162"/>
      <c r="J691" s="162"/>
      <c r="K691" s="162"/>
    </row>
    <row r="692" spans="5:11">
      <c r="E692" s="162"/>
      <c r="F692" s="162"/>
      <c r="G692" s="162"/>
      <c r="H692" s="162"/>
      <c r="I692" s="162"/>
      <c r="J692" s="162"/>
      <c r="K692" s="162"/>
    </row>
    <row r="693" spans="5:11">
      <c r="E693" s="162"/>
      <c r="F693" s="162"/>
      <c r="G693" s="162"/>
      <c r="H693" s="162"/>
      <c r="I693" s="162"/>
      <c r="J693" s="162"/>
      <c r="K693" s="162"/>
    </row>
    <row r="694" spans="5:11">
      <c r="E694" s="162"/>
      <c r="F694" s="162"/>
      <c r="G694" s="162"/>
      <c r="H694" s="162"/>
      <c r="I694" s="162"/>
      <c r="J694" s="162"/>
      <c r="K694" s="162"/>
    </row>
    <row r="695" spans="5:11">
      <c r="E695" s="162"/>
      <c r="F695" s="162"/>
      <c r="G695" s="162"/>
      <c r="H695" s="162"/>
      <c r="I695" s="162"/>
      <c r="J695" s="162"/>
      <c r="K695" s="162"/>
    </row>
    <row r="696" spans="5:11">
      <c r="E696" s="162"/>
      <c r="F696" s="162"/>
      <c r="G696" s="162"/>
      <c r="H696" s="162"/>
      <c r="I696" s="162"/>
      <c r="J696" s="162"/>
      <c r="K696" s="162"/>
    </row>
    <row r="697" spans="5:11">
      <c r="E697" s="162"/>
      <c r="F697" s="162"/>
      <c r="G697" s="162"/>
      <c r="H697" s="162"/>
      <c r="I697" s="162"/>
      <c r="J697" s="162"/>
      <c r="K697" s="162"/>
    </row>
    <row r="698" spans="5:11">
      <c r="E698" s="162"/>
      <c r="F698" s="162"/>
      <c r="G698" s="162"/>
      <c r="H698" s="162"/>
      <c r="I698" s="162"/>
      <c r="J698" s="162"/>
      <c r="K698" s="162"/>
    </row>
    <row r="699" spans="5:11">
      <c r="E699" s="162"/>
      <c r="F699" s="162"/>
      <c r="G699" s="162"/>
      <c r="H699" s="162"/>
      <c r="I699" s="162"/>
      <c r="J699" s="162"/>
      <c r="K699" s="162"/>
    </row>
    <row r="700" spans="5:11">
      <c r="E700" s="162"/>
      <c r="F700" s="162"/>
      <c r="G700" s="162"/>
      <c r="H700" s="162"/>
      <c r="I700" s="162"/>
      <c r="J700" s="162"/>
      <c r="K700" s="162"/>
    </row>
    <row r="701" spans="5:11">
      <c r="E701" s="162"/>
      <c r="F701" s="162"/>
      <c r="G701" s="162"/>
      <c r="H701" s="162"/>
      <c r="I701" s="162"/>
      <c r="J701" s="162"/>
      <c r="K701" s="162"/>
    </row>
    <row r="702" spans="5:11">
      <c r="E702" s="162"/>
      <c r="F702" s="162"/>
      <c r="G702" s="162"/>
      <c r="H702" s="162"/>
      <c r="I702" s="162"/>
      <c r="J702" s="162"/>
      <c r="K702" s="162"/>
    </row>
    <row r="703" spans="5:11">
      <c r="E703" s="162"/>
      <c r="F703" s="162"/>
      <c r="G703" s="162"/>
      <c r="H703" s="162"/>
      <c r="I703" s="162"/>
      <c r="J703" s="162"/>
      <c r="K703" s="162"/>
    </row>
    <row r="704" spans="5:11">
      <c r="E704" s="162"/>
      <c r="F704" s="162"/>
      <c r="G704" s="162"/>
      <c r="H704" s="162"/>
      <c r="I704" s="162"/>
      <c r="J704" s="162"/>
      <c r="K704" s="162"/>
    </row>
    <row r="705" spans="5:11">
      <c r="E705" s="162"/>
      <c r="F705" s="162"/>
      <c r="G705" s="162"/>
      <c r="H705" s="162"/>
      <c r="I705" s="162"/>
      <c r="J705" s="162"/>
      <c r="K705" s="162"/>
    </row>
    <row r="706" spans="5:11">
      <c r="E706" s="162"/>
      <c r="F706" s="162"/>
      <c r="G706" s="162"/>
      <c r="H706" s="162"/>
      <c r="I706" s="162"/>
      <c r="J706" s="162"/>
      <c r="K706" s="162"/>
    </row>
    <row r="707" spans="5:11">
      <c r="E707" s="162"/>
      <c r="F707" s="162"/>
      <c r="G707" s="162"/>
      <c r="H707" s="162"/>
      <c r="I707" s="162"/>
      <c r="J707" s="162"/>
      <c r="K707" s="162"/>
    </row>
    <row r="708" spans="5:11">
      <c r="E708" s="162"/>
      <c r="F708" s="162"/>
      <c r="G708" s="162"/>
      <c r="H708" s="162"/>
      <c r="I708" s="162"/>
      <c r="J708" s="162"/>
      <c r="K708" s="162"/>
    </row>
    <row r="709" spans="5:11">
      <c r="E709" s="162"/>
      <c r="F709" s="162"/>
      <c r="G709" s="162"/>
      <c r="H709" s="162"/>
      <c r="I709" s="162"/>
      <c r="J709" s="162"/>
      <c r="K709" s="162"/>
    </row>
    <row r="710" spans="5:11">
      <c r="E710" s="162"/>
      <c r="F710" s="162"/>
      <c r="G710" s="162"/>
      <c r="H710" s="162"/>
      <c r="I710" s="162"/>
      <c r="J710" s="162"/>
      <c r="K710" s="162"/>
    </row>
    <row r="711" spans="5:11">
      <c r="E711" s="162"/>
      <c r="F711" s="162"/>
      <c r="G711" s="162"/>
      <c r="H711" s="162"/>
      <c r="I711" s="162"/>
      <c r="J711" s="162"/>
      <c r="K711" s="162"/>
    </row>
    <row r="712" spans="5:11">
      <c r="E712" s="162"/>
      <c r="F712" s="162"/>
      <c r="G712" s="162"/>
      <c r="H712" s="162"/>
      <c r="I712" s="162"/>
      <c r="J712" s="162"/>
      <c r="K712" s="162"/>
    </row>
    <row r="713" spans="5:11">
      <c r="E713" s="162"/>
      <c r="F713" s="162"/>
      <c r="G713" s="162"/>
      <c r="H713" s="162"/>
      <c r="I713" s="162"/>
      <c r="J713" s="162"/>
      <c r="K713" s="162"/>
    </row>
    <row r="714" spans="5:11">
      <c r="E714" s="162"/>
      <c r="F714" s="162"/>
      <c r="G714" s="162"/>
      <c r="H714" s="162"/>
      <c r="I714" s="162"/>
      <c r="J714" s="162"/>
      <c r="K714" s="162"/>
    </row>
    <row r="715" spans="5:11">
      <c r="E715" s="162"/>
      <c r="F715" s="162"/>
      <c r="G715" s="162"/>
      <c r="H715" s="162"/>
      <c r="I715" s="162"/>
      <c r="J715" s="162"/>
      <c r="K715" s="162"/>
    </row>
    <row r="716" spans="5:11">
      <c r="E716" s="162"/>
      <c r="F716" s="162"/>
      <c r="G716" s="162"/>
      <c r="H716" s="162"/>
      <c r="I716" s="162"/>
      <c r="J716" s="162"/>
      <c r="K716" s="162"/>
    </row>
    <row r="717" spans="5:11">
      <c r="E717" s="162"/>
      <c r="F717" s="162"/>
      <c r="G717" s="162"/>
      <c r="H717" s="162"/>
      <c r="I717" s="162"/>
      <c r="J717" s="162"/>
      <c r="K717" s="162"/>
    </row>
    <row r="718" spans="5:11">
      <c r="E718" s="162"/>
      <c r="F718" s="162"/>
      <c r="G718" s="162"/>
      <c r="H718" s="162"/>
      <c r="I718" s="162"/>
      <c r="J718" s="162"/>
      <c r="K718" s="162"/>
    </row>
    <row r="719" spans="5:11">
      <c r="E719" s="162"/>
      <c r="F719" s="162"/>
      <c r="G719" s="162"/>
      <c r="H719" s="162"/>
      <c r="I719" s="162"/>
      <c r="J719" s="162"/>
      <c r="K719" s="162"/>
    </row>
    <row r="720" spans="5:11">
      <c r="E720" s="162"/>
      <c r="F720" s="162"/>
      <c r="G720" s="162"/>
      <c r="H720" s="162"/>
      <c r="I720" s="162"/>
      <c r="J720" s="162"/>
      <c r="K720" s="162"/>
    </row>
    <row r="721" spans="5:11">
      <c r="E721" s="162"/>
      <c r="F721" s="162"/>
      <c r="G721" s="162"/>
      <c r="H721" s="162"/>
      <c r="I721" s="162"/>
      <c r="J721" s="162"/>
      <c r="K721" s="162"/>
    </row>
    <row r="722" spans="5:11">
      <c r="E722" s="162"/>
      <c r="F722" s="162"/>
      <c r="G722" s="162"/>
      <c r="H722" s="162"/>
      <c r="I722" s="162"/>
      <c r="J722" s="162"/>
      <c r="K722" s="162"/>
    </row>
    <row r="723" spans="5:11">
      <c r="E723" s="162"/>
      <c r="F723" s="162"/>
      <c r="G723" s="162"/>
      <c r="H723" s="162"/>
      <c r="I723" s="162"/>
      <c r="J723" s="162"/>
      <c r="K723" s="162"/>
    </row>
    <row r="724" spans="5:11">
      <c r="E724" s="162"/>
      <c r="F724" s="162"/>
      <c r="G724" s="162"/>
      <c r="H724" s="162"/>
      <c r="I724" s="162"/>
      <c r="J724" s="162"/>
      <c r="K724" s="162"/>
    </row>
    <row r="725" spans="5:11">
      <c r="E725" s="162"/>
      <c r="F725" s="162"/>
      <c r="G725" s="162"/>
      <c r="H725" s="162"/>
      <c r="I725" s="162"/>
      <c r="J725" s="162"/>
      <c r="K725" s="162"/>
    </row>
    <row r="726" spans="5:11">
      <c r="E726" s="162"/>
      <c r="F726" s="162"/>
      <c r="G726" s="162"/>
      <c r="H726" s="162"/>
      <c r="I726" s="162"/>
      <c r="J726" s="162"/>
      <c r="K726" s="162"/>
    </row>
    <row r="727" spans="5:11">
      <c r="E727" s="162"/>
      <c r="F727" s="162"/>
      <c r="G727" s="162"/>
      <c r="H727" s="162"/>
      <c r="I727" s="162"/>
      <c r="J727" s="162"/>
      <c r="K727" s="162"/>
    </row>
    <row r="728" spans="5:11">
      <c r="E728" s="162"/>
      <c r="F728" s="162"/>
      <c r="G728" s="162"/>
      <c r="H728" s="162"/>
      <c r="I728" s="162"/>
      <c r="J728" s="162"/>
      <c r="K728" s="162"/>
    </row>
    <row r="729" spans="5:11">
      <c r="E729" s="162"/>
      <c r="F729" s="162"/>
      <c r="G729" s="162"/>
      <c r="H729" s="162"/>
      <c r="I729" s="162"/>
      <c r="J729" s="162"/>
      <c r="K729" s="162"/>
    </row>
    <row r="730" spans="5:11">
      <c r="E730" s="162"/>
      <c r="F730" s="162"/>
      <c r="G730" s="162"/>
      <c r="H730" s="162"/>
      <c r="I730" s="162"/>
      <c r="J730" s="162"/>
      <c r="K730" s="162"/>
    </row>
    <row r="731" spans="5:11">
      <c r="E731" s="162"/>
      <c r="F731" s="162"/>
      <c r="G731" s="162"/>
      <c r="H731" s="162"/>
      <c r="I731" s="162"/>
      <c r="J731" s="162"/>
      <c r="K731" s="162"/>
    </row>
    <row r="732" spans="5:11">
      <c r="E732" s="162"/>
      <c r="F732" s="162"/>
      <c r="G732" s="162"/>
      <c r="H732" s="162"/>
      <c r="I732" s="162"/>
      <c r="J732" s="162"/>
      <c r="K732" s="162"/>
    </row>
    <row r="733" spans="5:11">
      <c r="E733" s="162"/>
      <c r="F733" s="162"/>
      <c r="G733" s="162"/>
      <c r="H733" s="162"/>
      <c r="I733" s="162"/>
      <c r="J733" s="162"/>
      <c r="K733" s="162"/>
    </row>
    <row r="734" spans="5:11">
      <c r="E734" s="162"/>
      <c r="F734" s="162"/>
      <c r="G734" s="162"/>
      <c r="H734" s="162"/>
      <c r="I734" s="162"/>
      <c r="J734" s="162"/>
      <c r="K734" s="162"/>
    </row>
    <row r="735" spans="5:11">
      <c r="E735" s="162"/>
      <c r="F735" s="162"/>
      <c r="G735" s="162"/>
      <c r="H735" s="162"/>
      <c r="I735" s="162"/>
      <c r="J735" s="162"/>
      <c r="K735" s="162"/>
    </row>
    <row r="736" spans="5:11">
      <c r="E736" s="162"/>
      <c r="F736" s="162"/>
      <c r="G736" s="162"/>
      <c r="H736" s="162"/>
      <c r="I736" s="162"/>
      <c r="J736" s="162"/>
      <c r="K736" s="162"/>
    </row>
    <row r="737" spans="5:11">
      <c r="E737" s="162"/>
      <c r="F737" s="162"/>
      <c r="G737" s="162"/>
      <c r="H737" s="162"/>
      <c r="I737" s="162"/>
      <c r="J737" s="162"/>
      <c r="K737" s="162"/>
    </row>
    <row r="738" spans="5:11">
      <c r="E738" s="162"/>
      <c r="F738" s="162"/>
      <c r="G738" s="162"/>
      <c r="H738" s="162"/>
      <c r="I738" s="162"/>
      <c r="J738" s="162"/>
      <c r="K738" s="162"/>
    </row>
    <row r="739" spans="5:11">
      <c r="E739" s="162"/>
      <c r="F739" s="162"/>
      <c r="G739" s="162"/>
      <c r="H739" s="162"/>
      <c r="I739" s="162"/>
      <c r="J739" s="162"/>
      <c r="K739" s="162"/>
    </row>
    <row r="740" spans="5:11">
      <c r="E740" s="162"/>
      <c r="F740" s="162"/>
      <c r="G740" s="162"/>
      <c r="H740" s="162"/>
      <c r="I740" s="162"/>
      <c r="J740" s="162"/>
      <c r="K740" s="162"/>
    </row>
    <row r="741" spans="5:11">
      <c r="E741" s="162"/>
      <c r="F741" s="162"/>
      <c r="G741" s="162"/>
      <c r="H741" s="162"/>
      <c r="I741" s="162"/>
      <c r="J741" s="162"/>
      <c r="K741" s="162"/>
    </row>
    <row r="742" spans="5:11">
      <c r="E742" s="162"/>
      <c r="F742" s="162"/>
      <c r="G742" s="162"/>
      <c r="H742" s="162"/>
      <c r="I742" s="162"/>
      <c r="J742" s="162"/>
      <c r="K742" s="162"/>
    </row>
    <row r="743" spans="5:11">
      <c r="E743" s="162"/>
      <c r="F743" s="162"/>
      <c r="G743" s="162"/>
      <c r="H743" s="162"/>
      <c r="I743" s="162"/>
      <c r="J743" s="162"/>
      <c r="K743" s="162"/>
    </row>
    <row r="744" spans="5:11">
      <c r="E744" s="162"/>
      <c r="F744" s="162"/>
      <c r="G744" s="162"/>
      <c r="H744" s="162"/>
      <c r="I744" s="162"/>
      <c r="J744" s="162"/>
      <c r="K744" s="162"/>
    </row>
    <row r="745" spans="5:11">
      <c r="E745" s="162"/>
      <c r="F745" s="162"/>
      <c r="G745" s="162"/>
      <c r="H745" s="162"/>
      <c r="I745" s="162"/>
      <c r="J745" s="162"/>
      <c r="K745" s="162"/>
    </row>
    <row r="746" spans="5:11">
      <c r="E746" s="162"/>
      <c r="F746" s="162"/>
      <c r="G746" s="162"/>
      <c r="H746" s="162"/>
      <c r="I746" s="162"/>
      <c r="J746" s="162"/>
      <c r="K746" s="162"/>
    </row>
    <row r="747" spans="5:11">
      <c r="E747" s="162"/>
      <c r="F747" s="162"/>
      <c r="G747" s="162"/>
      <c r="H747" s="162"/>
      <c r="I747" s="162"/>
      <c r="J747" s="162"/>
      <c r="K747" s="162"/>
    </row>
    <row r="748" spans="5:11">
      <c r="E748" s="162"/>
      <c r="F748" s="162"/>
      <c r="G748" s="162"/>
      <c r="H748" s="162"/>
      <c r="I748" s="162"/>
      <c r="J748" s="162"/>
      <c r="K748" s="162"/>
    </row>
    <row r="749" spans="5:11">
      <c r="E749" s="162"/>
      <c r="F749" s="162"/>
      <c r="G749" s="162"/>
      <c r="H749" s="162"/>
      <c r="I749" s="162"/>
      <c r="J749" s="162"/>
      <c r="K749" s="162"/>
    </row>
    <row r="750" spans="5:11">
      <c r="E750" s="162"/>
      <c r="F750" s="162"/>
      <c r="G750" s="162"/>
      <c r="H750" s="162"/>
      <c r="I750" s="162"/>
      <c r="J750" s="162"/>
      <c r="K750" s="162"/>
    </row>
    <row r="751" spans="5:11">
      <c r="E751" s="162"/>
      <c r="F751" s="162"/>
      <c r="G751" s="162"/>
      <c r="H751" s="162"/>
      <c r="I751" s="162"/>
      <c r="J751" s="162"/>
      <c r="K751" s="162"/>
    </row>
    <row r="752" spans="5:11">
      <c r="E752" s="162"/>
      <c r="F752" s="162"/>
      <c r="G752" s="162"/>
      <c r="H752" s="162"/>
      <c r="I752" s="162"/>
      <c r="J752" s="162"/>
      <c r="K752" s="162"/>
    </row>
    <row r="753" spans="5:11">
      <c r="E753" s="162"/>
      <c r="F753" s="162"/>
      <c r="G753" s="162"/>
      <c r="H753" s="162"/>
      <c r="I753" s="162"/>
      <c r="J753" s="162"/>
      <c r="K753" s="162"/>
    </row>
    <row r="754" spans="5:11">
      <c r="E754" s="162"/>
      <c r="F754" s="162"/>
      <c r="G754" s="162"/>
      <c r="H754" s="162"/>
      <c r="I754" s="162"/>
      <c r="J754" s="162"/>
      <c r="K754" s="162"/>
    </row>
    <row r="755" spans="5:11">
      <c r="E755" s="162"/>
      <c r="F755" s="162"/>
      <c r="G755" s="162"/>
      <c r="H755" s="162"/>
      <c r="I755" s="162"/>
      <c r="J755" s="162"/>
      <c r="K755" s="162"/>
    </row>
    <row r="756" spans="5:11">
      <c r="E756" s="162"/>
      <c r="F756" s="162"/>
      <c r="G756" s="162"/>
      <c r="H756" s="162"/>
      <c r="I756" s="162"/>
      <c r="J756" s="162"/>
      <c r="K756" s="162"/>
    </row>
    <row r="757" spans="5:11">
      <c r="E757" s="162"/>
      <c r="F757" s="162"/>
      <c r="G757" s="162"/>
      <c r="H757" s="162"/>
      <c r="I757" s="162"/>
      <c r="J757" s="162"/>
      <c r="K757" s="162"/>
    </row>
    <row r="758" spans="5:11">
      <c r="E758" s="162"/>
      <c r="F758" s="162"/>
      <c r="G758" s="162"/>
      <c r="H758" s="162"/>
      <c r="I758" s="162"/>
      <c r="J758" s="162"/>
      <c r="K758" s="162"/>
    </row>
    <row r="759" spans="5:11">
      <c r="E759" s="162"/>
      <c r="F759" s="162"/>
      <c r="G759" s="162"/>
      <c r="H759" s="162"/>
      <c r="I759" s="162"/>
      <c r="J759" s="162"/>
      <c r="K759" s="162"/>
    </row>
    <row r="760" spans="5:11">
      <c r="E760" s="162"/>
      <c r="F760" s="162"/>
      <c r="G760" s="162"/>
      <c r="H760" s="162"/>
      <c r="I760" s="162"/>
      <c r="J760" s="162"/>
      <c r="K760" s="162"/>
    </row>
    <row r="761" spans="5:11">
      <c r="E761" s="162"/>
      <c r="F761" s="162"/>
      <c r="G761" s="162"/>
      <c r="H761" s="162"/>
      <c r="I761" s="162"/>
      <c r="J761" s="162"/>
      <c r="K761" s="162"/>
    </row>
    <row r="762" spans="5:11">
      <c r="E762" s="162"/>
      <c r="F762" s="162"/>
      <c r="G762" s="162"/>
      <c r="H762" s="162"/>
      <c r="I762" s="162"/>
      <c r="J762" s="162"/>
      <c r="K762" s="162"/>
    </row>
    <row r="763" spans="5:11">
      <c r="E763" s="162"/>
      <c r="F763" s="162"/>
      <c r="G763" s="162"/>
      <c r="H763" s="162"/>
      <c r="I763" s="162"/>
      <c r="J763" s="162"/>
      <c r="K763" s="162"/>
    </row>
    <row r="764" spans="5:11">
      <c r="E764" s="162"/>
      <c r="F764" s="162"/>
      <c r="G764" s="162"/>
      <c r="H764" s="162"/>
      <c r="I764" s="162"/>
      <c r="J764" s="162"/>
      <c r="K764" s="162"/>
    </row>
    <row r="765" spans="5:11">
      <c r="E765" s="162"/>
      <c r="F765" s="162"/>
      <c r="G765" s="162"/>
      <c r="H765" s="162"/>
      <c r="I765" s="162"/>
      <c r="J765" s="162"/>
      <c r="K765" s="162"/>
    </row>
    <row r="766" spans="5:11">
      <c r="E766" s="162"/>
      <c r="F766" s="162"/>
      <c r="G766" s="162"/>
      <c r="H766" s="162"/>
      <c r="I766" s="162"/>
      <c r="J766" s="162"/>
      <c r="K766" s="162"/>
    </row>
    <row r="767" spans="5:11">
      <c r="E767" s="162"/>
      <c r="F767" s="162"/>
      <c r="G767" s="162"/>
      <c r="H767" s="162"/>
      <c r="I767" s="162"/>
      <c r="J767" s="162"/>
      <c r="K767" s="162"/>
    </row>
    <row r="768" spans="5:11">
      <c r="E768" s="162"/>
      <c r="F768" s="162"/>
      <c r="G768" s="162"/>
      <c r="H768" s="162"/>
      <c r="I768" s="162"/>
      <c r="J768" s="162"/>
      <c r="K768" s="162"/>
    </row>
    <row r="769" spans="5:11">
      <c r="E769" s="162"/>
      <c r="F769" s="162"/>
      <c r="G769" s="162"/>
      <c r="H769" s="162"/>
      <c r="I769" s="162"/>
      <c r="J769" s="162"/>
      <c r="K769" s="162"/>
    </row>
    <row r="770" spans="5:11">
      <c r="E770" s="162"/>
      <c r="F770" s="162"/>
      <c r="G770" s="162"/>
      <c r="H770" s="162"/>
      <c r="I770" s="162"/>
      <c r="J770" s="162"/>
      <c r="K770" s="162"/>
    </row>
    <row r="771" spans="5:11">
      <c r="E771" s="162"/>
      <c r="F771" s="162"/>
      <c r="G771" s="162"/>
      <c r="H771" s="162"/>
      <c r="I771" s="162"/>
      <c r="J771" s="162"/>
      <c r="K771" s="162"/>
    </row>
    <row r="772" spans="5:11">
      <c r="E772" s="162"/>
      <c r="F772" s="162"/>
      <c r="G772" s="162"/>
      <c r="H772" s="162"/>
      <c r="I772" s="162"/>
      <c r="J772" s="162"/>
      <c r="K772" s="162"/>
    </row>
    <row r="773" spans="5:11">
      <c r="E773" s="162"/>
      <c r="F773" s="162"/>
      <c r="G773" s="162"/>
      <c r="H773" s="162"/>
      <c r="I773" s="162"/>
      <c r="J773" s="162"/>
      <c r="K773" s="162"/>
    </row>
    <row r="774" spans="5:11">
      <c r="E774" s="162"/>
      <c r="F774" s="162"/>
      <c r="G774" s="162"/>
      <c r="H774" s="162"/>
      <c r="I774" s="162"/>
      <c r="J774" s="162"/>
      <c r="K774" s="162"/>
    </row>
    <row r="775" spans="5:11">
      <c r="E775" s="162"/>
      <c r="F775" s="162"/>
      <c r="G775" s="162"/>
      <c r="H775" s="162"/>
      <c r="I775" s="162"/>
      <c r="J775" s="162"/>
      <c r="K775" s="162"/>
    </row>
    <row r="776" spans="5:11">
      <c r="E776" s="162"/>
      <c r="F776" s="162"/>
      <c r="G776" s="162"/>
      <c r="H776" s="162"/>
      <c r="I776" s="162"/>
      <c r="J776" s="162"/>
      <c r="K776" s="162"/>
    </row>
    <row r="777" spans="5:11">
      <c r="E777" s="162"/>
      <c r="F777" s="162"/>
      <c r="G777" s="162"/>
      <c r="H777" s="162"/>
      <c r="I777" s="162"/>
      <c r="J777" s="162"/>
      <c r="K777" s="162"/>
    </row>
    <row r="778" spans="5:11">
      <c r="E778" s="162"/>
      <c r="F778" s="162"/>
      <c r="G778" s="162"/>
      <c r="H778" s="162"/>
      <c r="I778" s="162"/>
      <c r="J778" s="162"/>
      <c r="K778" s="162"/>
    </row>
    <row r="779" spans="5:11">
      <c r="E779" s="162"/>
      <c r="F779" s="162"/>
      <c r="G779" s="162"/>
      <c r="H779" s="162"/>
      <c r="I779" s="162"/>
      <c r="J779" s="162"/>
      <c r="K779" s="162"/>
    </row>
    <row r="780" spans="5:11">
      <c r="E780" s="162"/>
      <c r="F780" s="162"/>
      <c r="G780" s="162"/>
      <c r="H780" s="162"/>
      <c r="I780" s="162"/>
      <c r="J780" s="162"/>
      <c r="K780" s="162"/>
    </row>
    <row r="781" spans="5:11">
      <c r="E781" s="162"/>
      <c r="F781" s="162"/>
      <c r="G781" s="162"/>
      <c r="H781" s="162"/>
      <c r="I781" s="162"/>
      <c r="J781" s="162"/>
      <c r="K781" s="162"/>
    </row>
    <row r="782" spans="5:11">
      <c r="E782" s="162"/>
      <c r="F782" s="162"/>
      <c r="G782" s="162"/>
      <c r="H782" s="162"/>
      <c r="I782" s="162"/>
      <c r="J782" s="162"/>
      <c r="K782" s="162"/>
    </row>
    <row r="783" spans="5:11">
      <c r="E783" s="162"/>
      <c r="F783" s="162"/>
      <c r="G783" s="162"/>
      <c r="H783" s="162"/>
      <c r="I783" s="162"/>
      <c r="J783" s="162"/>
      <c r="K783" s="162"/>
    </row>
    <row r="784" spans="5:11">
      <c r="E784" s="162"/>
      <c r="F784" s="162"/>
      <c r="G784" s="162"/>
      <c r="H784" s="162"/>
      <c r="I784" s="162"/>
      <c r="J784" s="162"/>
      <c r="K784" s="162"/>
    </row>
    <row r="785" spans="5:11">
      <c r="E785" s="162"/>
      <c r="F785" s="162"/>
      <c r="G785" s="162"/>
      <c r="H785" s="162"/>
      <c r="I785" s="162"/>
      <c r="J785" s="162"/>
      <c r="K785" s="162"/>
    </row>
    <row r="786" spans="5:11">
      <c r="E786" s="162"/>
      <c r="F786" s="162"/>
      <c r="G786" s="162"/>
      <c r="H786" s="162"/>
      <c r="I786" s="162"/>
      <c r="J786" s="162"/>
      <c r="K786" s="162"/>
    </row>
    <row r="787" spans="5:11">
      <c r="E787" s="162"/>
      <c r="F787" s="162"/>
      <c r="G787" s="162"/>
      <c r="H787" s="162"/>
      <c r="I787" s="162"/>
      <c r="J787" s="162"/>
      <c r="K787" s="162"/>
    </row>
    <row r="788" spans="5:11">
      <c r="E788" s="162"/>
      <c r="F788" s="162"/>
      <c r="G788" s="162"/>
      <c r="H788" s="162"/>
      <c r="I788" s="162"/>
      <c r="J788" s="162"/>
      <c r="K788" s="162"/>
    </row>
    <row r="789" spans="5:11">
      <c r="E789" s="162"/>
      <c r="F789" s="162"/>
      <c r="G789" s="162"/>
      <c r="H789" s="162"/>
      <c r="I789" s="162"/>
      <c r="J789" s="162"/>
      <c r="K789" s="162"/>
    </row>
    <row r="790" spans="5:11">
      <c r="E790" s="162"/>
      <c r="F790" s="162"/>
      <c r="G790" s="162"/>
      <c r="H790" s="162"/>
      <c r="I790" s="162"/>
      <c r="J790" s="162"/>
      <c r="K790" s="162"/>
    </row>
    <row r="791" spans="5:11">
      <c r="E791" s="162"/>
      <c r="F791" s="162"/>
      <c r="G791" s="162"/>
      <c r="H791" s="162"/>
      <c r="I791" s="162"/>
      <c r="J791" s="162"/>
      <c r="K791" s="162"/>
    </row>
    <row r="792" spans="5:11">
      <c r="E792" s="162"/>
      <c r="F792" s="162"/>
      <c r="G792" s="162"/>
      <c r="H792" s="162"/>
      <c r="I792" s="162"/>
      <c r="J792" s="162"/>
      <c r="K792" s="162"/>
    </row>
    <row r="793" spans="5:11">
      <c r="E793" s="162"/>
      <c r="F793" s="162"/>
      <c r="G793" s="162"/>
      <c r="H793" s="162"/>
      <c r="I793" s="162"/>
      <c r="J793" s="162"/>
      <c r="K793" s="162"/>
    </row>
    <row r="794" spans="5:11">
      <c r="E794" s="162"/>
      <c r="F794" s="162"/>
      <c r="G794" s="162"/>
      <c r="H794" s="162"/>
      <c r="I794" s="162"/>
      <c r="J794" s="162"/>
      <c r="K794" s="162"/>
    </row>
    <row r="795" spans="5:11">
      <c r="E795" s="162"/>
      <c r="F795" s="162"/>
      <c r="G795" s="162"/>
      <c r="H795" s="162"/>
      <c r="I795" s="162"/>
      <c r="J795" s="162"/>
      <c r="K795" s="162"/>
    </row>
    <row r="796" spans="5:11">
      <c r="E796" s="162"/>
      <c r="F796" s="162"/>
      <c r="G796" s="162"/>
      <c r="H796" s="162"/>
      <c r="I796" s="162"/>
      <c r="J796" s="162"/>
      <c r="K796" s="162"/>
    </row>
    <row r="797" spans="5:11">
      <c r="E797" s="162"/>
      <c r="F797" s="162"/>
      <c r="G797" s="162"/>
      <c r="H797" s="162"/>
      <c r="I797" s="162"/>
      <c r="J797" s="162"/>
      <c r="K797" s="162"/>
    </row>
    <row r="798" spans="5:11">
      <c r="E798" s="162"/>
      <c r="F798" s="162"/>
      <c r="G798" s="162"/>
      <c r="H798" s="162"/>
      <c r="I798" s="162"/>
      <c r="J798" s="162"/>
      <c r="K798" s="162"/>
    </row>
    <row r="799" spans="5:11">
      <c r="E799" s="162"/>
      <c r="F799" s="162"/>
      <c r="G799" s="162"/>
      <c r="H799" s="162"/>
      <c r="I799" s="162"/>
      <c r="J799" s="162"/>
      <c r="K799" s="162"/>
    </row>
    <row r="800" spans="5:11">
      <c r="E800" s="162"/>
      <c r="F800" s="162"/>
      <c r="G800" s="162"/>
      <c r="H800" s="162"/>
      <c r="I800" s="162"/>
      <c r="J800" s="162"/>
      <c r="K800" s="162"/>
    </row>
    <row r="801" spans="5:11">
      <c r="E801" s="162"/>
      <c r="F801" s="162"/>
      <c r="G801" s="162"/>
      <c r="H801" s="162"/>
      <c r="I801" s="162"/>
      <c r="J801" s="162"/>
      <c r="K801" s="162"/>
    </row>
    <row r="802" spans="5:11">
      <c r="E802" s="162"/>
      <c r="F802" s="162"/>
      <c r="G802" s="162"/>
      <c r="H802" s="162"/>
      <c r="I802" s="162"/>
      <c r="J802" s="162"/>
      <c r="K802" s="162"/>
    </row>
    <row r="803" spans="5:11">
      <c r="E803" s="162"/>
      <c r="F803" s="162"/>
      <c r="G803" s="162"/>
      <c r="H803" s="162"/>
      <c r="I803" s="162"/>
      <c r="J803" s="162"/>
      <c r="K803" s="162"/>
    </row>
    <row r="804" spans="5:11">
      <c r="E804" s="162"/>
      <c r="F804" s="162"/>
      <c r="G804" s="162"/>
      <c r="H804" s="162"/>
      <c r="I804" s="162"/>
      <c r="J804" s="162"/>
      <c r="K804" s="162"/>
    </row>
    <row r="805" spans="5:11">
      <c r="E805" s="162"/>
      <c r="F805" s="162"/>
      <c r="G805" s="162"/>
      <c r="H805" s="162"/>
      <c r="I805" s="162"/>
      <c r="J805" s="162"/>
      <c r="K805" s="162"/>
    </row>
    <row r="806" spans="5:11">
      <c r="E806" s="162"/>
      <c r="F806" s="162"/>
      <c r="G806" s="162"/>
      <c r="H806" s="162"/>
      <c r="I806" s="162"/>
      <c r="J806" s="162"/>
      <c r="K806" s="162"/>
    </row>
    <row r="807" spans="5:11">
      <c r="E807" s="162"/>
      <c r="F807" s="162"/>
      <c r="G807" s="162"/>
      <c r="H807" s="162"/>
      <c r="I807" s="162"/>
      <c r="J807" s="162"/>
      <c r="K807" s="162"/>
    </row>
    <row r="808" spans="5:11">
      <c r="E808" s="162"/>
      <c r="F808" s="162"/>
      <c r="G808" s="162"/>
      <c r="H808" s="162"/>
      <c r="I808" s="162"/>
      <c r="J808" s="162"/>
      <c r="K808" s="162"/>
    </row>
    <row r="809" spans="5:11">
      <c r="E809" s="162"/>
      <c r="F809" s="162"/>
      <c r="G809" s="162"/>
      <c r="H809" s="162"/>
      <c r="I809" s="162"/>
      <c r="J809" s="162"/>
      <c r="K809" s="162"/>
    </row>
    <row r="810" spans="5:11">
      <c r="E810" s="162"/>
      <c r="F810" s="162"/>
      <c r="G810" s="162"/>
      <c r="H810" s="162"/>
      <c r="I810" s="162"/>
      <c r="J810" s="162"/>
      <c r="K810" s="162"/>
    </row>
    <row r="811" spans="5:11">
      <c r="E811" s="162"/>
      <c r="F811" s="162"/>
      <c r="G811" s="162"/>
      <c r="H811" s="162"/>
      <c r="I811" s="162"/>
      <c r="J811" s="162"/>
      <c r="K811" s="162"/>
    </row>
    <row r="812" spans="5:11">
      <c r="E812" s="162"/>
      <c r="F812" s="162"/>
      <c r="G812" s="162"/>
      <c r="H812" s="162"/>
      <c r="I812" s="162"/>
      <c r="J812" s="162"/>
      <c r="K812" s="162"/>
    </row>
    <row r="813" spans="5:11">
      <c r="E813" s="162"/>
      <c r="F813" s="162"/>
      <c r="G813" s="162"/>
      <c r="H813" s="162"/>
      <c r="I813" s="162"/>
      <c r="J813" s="162"/>
      <c r="K813" s="162"/>
    </row>
    <row r="814" spans="5:11">
      <c r="E814" s="162"/>
      <c r="F814" s="162"/>
      <c r="G814" s="162"/>
      <c r="H814" s="162"/>
      <c r="I814" s="162"/>
      <c r="J814" s="162"/>
      <c r="K814" s="162"/>
    </row>
    <row r="815" spans="5:11">
      <c r="E815" s="162"/>
      <c r="F815" s="162"/>
      <c r="G815" s="162"/>
      <c r="H815" s="162"/>
      <c r="I815" s="162"/>
      <c r="J815" s="162"/>
      <c r="K815" s="162"/>
    </row>
    <row r="816" spans="5:11">
      <c r="E816" s="162"/>
      <c r="F816" s="162"/>
      <c r="G816" s="162"/>
      <c r="H816" s="162"/>
      <c r="I816" s="162"/>
      <c r="J816" s="162"/>
      <c r="K816" s="162"/>
    </row>
    <row r="817" spans="5:11">
      <c r="E817" s="162"/>
      <c r="F817" s="162"/>
      <c r="G817" s="162"/>
      <c r="H817" s="162"/>
      <c r="I817" s="162"/>
      <c r="J817" s="162"/>
      <c r="K817" s="162"/>
    </row>
    <row r="818" spans="5:11">
      <c r="E818" s="162"/>
      <c r="F818" s="162"/>
      <c r="G818" s="162"/>
      <c r="H818" s="162"/>
      <c r="I818" s="162"/>
      <c r="J818" s="162"/>
      <c r="K818" s="162"/>
    </row>
    <row r="819" spans="5:11">
      <c r="E819" s="162"/>
      <c r="F819" s="162"/>
      <c r="G819" s="162"/>
      <c r="H819" s="162"/>
      <c r="I819" s="162"/>
      <c r="J819" s="162"/>
      <c r="K819" s="162"/>
    </row>
    <row r="820" spans="5:11">
      <c r="E820" s="162"/>
      <c r="F820" s="162"/>
      <c r="G820" s="162"/>
      <c r="H820" s="162"/>
      <c r="I820" s="162"/>
      <c r="J820" s="162"/>
      <c r="K820" s="162"/>
    </row>
    <row r="821" spans="5:11">
      <c r="E821" s="162"/>
      <c r="F821" s="162"/>
      <c r="G821" s="162"/>
      <c r="H821" s="162"/>
      <c r="I821" s="162"/>
      <c r="J821" s="162"/>
      <c r="K821" s="162"/>
    </row>
    <row r="822" spans="5:11">
      <c r="E822" s="162"/>
      <c r="F822" s="162"/>
      <c r="G822" s="162"/>
      <c r="H822" s="162"/>
      <c r="I822" s="162"/>
      <c r="J822" s="162"/>
      <c r="K822" s="162"/>
    </row>
    <row r="823" spans="5:11">
      <c r="E823" s="162"/>
      <c r="F823" s="162"/>
      <c r="G823" s="162"/>
      <c r="H823" s="162"/>
      <c r="I823" s="162"/>
      <c r="J823" s="162"/>
      <c r="K823" s="162"/>
    </row>
    <row r="824" spans="5:11">
      <c r="E824" s="162"/>
      <c r="F824" s="162"/>
      <c r="G824" s="162"/>
      <c r="H824" s="162"/>
      <c r="I824" s="162"/>
      <c r="J824" s="162"/>
      <c r="K824" s="162"/>
    </row>
    <row r="825" spans="5:11">
      <c r="E825" s="162"/>
      <c r="F825" s="162"/>
      <c r="G825" s="162"/>
      <c r="H825" s="162"/>
      <c r="I825" s="162"/>
      <c r="J825" s="162"/>
      <c r="K825" s="162"/>
    </row>
    <row r="826" spans="5:11">
      <c r="E826" s="162"/>
      <c r="F826" s="162"/>
      <c r="G826" s="162"/>
      <c r="H826" s="162"/>
      <c r="I826" s="162"/>
      <c r="J826" s="162"/>
      <c r="K826" s="162"/>
    </row>
    <row r="827" spans="5:11">
      <c r="E827" s="162"/>
      <c r="F827" s="162"/>
      <c r="G827" s="162"/>
      <c r="H827" s="162"/>
      <c r="I827" s="162"/>
      <c r="J827" s="162"/>
      <c r="K827" s="162"/>
    </row>
    <row r="828" spans="5:11">
      <c r="E828" s="162"/>
      <c r="F828" s="162"/>
      <c r="G828" s="162"/>
      <c r="H828" s="162"/>
      <c r="I828" s="162"/>
      <c r="J828" s="162"/>
      <c r="K828" s="162"/>
    </row>
    <row r="829" spans="5:11">
      <c r="E829" s="162"/>
      <c r="F829" s="162"/>
      <c r="G829" s="162"/>
      <c r="H829" s="162"/>
      <c r="I829" s="162"/>
      <c r="J829" s="162"/>
      <c r="K829" s="162"/>
    </row>
    <row r="830" spans="5:11">
      <c r="E830" s="162"/>
      <c r="F830" s="162"/>
      <c r="G830" s="162"/>
      <c r="H830" s="162"/>
      <c r="I830" s="162"/>
      <c r="J830" s="162"/>
      <c r="K830" s="162"/>
    </row>
    <row r="831" spans="5:11">
      <c r="E831" s="162"/>
      <c r="F831" s="162"/>
      <c r="G831" s="162"/>
      <c r="H831" s="162"/>
      <c r="I831" s="162"/>
      <c r="J831" s="162"/>
      <c r="K831" s="162"/>
    </row>
    <row r="832" spans="5:11">
      <c r="E832" s="162"/>
      <c r="F832" s="162"/>
      <c r="G832" s="162"/>
      <c r="H832" s="162"/>
      <c r="I832" s="162"/>
      <c r="J832" s="162"/>
      <c r="K832" s="162"/>
    </row>
    <row r="833" spans="5:11">
      <c r="E833" s="162"/>
      <c r="F833" s="162"/>
      <c r="G833" s="162"/>
      <c r="H833" s="162"/>
      <c r="I833" s="162"/>
      <c r="J833" s="162"/>
      <c r="K833" s="162"/>
    </row>
    <row r="834" spans="5:11">
      <c r="E834" s="162"/>
      <c r="F834" s="162"/>
      <c r="G834" s="162"/>
      <c r="H834" s="162"/>
      <c r="I834" s="162"/>
      <c r="J834" s="162"/>
      <c r="K834" s="162"/>
    </row>
    <row r="835" spans="5:11">
      <c r="E835" s="162"/>
      <c r="F835" s="162"/>
      <c r="G835" s="162"/>
      <c r="H835" s="162"/>
      <c r="I835" s="162"/>
      <c r="J835" s="162"/>
      <c r="K835" s="162"/>
    </row>
    <row r="836" spans="5:11">
      <c r="E836" s="162"/>
      <c r="F836" s="162"/>
      <c r="G836" s="162"/>
      <c r="H836" s="162"/>
      <c r="I836" s="162"/>
      <c r="J836" s="162"/>
      <c r="K836" s="162"/>
    </row>
    <row r="837" spans="5:11">
      <c r="E837" s="162"/>
      <c r="F837" s="162"/>
      <c r="G837" s="162"/>
      <c r="H837" s="162"/>
      <c r="I837" s="162"/>
      <c r="J837" s="162"/>
      <c r="K837" s="162"/>
    </row>
    <row r="838" spans="5:11">
      <c r="E838" s="162"/>
      <c r="F838" s="162"/>
      <c r="G838" s="162"/>
      <c r="H838" s="162"/>
      <c r="I838" s="162"/>
      <c r="J838" s="162"/>
      <c r="K838" s="162"/>
    </row>
    <row r="839" spans="5:11">
      <c r="E839" s="162"/>
      <c r="F839" s="162"/>
      <c r="G839" s="162"/>
      <c r="H839" s="162"/>
      <c r="I839" s="162"/>
      <c r="J839" s="162"/>
      <c r="K839" s="162"/>
    </row>
    <row r="840" spans="5:11">
      <c r="E840" s="162"/>
      <c r="F840" s="162"/>
      <c r="G840" s="162"/>
      <c r="H840" s="162"/>
      <c r="I840" s="162"/>
      <c r="J840" s="162"/>
      <c r="K840" s="162"/>
    </row>
    <row r="841" spans="5:11">
      <c r="E841" s="162"/>
      <c r="F841" s="162"/>
      <c r="G841" s="162"/>
      <c r="H841" s="162"/>
      <c r="I841" s="162"/>
      <c r="J841" s="162"/>
      <c r="K841" s="162"/>
    </row>
    <row r="842" spans="5:11">
      <c r="E842" s="162"/>
      <c r="F842" s="162"/>
      <c r="G842" s="162"/>
      <c r="H842" s="162"/>
      <c r="I842" s="162"/>
      <c r="J842" s="162"/>
      <c r="K842" s="162"/>
    </row>
    <row r="843" spans="5:11">
      <c r="E843" s="162"/>
      <c r="F843" s="162"/>
      <c r="G843" s="162"/>
      <c r="H843" s="162"/>
      <c r="I843" s="162"/>
      <c r="J843" s="162"/>
      <c r="K843" s="162"/>
    </row>
    <row r="844" spans="5:11">
      <c r="E844" s="162"/>
      <c r="F844" s="162"/>
      <c r="G844" s="162"/>
      <c r="H844" s="162"/>
      <c r="I844" s="162"/>
      <c r="J844" s="162"/>
      <c r="K844" s="162"/>
    </row>
    <row r="845" spans="5:11">
      <c r="E845" s="162"/>
      <c r="F845" s="162"/>
      <c r="G845" s="162"/>
      <c r="H845" s="162"/>
      <c r="I845" s="162"/>
      <c r="J845" s="162"/>
      <c r="K845" s="162"/>
    </row>
    <row r="846" spans="5:11">
      <c r="E846" s="162"/>
      <c r="F846" s="162"/>
      <c r="G846" s="162"/>
      <c r="H846" s="162"/>
      <c r="I846" s="162"/>
      <c r="J846" s="162"/>
      <c r="K846" s="162"/>
    </row>
    <row r="847" spans="5:11">
      <c r="E847" s="162"/>
      <c r="F847" s="162"/>
      <c r="G847" s="162"/>
      <c r="H847" s="162"/>
      <c r="I847" s="162"/>
      <c r="J847" s="162"/>
      <c r="K847" s="162"/>
    </row>
    <row r="848" spans="5:11">
      <c r="E848" s="162"/>
      <c r="F848" s="162"/>
      <c r="G848" s="162"/>
      <c r="H848" s="162"/>
      <c r="I848" s="162"/>
      <c r="J848" s="162"/>
      <c r="K848" s="162"/>
    </row>
    <row r="849" spans="5:11">
      <c r="E849" s="162"/>
      <c r="F849" s="162"/>
      <c r="G849" s="162"/>
      <c r="H849" s="162"/>
      <c r="I849" s="162"/>
      <c r="J849" s="162"/>
      <c r="K849" s="162"/>
    </row>
    <row r="850" spans="5:11">
      <c r="E850" s="162"/>
      <c r="F850" s="162"/>
      <c r="G850" s="162"/>
      <c r="H850" s="162"/>
      <c r="I850" s="162"/>
      <c r="J850" s="162"/>
      <c r="K850" s="162"/>
    </row>
    <row r="851" spans="5:11">
      <c r="E851" s="162"/>
      <c r="F851" s="162"/>
      <c r="G851" s="162"/>
      <c r="H851" s="162"/>
      <c r="I851" s="162"/>
      <c r="J851" s="162"/>
      <c r="K851" s="162"/>
    </row>
    <row r="852" spans="5:11">
      <c r="E852" s="162"/>
      <c r="F852" s="162"/>
      <c r="G852" s="162"/>
      <c r="H852" s="162"/>
      <c r="I852" s="162"/>
      <c r="J852" s="162"/>
      <c r="K852" s="162"/>
    </row>
    <row r="853" spans="5:11">
      <c r="E853" s="162"/>
      <c r="F853" s="162"/>
      <c r="G853" s="162"/>
      <c r="H853" s="162"/>
      <c r="I853" s="162"/>
      <c r="J853" s="162"/>
      <c r="K853" s="162"/>
    </row>
    <row r="854" spans="5:11">
      <c r="E854" s="162"/>
      <c r="F854" s="162"/>
      <c r="G854" s="162"/>
      <c r="H854" s="162"/>
      <c r="I854" s="162"/>
      <c r="J854" s="162"/>
      <c r="K854" s="162"/>
    </row>
    <row r="855" spans="5:11">
      <c r="E855" s="162"/>
      <c r="F855" s="162"/>
      <c r="G855" s="162"/>
      <c r="H855" s="162"/>
      <c r="I855" s="162"/>
      <c r="J855" s="162"/>
      <c r="K855" s="162"/>
    </row>
    <row r="856" spans="5:11">
      <c r="E856" s="162"/>
      <c r="F856" s="162"/>
      <c r="G856" s="162"/>
      <c r="H856" s="162"/>
      <c r="I856" s="162"/>
      <c r="J856" s="162"/>
      <c r="K856" s="162"/>
    </row>
    <row r="857" spans="5:11">
      <c r="E857" s="162"/>
      <c r="F857" s="162"/>
      <c r="G857" s="162"/>
      <c r="H857" s="162"/>
      <c r="I857" s="162"/>
      <c r="J857" s="162"/>
      <c r="K857" s="162"/>
    </row>
    <row r="858" spans="5:11">
      <c r="E858" s="162"/>
      <c r="F858" s="162"/>
      <c r="G858" s="162"/>
      <c r="H858" s="162"/>
      <c r="I858" s="162"/>
      <c r="J858" s="162"/>
      <c r="K858" s="162"/>
    </row>
    <row r="859" spans="5:11">
      <c r="E859" s="162"/>
      <c r="F859" s="162"/>
      <c r="G859" s="162"/>
      <c r="H859" s="162"/>
      <c r="I859" s="162"/>
      <c r="J859" s="162"/>
      <c r="K859" s="162"/>
    </row>
    <row r="860" spans="5:11">
      <c r="E860" s="162"/>
      <c r="F860" s="162"/>
      <c r="G860" s="162"/>
      <c r="H860" s="162"/>
      <c r="I860" s="162"/>
      <c r="J860" s="162"/>
      <c r="K860" s="162"/>
    </row>
    <row r="861" spans="5:11">
      <c r="E861" s="162"/>
      <c r="F861" s="162"/>
      <c r="G861" s="162"/>
      <c r="H861" s="162"/>
      <c r="I861" s="162"/>
      <c r="J861" s="162"/>
      <c r="K861" s="162"/>
    </row>
    <row r="862" spans="5:11">
      <c r="E862" s="162"/>
      <c r="F862" s="162"/>
      <c r="G862" s="162"/>
      <c r="H862" s="162"/>
      <c r="I862" s="162"/>
      <c r="J862" s="162"/>
      <c r="K862" s="162"/>
    </row>
    <row r="863" spans="5:11">
      <c r="E863" s="162"/>
      <c r="F863" s="162"/>
      <c r="G863" s="162"/>
      <c r="H863" s="162"/>
      <c r="I863" s="162"/>
      <c r="J863" s="162"/>
      <c r="K863" s="162"/>
    </row>
    <row r="864" spans="5:11">
      <c r="E864" s="162"/>
      <c r="F864" s="162"/>
      <c r="G864" s="162"/>
      <c r="H864" s="162"/>
      <c r="I864" s="162"/>
      <c r="J864" s="162"/>
      <c r="K864" s="162"/>
    </row>
    <row r="865" spans="5:11">
      <c r="E865" s="162"/>
      <c r="F865" s="162"/>
      <c r="G865" s="162"/>
      <c r="H865" s="162"/>
      <c r="I865" s="162"/>
      <c r="J865" s="162"/>
      <c r="K865" s="162"/>
    </row>
    <row r="866" spans="5:11">
      <c r="E866" s="162"/>
      <c r="F866" s="162"/>
      <c r="G866" s="162"/>
      <c r="H866" s="162"/>
      <c r="I866" s="162"/>
      <c r="J866" s="162"/>
      <c r="K866" s="162"/>
    </row>
    <row r="867" spans="5:11">
      <c r="E867" s="162"/>
      <c r="F867" s="162"/>
      <c r="G867" s="162"/>
      <c r="H867" s="162"/>
      <c r="I867" s="162"/>
      <c r="J867" s="162"/>
      <c r="K867" s="162"/>
    </row>
    <row r="868" spans="5:11">
      <c r="E868" s="162"/>
      <c r="F868" s="162"/>
      <c r="G868" s="162"/>
      <c r="H868" s="162"/>
      <c r="I868" s="162"/>
      <c r="J868" s="162"/>
      <c r="K868" s="162"/>
    </row>
    <row r="869" spans="5:11">
      <c r="E869" s="162"/>
      <c r="F869" s="162"/>
      <c r="G869" s="162"/>
      <c r="H869" s="162"/>
      <c r="I869" s="162"/>
      <c r="J869" s="162"/>
      <c r="K869" s="162"/>
    </row>
    <row r="870" spans="5:11">
      <c r="E870" s="162"/>
      <c r="F870" s="162"/>
      <c r="G870" s="162"/>
      <c r="H870" s="162"/>
      <c r="I870" s="162"/>
      <c r="J870" s="162"/>
      <c r="K870" s="162"/>
    </row>
    <row r="871" spans="5:11">
      <c r="E871" s="162"/>
      <c r="F871" s="162"/>
      <c r="G871" s="162"/>
      <c r="H871" s="162"/>
      <c r="I871" s="162"/>
      <c r="J871" s="162"/>
      <c r="K871" s="162"/>
    </row>
    <row r="872" spans="5:11">
      <c r="E872" s="162"/>
      <c r="F872" s="162"/>
      <c r="G872" s="162"/>
      <c r="H872" s="162"/>
      <c r="I872" s="162"/>
      <c r="J872" s="162"/>
      <c r="K872" s="162"/>
    </row>
    <row r="873" spans="5:11">
      <c r="E873" s="162"/>
      <c r="F873" s="162"/>
      <c r="G873" s="162"/>
      <c r="H873" s="162"/>
      <c r="I873" s="162"/>
      <c r="J873" s="162"/>
      <c r="K873" s="162"/>
    </row>
    <row r="874" spans="5:11">
      <c r="E874" s="162"/>
      <c r="F874" s="162"/>
      <c r="G874" s="162"/>
      <c r="H874" s="162"/>
      <c r="I874" s="162"/>
      <c r="J874" s="162"/>
      <c r="K874" s="162"/>
    </row>
    <row r="875" spans="5:11">
      <c r="E875" s="162"/>
      <c r="F875" s="162"/>
      <c r="G875" s="162"/>
      <c r="H875" s="162"/>
      <c r="I875" s="162"/>
      <c r="J875" s="162"/>
      <c r="K875" s="162"/>
    </row>
    <row r="876" spans="5:11">
      <c r="E876" s="162"/>
      <c r="F876" s="162"/>
      <c r="G876" s="162"/>
      <c r="H876" s="162"/>
      <c r="I876" s="162"/>
      <c r="J876" s="162"/>
      <c r="K876" s="162"/>
    </row>
    <row r="877" spans="5:11">
      <c r="E877" s="162"/>
      <c r="F877" s="162"/>
      <c r="G877" s="162"/>
      <c r="H877" s="162"/>
      <c r="I877" s="162"/>
      <c r="J877" s="162"/>
      <c r="K877" s="162"/>
    </row>
    <row r="878" spans="5:11">
      <c r="E878" s="162"/>
      <c r="F878" s="162"/>
      <c r="G878" s="162"/>
      <c r="H878" s="162"/>
      <c r="I878" s="162"/>
      <c r="J878" s="162"/>
      <c r="K878" s="162"/>
    </row>
    <row r="879" spans="5:11">
      <c r="E879" s="162"/>
      <c r="F879" s="162"/>
      <c r="G879" s="162"/>
      <c r="H879" s="162"/>
      <c r="I879" s="162"/>
      <c r="J879" s="162"/>
      <c r="K879" s="162"/>
    </row>
    <row r="880" spans="5:11">
      <c r="E880" s="162"/>
      <c r="F880" s="162"/>
      <c r="G880" s="162"/>
      <c r="H880" s="162"/>
      <c r="I880" s="162"/>
      <c r="J880" s="162"/>
      <c r="K880" s="162"/>
    </row>
    <row r="881" spans="5:11">
      <c r="E881" s="162"/>
      <c r="F881" s="162"/>
      <c r="G881" s="162"/>
      <c r="H881" s="162"/>
      <c r="I881" s="162"/>
      <c r="J881" s="162"/>
      <c r="K881" s="162"/>
    </row>
    <row r="882" spans="5:11">
      <c r="E882" s="162"/>
      <c r="F882" s="162"/>
      <c r="G882" s="162"/>
      <c r="H882" s="162"/>
      <c r="I882" s="162"/>
      <c r="J882" s="162"/>
      <c r="K882" s="162"/>
    </row>
    <row r="883" spans="5:11">
      <c r="E883" s="162"/>
      <c r="F883" s="162"/>
      <c r="G883" s="162"/>
      <c r="H883" s="162"/>
      <c r="I883" s="162"/>
      <c r="J883" s="162"/>
      <c r="K883" s="162"/>
    </row>
    <row r="884" spans="5:11">
      <c r="E884" s="162"/>
      <c r="F884" s="162"/>
      <c r="G884" s="162"/>
      <c r="H884" s="162"/>
      <c r="I884" s="162"/>
      <c r="J884" s="162"/>
      <c r="K884" s="162"/>
    </row>
    <row r="885" spans="5:11">
      <c r="E885" s="162"/>
      <c r="F885" s="162"/>
      <c r="G885" s="162"/>
      <c r="H885" s="162"/>
      <c r="I885" s="162"/>
      <c r="J885" s="162"/>
      <c r="K885" s="162"/>
    </row>
    <row r="886" spans="5:11">
      <c r="E886" s="162"/>
      <c r="F886" s="162"/>
      <c r="G886" s="162"/>
      <c r="H886" s="162"/>
      <c r="I886" s="162"/>
      <c r="J886" s="162"/>
      <c r="K886" s="162"/>
    </row>
    <row r="887" spans="5:11">
      <c r="E887" s="162"/>
      <c r="F887" s="162"/>
      <c r="G887" s="162"/>
      <c r="H887" s="162"/>
      <c r="I887" s="162"/>
      <c r="J887" s="162"/>
      <c r="K887" s="162"/>
    </row>
    <row r="888" spans="5:11">
      <c r="E888" s="162"/>
      <c r="F888" s="162"/>
      <c r="G888" s="162"/>
      <c r="H888" s="162"/>
      <c r="I888" s="162"/>
      <c r="J888" s="162"/>
      <c r="K888" s="162"/>
    </row>
    <row r="889" spans="5:11">
      <c r="E889" s="162"/>
      <c r="F889" s="162"/>
      <c r="G889" s="162"/>
      <c r="H889" s="162"/>
      <c r="I889" s="162"/>
      <c r="J889" s="162"/>
      <c r="K889" s="162"/>
    </row>
    <row r="890" spans="5:11">
      <c r="E890" s="162"/>
      <c r="F890" s="162"/>
      <c r="G890" s="162"/>
      <c r="H890" s="162"/>
      <c r="I890" s="162"/>
      <c r="J890" s="162"/>
      <c r="K890" s="162"/>
    </row>
    <row r="891" spans="5:11">
      <c r="E891" s="162"/>
      <c r="F891" s="162"/>
      <c r="G891" s="162"/>
      <c r="H891" s="162"/>
      <c r="I891" s="162"/>
      <c r="J891" s="162"/>
      <c r="K891" s="162"/>
    </row>
    <row r="892" spans="5:11">
      <c r="E892" s="162"/>
      <c r="F892" s="162"/>
      <c r="G892" s="162"/>
      <c r="H892" s="162"/>
      <c r="I892" s="162"/>
      <c r="J892" s="162"/>
      <c r="K892" s="162"/>
    </row>
    <row r="893" spans="5:11">
      <c r="E893" s="162"/>
      <c r="F893" s="162"/>
      <c r="G893" s="162"/>
      <c r="H893" s="162"/>
      <c r="I893" s="162"/>
      <c r="J893" s="162"/>
      <c r="K893" s="162"/>
    </row>
    <row r="894" spans="5:11">
      <c r="E894" s="162"/>
      <c r="F894" s="162"/>
      <c r="G894" s="162"/>
      <c r="H894" s="162"/>
      <c r="I894" s="162"/>
      <c r="J894" s="162"/>
      <c r="K894" s="162"/>
    </row>
    <row r="895" spans="5:11">
      <c r="E895" s="162"/>
      <c r="F895" s="162"/>
      <c r="G895" s="162"/>
      <c r="H895" s="162"/>
      <c r="I895" s="162"/>
      <c r="J895" s="162"/>
      <c r="K895" s="162"/>
    </row>
    <row r="896" spans="5:11">
      <c r="E896" s="162"/>
      <c r="F896" s="162"/>
      <c r="G896" s="162"/>
      <c r="H896" s="162"/>
      <c r="I896" s="162"/>
      <c r="J896" s="162"/>
      <c r="K896" s="162"/>
    </row>
    <row r="897" spans="5:11">
      <c r="E897" s="162"/>
      <c r="F897" s="162"/>
      <c r="G897" s="162"/>
      <c r="H897" s="162"/>
      <c r="I897" s="162"/>
      <c r="J897" s="162"/>
      <c r="K897" s="162"/>
    </row>
    <row r="898" spans="5:11">
      <c r="E898" s="162"/>
      <c r="F898" s="162"/>
      <c r="G898" s="162"/>
      <c r="H898" s="162"/>
      <c r="I898" s="162"/>
      <c r="J898" s="162"/>
      <c r="K898" s="162"/>
    </row>
    <row r="899" spans="5:11">
      <c r="E899" s="162"/>
      <c r="F899" s="162"/>
      <c r="G899" s="162"/>
      <c r="H899" s="162"/>
      <c r="I899" s="162"/>
      <c r="J899" s="162"/>
      <c r="K899" s="162"/>
    </row>
    <row r="900" spans="5:11">
      <c r="E900" s="162"/>
      <c r="F900" s="162"/>
      <c r="G900" s="162"/>
      <c r="H900" s="162"/>
      <c r="I900" s="162"/>
      <c r="J900" s="162"/>
      <c r="K900" s="162"/>
    </row>
    <row r="901" spans="5:11">
      <c r="E901" s="162"/>
      <c r="F901" s="162"/>
      <c r="G901" s="162"/>
      <c r="H901" s="162"/>
      <c r="I901" s="162"/>
      <c r="J901" s="162"/>
      <c r="K901" s="162"/>
    </row>
    <row r="902" spans="5:11">
      <c r="E902" s="162"/>
      <c r="F902" s="162"/>
      <c r="G902" s="162"/>
      <c r="H902" s="162"/>
      <c r="I902" s="162"/>
      <c r="J902" s="162"/>
      <c r="K902" s="162"/>
    </row>
    <row r="903" spans="5:11">
      <c r="E903" s="162"/>
      <c r="F903" s="162"/>
      <c r="G903" s="162"/>
      <c r="H903" s="162"/>
      <c r="I903" s="162"/>
      <c r="J903" s="162"/>
      <c r="K903" s="162"/>
    </row>
    <row r="904" spans="5:11">
      <c r="E904" s="162"/>
      <c r="F904" s="162"/>
      <c r="G904" s="162"/>
      <c r="H904" s="162"/>
      <c r="I904" s="162"/>
      <c r="J904" s="162"/>
      <c r="K904" s="162"/>
    </row>
    <row r="905" spans="5:11">
      <c r="E905" s="162"/>
      <c r="F905" s="162"/>
      <c r="G905" s="162"/>
      <c r="H905" s="162"/>
      <c r="I905" s="162"/>
      <c r="J905" s="162"/>
      <c r="K905" s="162"/>
    </row>
    <row r="906" spans="5:11">
      <c r="E906" s="162"/>
      <c r="F906" s="162"/>
      <c r="G906" s="162"/>
      <c r="H906" s="162"/>
      <c r="I906" s="162"/>
      <c r="J906" s="162"/>
      <c r="K906" s="162"/>
    </row>
    <row r="907" spans="5:11">
      <c r="E907" s="162"/>
      <c r="F907" s="162"/>
      <c r="G907" s="162"/>
      <c r="H907" s="162"/>
      <c r="I907" s="162"/>
      <c r="J907" s="162"/>
      <c r="K907" s="162"/>
    </row>
    <row r="908" spans="5:11">
      <c r="E908" s="162"/>
      <c r="F908" s="162"/>
      <c r="G908" s="162"/>
      <c r="H908" s="162"/>
      <c r="I908" s="162"/>
      <c r="J908" s="162"/>
      <c r="K908" s="162"/>
    </row>
    <row r="909" spans="5:11">
      <c r="E909" s="162"/>
      <c r="F909" s="162"/>
      <c r="G909" s="162"/>
      <c r="H909" s="162"/>
      <c r="I909" s="162"/>
      <c r="J909" s="162"/>
      <c r="K909" s="162"/>
    </row>
    <row r="910" spans="5:11">
      <c r="E910" s="162"/>
      <c r="F910" s="162"/>
      <c r="G910" s="162"/>
      <c r="H910" s="162"/>
      <c r="I910" s="162"/>
      <c r="J910" s="162"/>
      <c r="K910" s="162"/>
    </row>
    <row r="911" spans="5:11">
      <c r="E911" s="162"/>
      <c r="F911" s="162"/>
      <c r="G911" s="162"/>
      <c r="H911" s="162"/>
      <c r="I911" s="162"/>
      <c r="J911" s="162"/>
      <c r="K911" s="162"/>
    </row>
    <row r="912" spans="5:11">
      <c r="E912" s="162"/>
      <c r="F912" s="162"/>
      <c r="G912" s="162"/>
      <c r="H912" s="162"/>
      <c r="I912" s="162"/>
      <c r="J912" s="162"/>
      <c r="K912" s="162"/>
    </row>
    <row r="913" spans="5:11">
      <c r="E913" s="162"/>
      <c r="F913" s="162"/>
      <c r="G913" s="162"/>
      <c r="H913" s="162"/>
      <c r="I913" s="162"/>
      <c r="J913" s="162"/>
      <c r="K913" s="162"/>
    </row>
    <row r="914" spans="5:11">
      <c r="E914" s="162"/>
      <c r="F914" s="162"/>
      <c r="G914" s="162"/>
      <c r="H914" s="162"/>
      <c r="I914" s="162"/>
      <c r="J914" s="162"/>
      <c r="K914" s="162"/>
    </row>
    <row r="915" spans="5:11">
      <c r="E915" s="162"/>
      <c r="F915" s="162"/>
      <c r="G915" s="162"/>
      <c r="H915" s="162"/>
      <c r="I915" s="162"/>
      <c r="J915" s="162"/>
      <c r="K915" s="162"/>
    </row>
    <row r="916" spans="5:11">
      <c r="E916" s="162"/>
      <c r="F916" s="162"/>
      <c r="G916" s="162"/>
      <c r="H916" s="162"/>
      <c r="I916" s="162"/>
      <c r="J916" s="162"/>
      <c r="K916" s="162"/>
    </row>
    <row r="917" spans="5:11">
      <c r="E917" s="162"/>
      <c r="F917" s="162"/>
      <c r="G917" s="162"/>
      <c r="H917" s="162"/>
      <c r="I917" s="162"/>
      <c r="J917" s="162"/>
      <c r="K917" s="162"/>
    </row>
    <row r="918" spans="5:11">
      <c r="E918" s="162"/>
      <c r="F918" s="162"/>
      <c r="G918" s="162"/>
      <c r="H918" s="162"/>
      <c r="I918" s="162"/>
      <c r="J918" s="162"/>
      <c r="K918" s="162"/>
    </row>
    <row r="919" spans="5:11">
      <c r="E919" s="162"/>
      <c r="F919" s="162"/>
      <c r="G919" s="162"/>
      <c r="H919" s="162"/>
      <c r="I919" s="162"/>
      <c r="J919" s="162"/>
      <c r="K919" s="162"/>
    </row>
    <row r="920" spans="5:11">
      <c r="E920" s="162"/>
      <c r="F920" s="162"/>
      <c r="G920" s="162"/>
      <c r="H920" s="162"/>
      <c r="I920" s="162"/>
      <c r="J920" s="162"/>
      <c r="K920" s="162"/>
    </row>
    <row r="921" spans="5:11">
      <c r="E921" s="162"/>
      <c r="F921" s="162"/>
      <c r="G921" s="162"/>
      <c r="H921" s="162"/>
      <c r="I921" s="162"/>
      <c r="J921" s="162"/>
      <c r="K921" s="162"/>
    </row>
    <row r="922" spans="5:11">
      <c r="E922" s="162"/>
      <c r="F922" s="162"/>
      <c r="G922" s="162"/>
      <c r="H922" s="162"/>
      <c r="I922" s="162"/>
      <c r="J922" s="162"/>
      <c r="K922" s="162"/>
    </row>
    <row r="923" spans="5:11">
      <c r="E923" s="162"/>
      <c r="F923" s="162"/>
      <c r="G923" s="162"/>
      <c r="H923" s="162"/>
      <c r="I923" s="162"/>
      <c r="J923" s="162"/>
      <c r="K923" s="162"/>
    </row>
    <row r="924" spans="5:11">
      <c r="E924" s="162"/>
      <c r="F924" s="162"/>
      <c r="G924" s="162"/>
      <c r="H924" s="162"/>
      <c r="I924" s="162"/>
      <c r="J924" s="162"/>
      <c r="K924" s="162"/>
    </row>
    <row r="925" spans="5:11">
      <c r="E925" s="162"/>
      <c r="F925" s="162"/>
      <c r="G925" s="162"/>
      <c r="H925" s="162"/>
      <c r="I925" s="162"/>
      <c r="J925" s="162"/>
      <c r="K925" s="162"/>
    </row>
    <row r="926" spans="5:11">
      <c r="E926" s="162"/>
      <c r="F926" s="162"/>
      <c r="G926" s="162"/>
      <c r="H926" s="162"/>
      <c r="I926" s="162"/>
      <c r="J926" s="162"/>
      <c r="K926" s="162"/>
    </row>
    <row r="927" spans="5:11">
      <c r="E927" s="162"/>
      <c r="F927" s="162"/>
      <c r="G927" s="162"/>
      <c r="H927" s="162"/>
      <c r="I927" s="162"/>
      <c r="J927" s="162"/>
      <c r="K927" s="162"/>
    </row>
    <row r="928" spans="5:11">
      <c r="E928" s="162"/>
      <c r="F928" s="162"/>
      <c r="G928" s="162"/>
      <c r="H928" s="162"/>
      <c r="I928" s="162"/>
      <c r="J928" s="162"/>
      <c r="K928" s="162"/>
    </row>
    <row r="929" spans="5:11">
      <c r="E929" s="162"/>
      <c r="F929" s="162"/>
      <c r="G929" s="162"/>
      <c r="H929" s="162"/>
      <c r="I929" s="162"/>
      <c r="J929" s="162"/>
      <c r="K929" s="162"/>
    </row>
    <row r="930" spans="5:11">
      <c r="E930" s="162"/>
      <c r="F930" s="162"/>
      <c r="G930" s="162"/>
      <c r="H930" s="162"/>
      <c r="I930" s="162"/>
      <c r="J930" s="162"/>
      <c r="K930" s="162"/>
    </row>
    <row r="931" spans="5:11">
      <c r="E931" s="162"/>
      <c r="F931" s="162"/>
      <c r="G931" s="162"/>
      <c r="H931" s="162"/>
      <c r="I931" s="162"/>
      <c r="J931" s="162"/>
      <c r="K931" s="162"/>
    </row>
    <row r="932" spans="5:11">
      <c r="E932" s="162"/>
      <c r="F932" s="162"/>
      <c r="G932" s="162"/>
      <c r="H932" s="162"/>
      <c r="I932" s="162"/>
      <c r="J932" s="162"/>
      <c r="K932" s="162"/>
    </row>
    <row r="933" spans="5:11">
      <c r="E933" s="162"/>
      <c r="F933" s="162"/>
      <c r="G933" s="162"/>
      <c r="H933" s="162"/>
      <c r="I933" s="162"/>
      <c r="J933" s="162"/>
      <c r="K933" s="162"/>
    </row>
    <row r="934" spans="5:11">
      <c r="E934" s="162"/>
      <c r="F934" s="162"/>
      <c r="G934" s="162"/>
      <c r="H934" s="162"/>
      <c r="I934" s="162"/>
      <c r="J934" s="162"/>
      <c r="K934" s="162"/>
    </row>
    <row r="935" spans="5:11">
      <c r="E935" s="162"/>
      <c r="F935" s="162"/>
      <c r="G935" s="162"/>
      <c r="H935" s="162"/>
      <c r="I935" s="162"/>
      <c r="J935" s="162"/>
      <c r="K935" s="162"/>
    </row>
    <row r="936" spans="5:11">
      <c r="E936" s="162"/>
      <c r="F936" s="162"/>
      <c r="G936" s="162"/>
      <c r="H936" s="162"/>
      <c r="I936" s="162"/>
      <c r="J936" s="162"/>
      <c r="K936" s="162"/>
    </row>
    <row r="937" spans="5:11">
      <c r="E937" s="162"/>
      <c r="F937" s="162"/>
      <c r="G937" s="162"/>
      <c r="H937" s="162"/>
      <c r="I937" s="162"/>
      <c r="J937" s="162"/>
      <c r="K937" s="162"/>
    </row>
    <row r="938" spans="5:11">
      <c r="E938" s="162"/>
      <c r="F938" s="162"/>
      <c r="G938" s="162"/>
      <c r="H938" s="162"/>
      <c r="I938" s="162"/>
      <c r="J938" s="162"/>
      <c r="K938" s="162"/>
    </row>
    <row r="939" spans="5:11">
      <c r="E939" s="162"/>
      <c r="F939" s="162"/>
      <c r="G939" s="162"/>
      <c r="H939" s="162"/>
      <c r="I939" s="162"/>
      <c r="J939" s="162"/>
      <c r="K939" s="162"/>
    </row>
    <row r="940" spans="5:11">
      <c r="E940" s="162"/>
      <c r="F940" s="162"/>
      <c r="G940" s="162"/>
      <c r="H940" s="162"/>
      <c r="I940" s="162"/>
      <c r="J940" s="162"/>
      <c r="K940" s="162"/>
    </row>
    <row r="941" spans="5:11">
      <c r="E941" s="162"/>
      <c r="F941" s="162"/>
      <c r="G941" s="162"/>
      <c r="H941" s="162"/>
      <c r="I941" s="162"/>
      <c r="J941" s="162"/>
      <c r="K941" s="162"/>
    </row>
    <row r="942" spans="5:11">
      <c r="E942" s="162"/>
      <c r="F942" s="162"/>
      <c r="G942" s="162"/>
      <c r="H942" s="162"/>
      <c r="I942" s="162"/>
      <c r="J942" s="162"/>
      <c r="K942" s="162"/>
    </row>
    <row r="943" spans="5:11">
      <c r="E943" s="162"/>
      <c r="F943" s="162"/>
      <c r="G943" s="162"/>
      <c r="H943" s="162"/>
      <c r="I943" s="162"/>
      <c r="J943" s="162"/>
      <c r="K943" s="162"/>
    </row>
    <row r="944" spans="5:11">
      <c r="E944" s="162"/>
      <c r="F944" s="162"/>
      <c r="G944" s="162"/>
      <c r="H944" s="162"/>
      <c r="I944" s="162"/>
      <c r="J944" s="162"/>
      <c r="K944" s="162"/>
    </row>
    <row r="945" spans="5:11">
      <c r="E945" s="162"/>
      <c r="F945" s="162"/>
      <c r="G945" s="162"/>
      <c r="H945" s="162"/>
      <c r="I945" s="162"/>
      <c r="J945" s="162"/>
      <c r="K945" s="162"/>
    </row>
    <row r="946" spans="5:11">
      <c r="E946" s="162"/>
      <c r="F946" s="162"/>
      <c r="G946" s="162"/>
      <c r="H946" s="162"/>
      <c r="I946" s="162"/>
      <c r="J946" s="162"/>
      <c r="K946" s="162"/>
    </row>
    <row r="947" spans="5:11">
      <c r="E947" s="162"/>
      <c r="F947" s="162"/>
      <c r="G947" s="162"/>
      <c r="H947" s="162"/>
      <c r="I947" s="162"/>
      <c r="J947" s="162"/>
      <c r="K947" s="162"/>
    </row>
    <row r="948" spans="5:11">
      <c r="E948" s="162"/>
      <c r="F948" s="162"/>
      <c r="G948" s="162"/>
      <c r="H948" s="162"/>
      <c r="I948" s="162"/>
      <c r="J948" s="162"/>
      <c r="K948" s="162"/>
    </row>
    <row r="949" spans="5:11">
      <c r="E949" s="162"/>
      <c r="F949" s="162"/>
      <c r="G949" s="162"/>
      <c r="H949" s="162"/>
      <c r="I949" s="162"/>
      <c r="J949" s="162"/>
      <c r="K949" s="162"/>
    </row>
    <row r="950" spans="5:11">
      <c r="E950" s="162"/>
      <c r="F950" s="162"/>
      <c r="G950" s="162"/>
      <c r="H950" s="162"/>
      <c r="I950" s="162"/>
      <c r="J950" s="162"/>
      <c r="K950" s="162"/>
    </row>
    <row r="951" spans="5:11">
      <c r="E951" s="162"/>
      <c r="F951" s="162"/>
      <c r="G951" s="162"/>
      <c r="H951" s="162"/>
      <c r="I951" s="162"/>
      <c r="J951" s="162"/>
      <c r="K951" s="162"/>
    </row>
    <row r="952" spans="5:11">
      <c r="E952" s="162"/>
      <c r="F952" s="162"/>
      <c r="G952" s="162"/>
      <c r="H952" s="162"/>
      <c r="I952" s="162"/>
      <c r="J952" s="162"/>
      <c r="K952" s="162"/>
    </row>
    <row r="953" spans="5:11">
      <c r="E953" s="162"/>
      <c r="F953" s="162"/>
      <c r="G953" s="162"/>
      <c r="H953" s="162"/>
      <c r="I953" s="162"/>
      <c r="J953" s="162"/>
      <c r="K953" s="162"/>
    </row>
    <row r="954" spans="5:11">
      <c r="E954" s="162"/>
      <c r="F954" s="162"/>
      <c r="G954" s="162"/>
      <c r="H954" s="162"/>
      <c r="I954" s="162"/>
      <c r="J954" s="162"/>
      <c r="K954" s="162"/>
    </row>
    <row r="955" spans="5:11">
      <c r="E955" s="162"/>
      <c r="F955" s="162"/>
      <c r="G955" s="162"/>
      <c r="H955" s="162"/>
      <c r="I955" s="162"/>
      <c r="J955" s="162"/>
      <c r="K955" s="162"/>
    </row>
    <row r="956" spans="5:11">
      <c r="E956" s="162"/>
      <c r="F956" s="162"/>
      <c r="G956" s="162"/>
      <c r="H956" s="162"/>
      <c r="I956" s="162"/>
      <c r="J956" s="162"/>
      <c r="K956" s="162"/>
    </row>
    <row r="957" spans="5:11">
      <c r="E957" s="162"/>
      <c r="F957" s="162"/>
      <c r="G957" s="162"/>
      <c r="H957" s="162"/>
      <c r="I957" s="162"/>
      <c r="J957" s="162"/>
      <c r="K957" s="162"/>
    </row>
    <row r="958" spans="5:11">
      <c r="E958" s="162"/>
      <c r="F958" s="162"/>
      <c r="G958" s="162"/>
      <c r="H958" s="162"/>
      <c r="I958" s="162"/>
      <c r="J958" s="162"/>
      <c r="K958" s="162"/>
    </row>
    <row r="959" spans="5:11">
      <c r="E959" s="162"/>
      <c r="F959" s="162"/>
      <c r="G959" s="162"/>
      <c r="H959" s="162"/>
      <c r="I959" s="162"/>
      <c r="J959" s="162"/>
      <c r="K959" s="162"/>
    </row>
    <row r="960" spans="5:11">
      <c r="E960" s="162"/>
      <c r="F960" s="162"/>
      <c r="G960" s="162"/>
      <c r="H960" s="162"/>
      <c r="I960" s="162"/>
      <c r="J960" s="162"/>
      <c r="K960" s="162"/>
    </row>
    <row r="961" spans="5:11">
      <c r="E961" s="162"/>
      <c r="F961" s="162"/>
      <c r="G961" s="162"/>
      <c r="H961" s="162"/>
      <c r="I961" s="162"/>
      <c r="J961" s="162"/>
      <c r="K961" s="162"/>
    </row>
    <row r="962" spans="5:11">
      <c r="E962" s="162"/>
      <c r="F962" s="162"/>
      <c r="G962" s="162"/>
      <c r="H962" s="162"/>
      <c r="I962" s="162"/>
      <c r="J962" s="162"/>
      <c r="K962" s="162"/>
    </row>
    <row r="963" spans="5:11">
      <c r="E963" s="162"/>
      <c r="F963" s="162"/>
      <c r="G963" s="162"/>
      <c r="H963" s="162"/>
      <c r="I963" s="162"/>
      <c r="J963" s="162"/>
      <c r="K963" s="162"/>
    </row>
    <row r="964" spans="5:11">
      <c r="E964" s="162"/>
      <c r="F964" s="162"/>
      <c r="G964" s="162"/>
      <c r="H964" s="162"/>
      <c r="I964" s="162"/>
      <c r="J964" s="162"/>
      <c r="K964" s="162"/>
    </row>
    <row r="965" spans="5:11">
      <c r="E965" s="162"/>
      <c r="F965" s="162"/>
      <c r="G965" s="162"/>
      <c r="H965" s="162"/>
      <c r="I965" s="162"/>
      <c r="J965" s="162"/>
      <c r="K965" s="162"/>
    </row>
    <row r="966" spans="5:11">
      <c r="E966" s="162"/>
      <c r="F966" s="162"/>
      <c r="G966" s="162"/>
      <c r="H966" s="162"/>
      <c r="I966" s="162"/>
      <c r="J966" s="162"/>
      <c r="K966" s="162"/>
    </row>
    <row r="967" spans="5:11">
      <c r="E967" s="162"/>
      <c r="F967" s="162"/>
      <c r="G967" s="162"/>
      <c r="H967" s="162"/>
      <c r="I967" s="162"/>
      <c r="J967" s="162"/>
      <c r="K967" s="162"/>
    </row>
    <row r="968" spans="5:11">
      <c r="E968" s="162"/>
      <c r="F968" s="162"/>
      <c r="G968" s="162"/>
      <c r="H968" s="162"/>
      <c r="I968" s="162"/>
      <c r="J968" s="162"/>
      <c r="K968" s="162"/>
    </row>
    <row r="969" spans="5:11">
      <c r="E969" s="162"/>
      <c r="F969" s="162"/>
      <c r="G969" s="162"/>
      <c r="H969" s="162"/>
      <c r="I969" s="162"/>
      <c r="J969" s="162"/>
      <c r="K969" s="162"/>
    </row>
    <row r="970" spans="5:11">
      <c r="E970" s="162"/>
      <c r="F970" s="162"/>
      <c r="G970" s="162"/>
      <c r="H970" s="162"/>
      <c r="I970" s="162"/>
      <c r="J970" s="162"/>
      <c r="K970" s="162"/>
    </row>
    <row r="971" spans="5:11">
      <c r="E971" s="162"/>
      <c r="F971" s="162"/>
      <c r="G971" s="162"/>
      <c r="H971" s="162"/>
      <c r="I971" s="162"/>
      <c r="J971" s="162"/>
      <c r="K971" s="162"/>
    </row>
    <row r="972" spans="5:11">
      <c r="E972" s="162"/>
      <c r="F972" s="162"/>
      <c r="G972" s="162"/>
      <c r="H972" s="162"/>
      <c r="I972" s="162"/>
      <c r="J972" s="162"/>
      <c r="K972" s="162"/>
    </row>
    <row r="973" spans="5:11">
      <c r="E973" s="162"/>
      <c r="F973" s="162"/>
      <c r="G973" s="162"/>
      <c r="H973" s="162"/>
      <c r="I973" s="162"/>
      <c r="J973" s="162"/>
      <c r="K973" s="162"/>
    </row>
    <row r="974" spans="5:11">
      <c r="E974" s="162"/>
      <c r="F974" s="162"/>
      <c r="G974" s="162"/>
      <c r="H974" s="162"/>
      <c r="I974" s="162"/>
      <c r="J974" s="162"/>
      <c r="K974" s="162"/>
    </row>
    <row r="975" spans="5:11">
      <c r="E975" s="162"/>
      <c r="F975" s="162"/>
      <c r="G975" s="162"/>
      <c r="H975" s="162"/>
      <c r="I975" s="162"/>
      <c r="J975" s="162"/>
      <c r="K975" s="162"/>
    </row>
    <row r="976" spans="5:11">
      <c r="E976" s="162"/>
      <c r="F976" s="162"/>
      <c r="G976" s="162"/>
      <c r="H976" s="162"/>
      <c r="I976" s="162"/>
      <c r="J976" s="162"/>
      <c r="K976" s="162"/>
    </row>
    <row r="977" spans="5:11">
      <c r="E977" s="162"/>
      <c r="F977" s="162"/>
      <c r="G977" s="162"/>
      <c r="H977" s="162"/>
      <c r="I977" s="162"/>
      <c r="J977" s="162"/>
      <c r="K977" s="162"/>
    </row>
    <row r="978" spans="5:11">
      <c r="E978" s="162"/>
      <c r="F978" s="162"/>
      <c r="G978" s="162"/>
      <c r="H978" s="162"/>
      <c r="I978" s="162"/>
      <c r="J978" s="162"/>
      <c r="K978" s="162"/>
    </row>
    <row r="979" spans="5:11">
      <c r="E979" s="162"/>
      <c r="F979" s="162"/>
      <c r="G979" s="162"/>
      <c r="H979" s="162"/>
      <c r="I979" s="162"/>
      <c r="J979" s="162"/>
      <c r="K979" s="162"/>
    </row>
    <row r="980" spans="5:11">
      <c r="E980" s="162"/>
      <c r="F980" s="162"/>
      <c r="G980" s="162"/>
      <c r="H980" s="162"/>
      <c r="I980" s="162"/>
      <c r="J980" s="162"/>
      <c r="K980" s="162"/>
    </row>
    <row r="981" spans="5:11">
      <c r="E981" s="162"/>
      <c r="F981" s="162"/>
      <c r="G981" s="162"/>
      <c r="H981" s="162"/>
      <c r="I981" s="162"/>
      <c r="J981" s="162"/>
      <c r="K981" s="162"/>
    </row>
    <row r="982" spans="5:11">
      <c r="E982" s="162"/>
      <c r="F982" s="162"/>
      <c r="G982" s="162"/>
      <c r="H982" s="162"/>
      <c r="I982" s="162"/>
      <c r="J982" s="162"/>
      <c r="K982" s="162"/>
    </row>
    <row r="983" spans="5:11">
      <c r="E983" s="162"/>
      <c r="F983" s="162"/>
      <c r="G983" s="162"/>
      <c r="H983" s="162"/>
      <c r="I983" s="162"/>
      <c r="J983" s="162"/>
      <c r="K983" s="162"/>
    </row>
    <row r="984" spans="5:11">
      <c r="E984" s="162"/>
      <c r="F984" s="162"/>
      <c r="G984" s="162"/>
      <c r="H984" s="162"/>
      <c r="I984" s="162"/>
      <c r="J984" s="162"/>
      <c r="K984" s="162"/>
    </row>
    <row r="985" spans="5:11">
      <c r="E985" s="162"/>
      <c r="F985" s="162"/>
      <c r="G985" s="162"/>
      <c r="H985" s="162"/>
      <c r="I985" s="162"/>
      <c r="J985" s="162"/>
      <c r="K985" s="162"/>
    </row>
    <row r="986" spans="5:11">
      <c r="E986" s="162"/>
      <c r="F986" s="162"/>
      <c r="G986" s="162"/>
      <c r="H986" s="162"/>
      <c r="I986" s="162"/>
      <c r="J986" s="162"/>
      <c r="K986" s="162"/>
    </row>
    <row r="987" spans="5:11">
      <c r="E987" s="162"/>
      <c r="F987" s="162"/>
      <c r="G987" s="162"/>
      <c r="H987" s="162"/>
      <c r="I987" s="162"/>
      <c r="J987" s="162"/>
      <c r="K987" s="162"/>
    </row>
    <row r="988" spans="5:11">
      <c r="E988" s="162"/>
      <c r="F988" s="162"/>
      <c r="G988" s="162"/>
      <c r="H988" s="162"/>
      <c r="I988" s="162"/>
      <c r="J988" s="162"/>
      <c r="K988" s="162"/>
    </row>
    <row r="989" spans="5:11">
      <c r="E989" s="162"/>
      <c r="F989" s="162"/>
      <c r="G989" s="162"/>
      <c r="H989" s="162"/>
      <c r="I989" s="162"/>
      <c r="J989" s="162"/>
      <c r="K989" s="162"/>
    </row>
    <row r="990" spans="5:11">
      <c r="E990" s="162"/>
      <c r="F990" s="162"/>
      <c r="G990" s="162"/>
      <c r="H990" s="162"/>
      <c r="I990" s="162"/>
      <c r="J990" s="162"/>
      <c r="K990" s="162"/>
    </row>
    <row r="991" spans="5:11">
      <c r="E991" s="162"/>
      <c r="F991" s="162"/>
      <c r="G991" s="162"/>
      <c r="H991" s="162"/>
      <c r="I991" s="162"/>
      <c r="J991" s="162"/>
      <c r="K991" s="162"/>
    </row>
    <row r="992" spans="5:11">
      <c r="E992" s="162"/>
      <c r="F992" s="162"/>
      <c r="G992" s="162"/>
      <c r="H992" s="162"/>
      <c r="I992" s="162"/>
      <c r="J992" s="162"/>
      <c r="K992" s="162"/>
    </row>
    <row r="993" spans="5:11">
      <c r="E993" s="162"/>
      <c r="F993" s="162"/>
      <c r="G993" s="162"/>
      <c r="H993" s="162"/>
      <c r="I993" s="162"/>
      <c r="J993" s="162"/>
      <c r="K993" s="162"/>
    </row>
    <row r="994" spans="5:11">
      <c r="E994" s="162"/>
      <c r="F994" s="162"/>
      <c r="G994" s="162"/>
      <c r="H994" s="162"/>
      <c r="I994" s="162"/>
      <c r="J994" s="162"/>
      <c r="K994" s="162"/>
    </row>
    <row r="995" spans="5:11">
      <c r="E995" s="162"/>
      <c r="F995" s="162"/>
      <c r="G995" s="162"/>
      <c r="H995" s="162"/>
      <c r="I995" s="162"/>
      <c r="J995" s="162"/>
      <c r="K995" s="162"/>
    </row>
    <row r="996" spans="5:11">
      <c r="E996" s="162"/>
      <c r="F996" s="162"/>
      <c r="G996" s="162"/>
      <c r="H996" s="162"/>
      <c r="I996" s="162"/>
      <c r="J996" s="162"/>
      <c r="K996" s="162"/>
    </row>
    <row r="997" spans="5:11">
      <c r="E997" s="162"/>
      <c r="F997" s="162"/>
      <c r="G997" s="162"/>
      <c r="H997" s="162"/>
      <c r="I997" s="162"/>
      <c r="J997" s="162"/>
      <c r="K997" s="162"/>
    </row>
    <row r="998" spans="5:11">
      <c r="E998" s="162"/>
      <c r="F998" s="162"/>
      <c r="G998" s="162"/>
      <c r="H998" s="162"/>
      <c r="I998" s="162"/>
      <c r="J998" s="162"/>
      <c r="K998" s="162"/>
    </row>
    <row r="999" spans="5:11">
      <c r="E999" s="162"/>
      <c r="F999" s="162"/>
      <c r="G999" s="162"/>
      <c r="H999" s="162"/>
      <c r="I999" s="162"/>
      <c r="J999" s="162"/>
      <c r="K999" s="162"/>
    </row>
  </sheetData>
  <mergeCells count="9">
    <mergeCell ref="E80:F80"/>
    <mergeCell ref="D82:L82"/>
    <mergeCell ref="E89:F89"/>
    <mergeCell ref="D2:L2"/>
    <mergeCell ref="D4:L4"/>
    <mergeCell ref="E18:F18"/>
    <mergeCell ref="D21:L21"/>
    <mergeCell ref="D48:L48"/>
    <mergeCell ref="D46:F46"/>
  </mergeCells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3:AF60"/>
  <sheetViews>
    <sheetView showGridLines="0" zoomScale="57" zoomScaleNormal="57" workbookViewId="0">
      <pane xSplit="2" ySplit="4" topLeftCell="C50" activePane="bottomRight" state="frozen"/>
      <selection pane="bottomRight" activeCell="F58" sqref="F58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2.77734375" customWidth="1"/>
    <col min="3" max="3" width="14.109375" customWidth="1"/>
    <col min="4" max="4" width="14.21875" customWidth="1"/>
    <col min="5" max="5" width="10.5546875" customWidth="1"/>
    <col min="6" max="6" width="11.44140625" customWidth="1"/>
    <col min="7" max="7" width="11.33203125" customWidth="1"/>
    <col min="8" max="8" width="11.6640625" customWidth="1"/>
    <col min="9" max="9" width="10.6640625" bestFit="1" customWidth="1"/>
    <col min="10" max="10" width="10.21875" customWidth="1"/>
    <col min="11" max="11" width="9.33203125" bestFit="1" customWidth="1"/>
    <col min="12" max="12" width="10.109375" customWidth="1"/>
    <col min="13" max="13" width="9.33203125" bestFit="1" customWidth="1"/>
    <col min="14" max="14" width="9.44140625" style="1" bestFit="1" customWidth="1"/>
    <col min="17" max="17" width="14.6640625" customWidth="1"/>
    <col min="18" max="18" width="14.77734375" customWidth="1"/>
    <col min="19" max="20" width="14.21875" customWidth="1"/>
    <col min="21" max="21" width="15.33203125" customWidth="1"/>
    <col min="22" max="22" width="15.109375" customWidth="1"/>
    <col min="23" max="23" width="13.77734375" customWidth="1"/>
  </cols>
  <sheetData>
    <row r="3" spans="2:32" ht="25.15" thickBot="1">
      <c r="Q3" s="142"/>
      <c r="R3" s="142"/>
      <c r="S3" s="1227" t="s">
        <v>0</v>
      </c>
      <c r="T3" s="1227"/>
      <c r="U3" s="1227"/>
      <c r="V3" s="1227"/>
      <c r="W3" s="1227"/>
    </row>
    <row r="4" spans="2:32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7" t="s">
        <v>6</v>
      </c>
      <c r="H4" s="128" t="s">
        <v>7</v>
      </c>
      <c r="I4" s="128" t="s">
        <v>8</v>
      </c>
      <c r="J4" s="129" t="s">
        <v>9</v>
      </c>
      <c r="K4" s="127" t="s">
        <v>10</v>
      </c>
      <c r="L4" s="128" t="s">
        <v>11</v>
      </c>
      <c r="M4" s="128" t="s">
        <v>12</v>
      </c>
      <c r="N4" s="146" t="s">
        <v>13</v>
      </c>
      <c r="Q4" s="142"/>
      <c r="R4" s="143" t="s">
        <v>14</v>
      </c>
      <c r="S4" s="143" t="s">
        <v>147</v>
      </c>
      <c r="T4" s="143" t="s">
        <v>147</v>
      </c>
      <c r="U4" s="143" t="s">
        <v>147</v>
      </c>
      <c r="V4" s="143" t="s">
        <v>147</v>
      </c>
      <c r="W4" s="143" t="s">
        <v>147</v>
      </c>
    </row>
    <row r="5" spans="2:32" ht="43.15">
      <c r="B5" s="130">
        <v>43983</v>
      </c>
      <c r="C5" s="131">
        <v>9130</v>
      </c>
      <c r="D5" s="135">
        <v>24110</v>
      </c>
      <c r="E5" s="135">
        <v>4050</v>
      </c>
      <c r="F5" s="136">
        <v>14590</v>
      </c>
      <c r="G5" s="131">
        <v>0</v>
      </c>
      <c r="H5" s="137">
        <v>23412</v>
      </c>
      <c r="I5" s="132">
        <v>4032</v>
      </c>
      <c r="J5" s="138">
        <v>11541</v>
      </c>
      <c r="K5" s="131">
        <f>Table2523[[#This Row],[Batan Target (bopd)]]-Table2523[[#This Row],[Batan Daily Prod (bopd)]]</f>
        <v>9130</v>
      </c>
      <c r="L5" s="132">
        <f>Table2523[[#This Row],[Jones Creek Target (bopd)]]-Table2523[[#This Row],[Jones Creek Prod (bopd)]]</f>
        <v>698</v>
      </c>
      <c r="M5" s="132">
        <f>Table2523[[#This Row],[Egwa Target (bopd)]]-Table2523[[#This Row],[Egwa Prod (bopd)]]</f>
        <v>18</v>
      </c>
      <c r="N5" s="134">
        <f>Table2523[[#This Row],[Odidi Target (bopd)]]-Table2523[[#This Row],[Odidi prod (bopd)]]</f>
        <v>3049</v>
      </c>
      <c r="Q5" s="144"/>
      <c r="R5" s="148" t="s">
        <v>148</v>
      </c>
      <c r="S5" s="152">
        <f>B33</f>
        <v>44011</v>
      </c>
      <c r="T5" s="152">
        <f>B34</f>
        <v>44012</v>
      </c>
      <c r="U5" s="152">
        <f>B35</f>
        <v>44013</v>
      </c>
      <c r="V5" s="152">
        <f>B36</f>
        <v>44014</v>
      </c>
      <c r="W5" s="152">
        <f>B37</f>
        <v>44015</v>
      </c>
    </row>
    <row r="6" spans="2:32" ht="21.6">
      <c r="B6" s="130">
        <v>43984</v>
      </c>
      <c r="C6" s="131">
        <v>9130</v>
      </c>
      <c r="D6" s="135">
        <v>24110</v>
      </c>
      <c r="E6" s="135">
        <v>4050</v>
      </c>
      <c r="F6" s="136">
        <v>14590</v>
      </c>
      <c r="G6" s="131">
        <v>0</v>
      </c>
      <c r="H6" s="132">
        <v>22649</v>
      </c>
      <c r="I6" s="132">
        <v>3504</v>
      </c>
      <c r="J6" s="134">
        <v>12495</v>
      </c>
      <c r="K6" s="131">
        <f>Table2523[[#This Row],[Batan Target (bopd)]]-Table2523[[#This Row],[Batan Daily Prod (bopd)]]</f>
        <v>9130</v>
      </c>
      <c r="L6" s="132">
        <f>Table2523[[#This Row],[Jones Creek Target (bopd)]]-Table2523[[#This Row],[Jones Creek Prod (bopd)]]</f>
        <v>1461</v>
      </c>
      <c r="M6" s="132">
        <f>Table2523[[#This Row],[Egwa Target (bopd)]]-Table2523[[#This Row],[Egwa Prod (bopd)]]</f>
        <v>546</v>
      </c>
      <c r="N6" s="134">
        <f>Table2523[[#This Row],[Odidi Target (bopd)]]-Table2523[[#This Row],[Odidi prod (bopd)]]</f>
        <v>2095</v>
      </c>
      <c r="Q6" s="145" t="s">
        <v>17</v>
      </c>
      <c r="R6" s="150">
        <v>23.5</v>
      </c>
      <c r="S6" s="177">
        <v>19.579000000000001</v>
      </c>
      <c r="T6" s="177">
        <v>3.5550000000000002</v>
      </c>
      <c r="U6" s="177">
        <v>0.66100000000000003</v>
      </c>
      <c r="V6" s="177">
        <v>0</v>
      </c>
      <c r="W6" s="177">
        <v>0</v>
      </c>
      <c r="Z6" s="242"/>
      <c r="AA6" s="243"/>
      <c r="AB6" s="244"/>
      <c r="AC6" s="244"/>
      <c r="AD6" s="244"/>
      <c r="AE6" s="245"/>
      <c r="AF6" s="245"/>
    </row>
    <row r="7" spans="2:32" ht="21.6">
      <c r="B7" s="130">
        <v>43985</v>
      </c>
      <c r="C7" s="131">
        <v>9130</v>
      </c>
      <c r="D7" s="135">
        <v>24110</v>
      </c>
      <c r="E7" s="135">
        <v>4050</v>
      </c>
      <c r="F7" s="136">
        <v>14590</v>
      </c>
      <c r="G7" s="131">
        <v>0</v>
      </c>
      <c r="H7" s="132">
        <v>22782</v>
      </c>
      <c r="I7" s="132">
        <v>4026</v>
      </c>
      <c r="J7" s="134">
        <v>10616</v>
      </c>
      <c r="K7" s="131">
        <f>Table2523[[#This Row],[Batan Target (bopd)]]-Table2523[[#This Row],[Batan Daily Prod (bopd)]]</f>
        <v>9130</v>
      </c>
      <c r="L7" s="132">
        <f>Table2523[[#This Row],[Jones Creek Target (bopd)]]-Table2523[[#This Row],[Jones Creek Prod (bopd)]]</f>
        <v>1328</v>
      </c>
      <c r="M7" s="132">
        <f>Table2523[[#This Row],[Egwa Target (bopd)]]-Table2523[[#This Row],[Egwa Prod (bopd)]]</f>
        <v>24</v>
      </c>
      <c r="N7" s="134">
        <f>Table2523[[#This Row],[Odidi Target (bopd)]]-Table2523[[#This Row],[Odidi prod (bopd)]]</f>
        <v>3974</v>
      </c>
      <c r="Q7" s="145" t="s">
        <v>19</v>
      </c>
      <c r="R7" s="150">
        <v>14.2</v>
      </c>
      <c r="S7" s="173">
        <v>12.656000000000001</v>
      </c>
      <c r="T7" s="173">
        <v>12.69</v>
      </c>
      <c r="U7" s="173">
        <v>12.69</v>
      </c>
      <c r="V7" s="241">
        <v>12.69</v>
      </c>
      <c r="W7" s="241">
        <v>12.69</v>
      </c>
      <c r="Z7" s="242"/>
      <c r="AA7" s="243"/>
      <c r="AB7" s="246"/>
      <c r="AC7" s="246"/>
      <c r="AD7" s="246"/>
      <c r="AE7" s="246"/>
      <c r="AF7" s="246"/>
    </row>
    <row r="8" spans="2:32" ht="21.6">
      <c r="B8" s="130">
        <v>43986</v>
      </c>
      <c r="C8" s="131">
        <v>9130</v>
      </c>
      <c r="D8" s="135">
        <v>24110</v>
      </c>
      <c r="E8" s="135">
        <v>4050</v>
      </c>
      <c r="F8" s="136">
        <v>14590</v>
      </c>
      <c r="G8" s="131">
        <v>0</v>
      </c>
      <c r="H8" s="132">
        <v>22702</v>
      </c>
      <c r="I8" s="132">
        <v>4033</v>
      </c>
      <c r="J8" s="134">
        <v>9194</v>
      </c>
      <c r="K8" s="131">
        <f>Table2523[[#This Row],[Batan Target (bopd)]]-Table2523[[#This Row],[Batan Daily Prod (bopd)]]</f>
        <v>9130</v>
      </c>
      <c r="L8" s="132">
        <f>Table2523[[#This Row],[Jones Creek Target (bopd)]]-Table2523[[#This Row],[Jones Creek Prod (bopd)]]</f>
        <v>1408</v>
      </c>
      <c r="M8" s="132">
        <f>Table2523[[#This Row],[Egwa Target (bopd)]]-Table2523[[#This Row],[Egwa Prod (bopd)]]</f>
        <v>17</v>
      </c>
      <c r="N8" s="134">
        <f>Table2523[[#This Row],[Odidi Target (bopd)]]-Table2523[[#This Row],[Odidi prod (bopd)]]</f>
        <v>5396</v>
      </c>
      <c r="Q8" s="145" t="s">
        <v>16</v>
      </c>
      <c r="R8" s="150">
        <v>9.4</v>
      </c>
      <c r="S8" s="173">
        <v>9.3740000000000006</v>
      </c>
      <c r="T8" s="173">
        <v>9.3800000000000008</v>
      </c>
      <c r="U8" s="173">
        <v>9.3650000000000002</v>
      </c>
      <c r="V8" s="241">
        <v>9.3650000000000002</v>
      </c>
      <c r="W8" s="241">
        <v>9.3650000000000002</v>
      </c>
      <c r="Z8" s="242"/>
      <c r="AA8" s="243"/>
      <c r="AB8" s="244"/>
      <c r="AC8" s="244"/>
      <c r="AD8" s="244"/>
      <c r="AE8" s="244"/>
      <c r="AF8" s="244"/>
    </row>
    <row r="9" spans="2:32" ht="21.6">
      <c r="B9" s="130">
        <v>43987</v>
      </c>
      <c r="C9" s="131">
        <v>9130</v>
      </c>
      <c r="D9" s="135">
        <v>24110</v>
      </c>
      <c r="E9" s="135">
        <v>4050</v>
      </c>
      <c r="F9" s="136">
        <v>14590</v>
      </c>
      <c r="G9" s="131">
        <v>0</v>
      </c>
      <c r="H9" s="137">
        <v>22904</v>
      </c>
      <c r="I9" s="132">
        <v>4040</v>
      </c>
      <c r="J9" s="138">
        <v>10175</v>
      </c>
      <c r="K9" s="131">
        <f>Table2523[[#This Row],[Batan Target (bopd)]]-Table2523[[#This Row],[Batan Daily Prod (bopd)]]</f>
        <v>9130</v>
      </c>
      <c r="L9" s="132">
        <f>Table2523[[#This Row],[Jones Creek Target (bopd)]]-Table2523[[#This Row],[Jones Creek Prod (bopd)]]</f>
        <v>1206</v>
      </c>
      <c r="M9" s="132">
        <f>Table2523[[#This Row],[Egwa Target (bopd)]]-Table2523[[#This Row],[Egwa Prod (bopd)]]</f>
        <v>10</v>
      </c>
      <c r="N9" s="134">
        <f>Table2523[[#This Row],[Odidi Target (bopd)]]-Table2523[[#This Row],[Odidi prod (bopd)]]</f>
        <v>4415</v>
      </c>
      <c r="Q9" s="145" t="s">
        <v>18</v>
      </c>
      <c r="R9" s="150">
        <v>4.09</v>
      </c>
      <c r="S9" s="173">
        <v>3.6360000000000001</v>
      </c>
      <c r="T9" s="173">
        <v>4.109</v>
      </c>
      <c r="U9" s="173">
        <v>4.0209999999999999</v>
      </c>
      <c r="V9" s="173">
        <v>2.3730000000000002</v>
      </c>
      <c r="W9" s="173">
        <v>3.71</v>
      </c>
      <c r="Z9" s="242"/>
      <c r="AA9" s="243"/>
      <c r="AB9" s="244"/>
      <c r="AC9" s="244"/>
      <c r="AD9" s="244"/>
      <c r="AE9" s="245"/>
      <c r="AF9" s="245"/>
    </row>
    <row r="10" spans="2:32" ht="21.6">
      <c r="B10" s="130">
        <v>43988</v>
      </c>
      <c r="C10" s="131">
        <v>9130</v>
      </c>
      <c r="D10" s="135">
        <v>24110</v>
      </c>
      <c r="E10" s="135">
        <v>4050</v>
      </c>
      <c r="F10" s="136">
        <v>14590</v>
      </c>
      <c r="G10" s="131">
        <v>0</v>
      </c>
      <c r="H10" s="132">
        <v>22717</v>
      </c>
      <c r="I10" s="132">
        <v>3305.7</v>
      </c>
      <c r="J10" s="134">
        <v>9119</v>
      </c>
      <c r="K10" s="131">
        <f>Table2523[[#This Row],[Batan Target (bopd)]]-Table2523[[#This Row],[Batan Daily Prod (bopd)]]</f>
        <v>9130</v>
      </c>
      <c r="L10" s="132">
        <f>Table2523[[#This Row],[Jones Creek Target (bopd)]]-Table2523[[#This Row],[Jones Creek Prod (bopd)]]</f>
        <v>1393</v>
      </c>
      <c r="M10" s="132">
        <f>Table2523[[#This Row],[Egwa Target (bopd)]]-Table2523[[#This Row],[Egwa Prod (bopd)]]</f>
        <v>744.30000000000018</v>
      </c>
      <c r="N10" s="134">
        <f>Table2523[[#This Row],[Odidi Target (bopd)]]-Table2523[[#This Row],[Odidi prod (bopd)]]</f>
        <v>5471</v>
      </c>
    </row>
    <row r="11" spans="2:32" ht="21.6">
      <c r="B11" s="130">
        <v>43989</v>
      </c>
      <c r="C11" s="131">
        <v>9130</v>
      </c>
      <c r="D11" s="135">
        <v>24110</v>
      </c>
      <c r="E11" s="135">
        <v>4050</v>
      </c>
      <c r="F11" s="136">
        <v>14600</v>
      </c>
      <c r="G11" s="131">
        <v>0</v>
      </c>
      <c r="H11" s="137">
        <v>22710</v>
      </c>
      <c r="I11" s="132">
        <v>3652</v>
      </c>
      <c r="J11" s="138">
        <v>10056</v>
      </c>
      <c r="K11" s="131">
        <f>Table2523[[#This Row],[Batan Target (bopd)]]-Table2523[[#This Row],[Batan Daily Prod (bopd)]]</f>
        <v>9130</v>
      </c>
      <c r="L11" s="132">
        <f>Table2523[[#This Row],[Jones Creek Target (bopd)]]-Table2523[[#This Row],[Jones Creek Prod (bopd)]]</f>
        <v>1400</v>
      </c>
      <c r="M11" s="132">
        <f>Table2523[[#This Row],[Egwa Target (bopd)]]-Table2523[[#This Row],[Egwa Prod (bopd)]]</f>
        <v>398</v>
      </c>
      <c r="N11" s="134">
        <f>Table2523[[#This Row],[Odidi Target (bopd)]]-Table2523[[#This Row],[Odidi prod (bopd)]]</f>
        <v>4544</v>
      </c>
    </row>
    <row r="12" spans="2:32" ht="21.6">
      <c r="B12" s="130">
        <v>43990</v>
      </c>
      <c r="C12" s="131">
        <v>9130</v>
      </c>
      <c r="D12" s="135">
        <v>24110</v>
      </c>
      <c r="E12" s="135">
        <v>4050</v>
      </c>
      <c r="F12" s="136">
        <v>14600</v>
      </c>
      <c r="G12" s="140">
        <v>0</v>
      </c>
      <c r="H12" s="137">
        <v>22552</v>
      </c>
      <c r="I12" s="137">
        <v>3914</v>
      </c>
      <c r="J12" s="138">
        <v>12900</v>
      </c>
      <c r="K12" s="131">
        <f>Table2523[[#This Row],[Batan Target (bopd)]]-Table2523[[#This Row],[Batan Daily Prod (bopd)]]</f>
        <v>9130</v>
      </c>
      <c r="L12" s="132">
        <f>Table2523[[#This Row],[Jones Creek Target (bopd)]]-Table2523[[#This Row],[Jones Creek Prod (bopd)]]</f>
        <v>1558</v>
      </c>
      <c r="M12" s="132">
        <f>Table2523[[#This Row],[Egwa Target (bopd)]]-Table2523[[#This Row],[Egwa Prod (bopd)]]</f>
        <v>136</v>
      </c>
      <c r="N12" s="134">
        <f>Table2523[[#This Row],[Odidi Target (bopd)]]-Table2523[[#This Row],[Odidi prod (bopd)]]</f>
        <v>1700</v>
      </c>
      <c r="P12" s="42"/>
    </row>
    <row r="13" spans="2:32" ht="21.6">
      <c r="B13" s="130">
        <v>43991</v>
      </c>
      <c r="C13" s="131">
        <v>9130</v>
      </c>
      <c r="D13" s="135">
        <v>24110</v>
      </c>
      <c r="E13" s="135">
        <v>4050</v>
      </c>
      <c r="F13" s="136">
        <v>14600</v>
      </c>
      <c r="G13" s="131">
        <v>0</v>
      </c>
      <c r="H13" s="137">
        <v>22788</v>
      </c>
      <c r="I13" s="132">
        <v>4049</v>
      </c>
      <c r="J13" s="138">
        <v>11446</v>
      </c>
      <c r="K13" s="131">
        <f>Table2523[[#This Row],[Batan Target (bopd)]]-Table2523[[#This Row],[Batan Daily Prod (bopd)]]</f>
        <v>9130</v>
      </c>
      <c r="L13" s="132">
        <f>Table2523[[#This Row],[Jones Creek Target (bopd)]]-Table2523[[#This Row],[Jones Creek Prod (bopd)]]</f>
        <v>1322</v>
      </c>
      <c r="M13" s="132">
        <f>Table2523[[#This Row],[Egwa Target (bopd)]]-Table2523[[#This Row],[Egwa Prod (bopd)]]</f>
        <v>1</v>
      </c>
      <c r="N13" s="134">
        <f>Table2523[[#This Row],[Odidi Target (bopd)]]-Table2523[[#This Row],[Odidi prod (bopd)]]</f>
        <v>3154</v>
      </c>
    </row>
    <row r="14" spans="2:32" ht="21.6">
      <c r="B14" s="130">
        <v>43992</v>
      </c>
      <c r="C14" s="131">
        <v>9130</v>
      </c>
      <c r="D14" s="135">
        <v>24110</v>
      </c>
      <c r="E14" s="135">
        <v>4050</v>
      </c>
      <c r="F14" s="136">
        <v>14600</v>
      </c>
      <c r="G14" s="131">
        <v>0</v>
      </c>
      <c r="H14" s="132">
        <v>22972</v>
      </c>
      <c r="I14" s="132">
        <v>4054</v>
      </c>
      <c r="J14" s="138">
        <v>12348</v>
      </c>
      <c r="K14" s="131">
        <f>Table2523[[#This Row],[Batan Target (bopd)]]-Table2523[[#This Row],[Batan Daily Prod (bopd)]]</f>
        <v>9130</v>
      </c>
      <c r="L14" s="132">
        <f>Table2523[[#This Row],[Jones Creek Target (bopd)]]-Table2523[[#This Row],[Jones Creek Prod (bopd)]]</f>
        <v>1138</v>
      </c>
      <c r="M14" s="132">
        <f>Table2523[[#This Row],[Egwa Target (bopd)]]-Table2523[[#This Row],[Egwa Prod (bopd)]]</f>
        <v>-4</v>
      </c>
      <c r="N14" s="134">
        <f>Table2523[[#This Row],[Odidi Target (bopd)]]-Table2523[[#This Row],[Odidi prod (bopd)]]</f>
        <v>2252</v>
      </c>
    </row>
    <row r="15" spans="2:32" ht="21.6">
      <c r="B15" s="130">
        <v>43993</v>
      </c>
      <c r="C15" s="131">
        <v>9130</v>
      </c>
      <c r="D15" s="135">
        <v>24110</v>
      </c>
      <c r="E15" s="135">
        <v>4050</v>
      </c>
      <c r="F15" s="136">
        <v>14600</v>
      </c>
      <c r="G15" s="131">
        <v>0</v>
      </c>
      <c r="H15" s="137">
        <v>22154</v>
      </c>
      <c r="I15" s="132">
        <v>4059</v>
      </c>
      <c r="J15" s="139">
        <v>12516</v>
      </c>
      <c r="K15" s="131">
        <f>Table2523[[#This Row],[Batan Target (bopd)]]-Table2523[[#This Row],[Batan Daily Prod (bopd)]]</f>
        <v>9130</v>
      </c>
      <c r="L15" s="132">
        <f>Table2523[[#This Row],[Jones Creek Target (bopd)]]-Table2523[[#This Row],[Jones Creek Prod (bopd)]]</f>
        <v>1956</v>
      </c>
      <c r="M15" s="132">
        <f>Table2523[[#This Row],[Egwa Target (bopd)]]-Table2523[[#This Row],[Egwa Prod (bopd)]]</f>
        <v>-9</v>
      </c>
      <c r="N15" s="134">
        <f>Table2523[[#This Row],[Odidi Target (bopd)]]-Table2523[[#This Row],[Odidi prod (bopd)]]</f>
        <v>2084</v>
      </c>
    </row>
    <row r="16" spans="2:32" ht="21.6">
      <c r="B16" s="130">
        <v>43994</v>
      </c>
      <c r="C16" s="131">
        <v>9130</v>
      </c>
      <c r="D16" s="135">
        <v>24110</v>
      </c>
      <c r="E16" s="135">
        <v>4050</v>
      </c>
      <c r="F16" s="136">
        <v>14600</v>
      </c>
      <c r="G16" s="131">
        <v>2133</v>
      </c>
      <c r="H16" s="132">
        <v>23499</v>
      </c>
      <c r="I16" s="132">
        <v>4068</v>
      </c>
      <c r="J16" s="133">
        <v>11849</v>
      </c>
      <c r="K16" s="131">
        <f>Table2523[[#This Row],[Batan Target (bopd)]]-Table2523[[#This Row],[Batan Daily Prod (bopd)]]</f>
        <v>6997</v>
      </c>
      <c r="L16" s="132">
        <f>Table2523[[#This Row],[Jones Creek Target (bopd)]]-Table2523[[#This Row],[Jones Creek Prod (bopd)]]</f>
        <v>611</v>
      </c>
      <c r="M16" s="132">
        <f>Table2523[[#This Row],[Egwa Target (bopd)]]-Table2523[[#This Row],[Egwa Prod (bopd)]]</f>
        <v>-18</v>
      </c>
      <c r="N16" s="134">
        <f>Table2523[[#This Row],[Odidi Target (bopd)]]-Table2523[[#This Row],[Odidi prod (bopd)]]</f>
        <v>2751</v>
      </c>
    </row>
    <row r="17" spans="2:14" ht="21.6">
      <c r="B17" s="130">
        <v>43995</v>
      </c>
      <c r="C17" s="131">
        <v>9130</v>
      </c>
      <c r="D17" s="135">
        <v>24110</v>
      </c>
      <c r="E17" s="135">
        <v>4050</v>
      </c>
      <c r="F17" s="136">
        <v>14600</v>
      </c>
      <c r="G17" s="131">
        <v>6886</v>
      </c>
      <c r="H17" s="132">
        <v>23031</v>
      </c>
      <c r="I17" s="132">
        <v>4064</v>
      </c>
      <c r="J17" s="133">
        <v>12678</v>
      </c>
      <c r="K17" s="131">
        <f>Table2523[[#This Row],[Batan Target (bopd)]]-Table2523[[#This Row],[Batan Daily Prod (bopd)]]</f>
        <v>2244</v>
      </c>
      <c r="L17" s="132">
        <f>Table2523[[#This Row],[Jones Creek Target (bopd)]]-Table2523[[#This Row],[Jones Creek Prod (bopd)]]</f>
        <v>1079</v>
      </c>
      <c r="M17" s="132">
        <f>Table2523[[#This Row],[Egwa Target (bopd)]]-Table2523[[#This Row],[Egwa Prod (bopd)]]</f>
        <v>-14</v>
      </c>
      <c r="N17" s="134">
        <f>Table2523[[#This Row],[Odidi Target (bopd)]]-Table2523[[#This Row],[Odidi prod (bopd)]]</f>
        <v>1922</v>
      </c>
    </row>
    <row r="18" spans="2:14" ht="21.6">
      <c r="B18" s="130">
        <v>43996</v>
      </c>
      <c r="C18" s="131">
        <v>9130</v>
      </c>
      <c r="D18" s="135">
        <v>24110</v>
      </c>
      <c r="E18" s="135">
        <v>4050</v>
      </c>
      <c r="F18" s="136">
        <v>14600</v>
      </c>
      <c r="G18" s="131">
        <v>8199</v>
      </c>
      <c r="H18" s="132">
        <v>23147</v>
      </c>
      <c r="I18" s="132">
        <v>4066</v>
      </c>
      <c r="J18" s="139">
        <v>11702</v>
      </c>
      <c r="K18" s="131">
        <f>Table2523[[#This Row],[Batan Target (bopd)]]-Table2523[[#This Row],[Batan Daily Prod (bopd)]]</f>
        <v>931</v>
      </c>
      <c r="L18" s="132">
        <f>Table2523[[#This Row],[Jones Creek Target (bopd)]]-Table2523[[#This Row],[Jones Creek Prod (bopd)]]</f>
        <v>963</v>
      </c>
      <c r="M18" s="132">
        <f>Table2523[[#This Row],[Egwa Target (bopd)]]-Table2523[[#This Row],[Egwa Prod (bopd)]]</f>
        <v>-16</v>
      </c>
      <c r="N18" s="134">
        <f>Table2523[[#This Row],[Odidi Target (bopd)]]-Table2523[[#This Row],[Odidi prod (bopd)]]</f>
        <v>2898</v>
      </c>
    </row>
    <row r="19" spans="2:14" ht="21.6">
      <c r="B19" s="130">
        <v>43997</v>
      </c>
      <c r="C19" s="131">
        <v>9130</v>
      </c>
      <c r="D19" s="135">
        <v>24110</v>
      </c>
      <c r="E19" s="135">
        <v>4050</v>
      </c>
      <c r="F19" s="136">
        <v>14600</v>
      </c>
      <c r="G19" s="140">
        <v>8442</v>
      </c>
      <c r="H19" s="137">
        <v>22640</v>
      </c>
      <c r="I19" s="132">
        <v>4081</v>
      </c>
      <c r="J19" s="139">
        <v>12862</v>
      </c>
      <c r="K19" s="131">
        <f>Table2523[[#This Row],[Batan Target (bopd)]]-Table2523[[#This Row],[Batan Daily Prod (bopd)]]</f>
        <v>688</v>
      </c>
      <c r="L19" s="132">
        <f>Table2523[[#This Row],[Jones Creek Target (bopd)]]-Table2523[[#This Row],[Jones Creek Prod (bopd)]]</f>
        <v>1470</v>
      </c>
      <c r="M19" s="132">
        <f>Table2523[[#This Row],[Egwa Target (bopd)]]-Table2523[[#This Row],[Egwa Prod (bopd)]]</f>
        <v>-31</v>
      </c>
      <c r="N19" s="134">
        <f>Table2523[[#This Row],[Odidi Target (bopd)]]-Table2523[[#This Row],[Odidi prod (bopd)]]</f>
        <v>1738</v>
      </c>
    </row>
    <row r="20" spans="2:14" ht="21.6">
      <c r="B20" s="130">
        <v>43998</v>
      </c>
      <c r="C20" s="131">
        <v>9130</v>
      </c>
      <c r="D20" s="135">
        <v>24110</v>
      </c>
      <c r="E20" s="135">
        <v>4050</v>
      </c>
      <c r="F20" s="136">
        <v>14600</v>
      </c>
      <c r="G20" s="140">
        <v>9045</v>
      </c>
      <c r="H20" s="137">
        <v>22495</v>
      </c>
      <c r="I20" s="132">
        <v>4071</v>
      </c>
      <c r="J20" s="139">
        <v>12973</v>
      </c>
      <c r="K20" s="131">
        <f>Table2523[[#This Row],[Batan Target (bopd)]]-Table2523[[#This Row],[Batan Daily Prod (bopd)]]</f>
        <v>85</v>
      </c>
      <c r="L20" s="132">
        <f>Table2523[[#This Row],[Jones Creek Target (bopd)]]-Table2523[[#This Row],[Jones Creek Prod (bopd)]]</f>
        <v>1615</v>
      </c>
      <c r="M20" s="132">
        <f>Table2523[[#This Row],[Egwa Target (bopd)]]-Table2523[[#This Row],[Egwa Prod (bopd)]]</f>
        <v>-21</v>
      </c>
      <c r="N20" s="134">
        <f>Table2523[[#This Row],[Odidi Target (bopd)]]-Table2523[[#This Row],[Odidi prod (bopd)]]</f>
        <v>1627</v>
      </c>
    </row>
    <row r="21" spans="2:14" ht="21.6">
      <c r="B21" s="130">
        <v>43999</v>
      </c>
      <c r="C21" s="131">
        <v>9130</v>
      </c>
      <c r="D21" s="135">
        <v>24110</v>
      </c>
      <c r="E21" s="135">
        <v>4050</v>
      </c>
      <c r="F21" s="136">
        <v>14600</v>
      </c>
      <c r="G21" s="131">
        <v>9475</v>
      </c>
      <c r="H21" s="132">
        <v>22671</v>
      </c>
      <c r="I21" s="132">
        <v>4079</v>
      </c>
      <c r="J21" s="139">
        <v>12716</v>
      </c>
      <c r="K21" s="131">
        <f>Table2523[[#This Row],[Batan Target (bopd)]]-Table2523[[#This Row],[Batan Daily Prod (bopd)]]</f>
        <v>-345</v>
      </c>
      <c r="L21" s="132">
        <f>Table2523[[#This Row],[Jones Creek Target (bopd)]]-Table2523[[#This Row],[Jones Creek Prod (bopd)]]</f>
        <v>1439</v>
      </c>
      <c r="M21" s="132">
        <f>Table2523[[#This Row],[Egwa Target (bopd)]]-Table2523[[#This Row],[Egwa Prod (bopd)]]</f>
        <v>-29</v>
      </c>
      <c r="N21" s="134">
        <f>Table2523[[#This Row],[Odidi Target (bopd)]]-Table2523[[#This Row],[Odidi prod (bopd)]]</f>
        <v>1884</v>
      </c>
    </row>
    <row r="22" spans="2:14" ht="21.6">
      <c r="B22" s="130">
        <v>44000</v>
      </c>
      <c r="C22" s="131">
        <v>9130</v>
      </c>
      <c r="D22" s="135">
        <v>24110</v>
      </c>
      <c r="E22" s="135">
        <v>4050</v>
      </c>
      <c r="F22" s="136">
        <v>14600</v>
      </c>
      <c r="G22" s="141">
        <v>9403</v>
      </c>
      <c r="H22" s="137">
        <v>22615</v>
      </c>
      <c r="I22" s="137">
        <v>4084</v>
      </c>
      <c r="J22" s="139">
        <v>12871</v>
      </c>
      <c r="K22" s="131">
        <f>Table2523[[#This Row],[Batan Target (bopd)]]-Table2523[[#This Row],[Batan Daily Prod (bopd)]]</f>
        <v>-273</v>
      </c>
      <c r="L22" s="132">
        <f>Table2523[[#This Row],[Jones Creek Target (bopd)]]-Table2523[[#This Row],[Jones Creek Prod (bopd)]]</f>
        <v>1495</v>
      </c>
      <c r="M22" s="132">
        <f>Table2523[[#This Row],[Egwa Target (bopd)]]-Table2523[[#This Row],[Egwa Prod (bopd)]]</f>
        <v>-34</v>
      </c>
      <c r="N22" s="134">
        <f>Table2523[[#This Row],[Odidi Target (bopd)]]-Table2523[[#This Row],[Odidi prod (bopd)]]</f>
        <v>1729</v>
      </c>
    </row>
    <row r="23" spans="2:14" ht="21.6">
      <c r="B23" s="130">
        <v>44001</v>
      </c>
      <c r="C23" s="131">
        <v>9130</v>
      </c>
      <c r="D23" s="135">
        <v>24110</v>
      </c>
      <c r="E23" s="135">
        <v>4050</v>
      </c>
      <c r="F23" s="136">
        <v>14600</v>
      </c>
      <c r="G23" s="141">
        <v>9337</v>
      </c>
      <c r="H23" s="137">
        <v>22569</v>
      </c>
      <c r="I23" s="137">
        <v>4094</v>
      </c>
      <c r="J23" s="139">
        <v>12577</v>
      </c>
      <c r="K23" s="131">
        <f>Table2523[[#This Row],[Batan Target (bopd)]]-Table2523[[#This Row],[Batan Daily Prod (bopd)]]</f>
        <v>-207</v>
      </c>
      <c r="L23" s="132">
        <f>Table2523[[#This Row],[Jones Creek Target (bopd)]]-Table2523[[#This Row],[Jones Creek Prod (bopd)]]</f>
        <v>1541</v>
      </c>
      <c r="M23" s="132">
        <f>Table2523[[#This Row],[Egwa Target (bopd)]]-Table2523[[#This Row],[Egwa Prod (bopd)]]</f>
        <v>-44</v>
      </c>
      <c r="N23" s="134">
        <f>Table2523[[#This Row],[Odidi Target (bopd)]]-Table2523[[#This Row],[Odidi prod (bopd)]]</f>
        <v>2023</v>
      </c>
    </row>
    <row r="24" spans="2:14" ht="21.6">
      <c r="B24" s="130">
        <v>44002</v>
      </c>
      <c r="C24" s="131">
        <v>9130</v>
      </c>
      <c r="D24" s="135">
        <v>24110</v>
      </c>
      <c r="E24" s="135">
        <v>4050</v>
      </c>
      <c r="F24" s="136">
        <v>14600</v>
      </c>
      <c r="G24" s="141">
        <v>9426</v>
      </c>
      <c r="H24" s="132">
        <v>22756</v>
      </c>
      <c r="I24" s="137">
        <v>4082</v>
      </c>
      <c r="J24" s="133">
        <v>12790</v>
      </c>
      <c r="K24" s="131">
        <f>Table2523[[#This Row],[Batan Target (bopd)]]-Table2523[[#This Row],[Batan Daily Prod (bopd)]]</f>
        <v>-296</v>
      </c>
      <c r="L24" s="132">
        <f>Table2523[[#This Row],[Jones Creek Target (bopd)]]-Table2523[[#This Row],[Jones Creek Prod (bopd)]]</f>
        <v>1354</v>
      </c>
      <c r="M24" s="132">
        <f>Table2523[[#This Row],[Egwa Target (bopd)]]-Table2523[[#This Row],[Egwa Prod (bopd)]]</f>
        <v>-32</v>
      </c>
      <c r="N24" s="134">
        <f>Table2523[[#This Row],[Odidi Target (bopd)]]-Table2523[[#This Row],[Odidi prod (bopd)]]</f>
        <v>1810</v>
      </c>
    </row>
    <row r="25" spans="2:14" ht="21.6">
      <c r="B25" s="130">
        <v>44003</v>
      </c>
      <c r="C25" s="131">
        <v>9130</v>
      </c>
      <c r="D25" s="135">
        <v>24110</v>
      </c>
      <c r="E25" s="135">
        <v>4050</v>
      </c>
      <c r="F25" s="136">
        <v>14600</v>
      </c>
      <c r="G25" s="141">
        <v>4537</v>
      </c>
      <c r="H25" s="137">
        <v>22558</v>
      </c>
      <c r="I25" s="137">
        <v>4095</v>
      </c>
      <c r="J25" s="139">
        <v>5717</v>
      </c>
      <c r="K25" s="131">
        <f>Table2523[[#This Row],[Batan Target (bopd)]]-Table2523[[#This Row],[Batan Daily Prod (bopd)]]</f>
        <v>4593</v>
      </c>
      <c r="L25" s="132">
        <f>Table2523[[#This Row],[Jones Creek Target (bopd)]]-Table2523[[#This Row],[Jones Creek Prod (bopd)]]</f>
        <v>1552</v>
      </c>
      <c r="M25" s="132">
        <f>Table2523[[#This Row],[Egwa Target (bopd)]]-Table2523[[#This Row],[Egwa Prod (bopd)]]</f>
        <v>-45</v>
      </c>
      <c r="N25" s="134">
        <f>Table2523[[#This Row],[Odidi Target (bopd)]]-Table2523[[#This Row],[Odidi prod (bopd)]]</f>
        <v>8883</v>
      </c>
    </row>
    <row r="26" spans="2:14" ht="21.6">
      <c r="B26" s="130">
        <v>44004</v>
      </c>
      <c r="C26" s="131">
        <v>9130</v>
      </c>
      <c r="D26" s="135">
        <v>24110</v>
      </c>
      <c r="E26" s="135">
        <v>4050</v>
      </c>
      <c r="F26" s="136">
        <v>14600</v>
      </c>
      <c r="G26" s="131">
        <v>0</v>
      </c>
      <c r="H26" s="137">
        <v>23292</v>
      </c>
      <c r="I26" s="132">
        <v>4089</v>
      </c>
      <c r="J26" s="134">
        <v>0</v>
      </c>
      <c r="K26" s="131">
        <f>Table2523[[#This Row],[Batan Target (bopd)]]-Table2523[[#This Row],[Batan Daily Prod (bopd)]]</f>
        <v>9130</v>
      </c>
      <c r="L26" s="132">
        <f>Table2523[[#This Row],[Jones Creek Target (bopd)]]-Table2523[[#This Row],[Jones Creek Prod (bopd)]]</f>
        <v>818</v>
      </c>
      <c r="M26" s="132">
        <f>Table2523[[#This Row],[Egwa Target (bopd)]]-Table2523[[#This Row],[Egwa Prod (bopd)]]</f>
        <v>-39</v>
      </c>
      <c r="N26" s="134">
        <f>Table2523[[#This Row],[Odidi Target (bopd)]]-Table2523[[#This Row],[Odidi prod (bopd)]]</f>
        <v>14600</v>
      </c>
    </row>
    <row r="27" spans="2:14" ht="21.6">
      <c r="B27" s="130">
        <v>44005</v>
      </c>
      <c r="C27" s="131">
        <v>9130</v>
      </c>
      <c r="D27" s="135">
        <v>24110</v>
      </c>
      <c r="E27" s="135">
        <v>4050</v>
      </c>
      <c r="F27" s="136">
        <v>14600</v>
      </c>
      <c r="G27" s="140">
        <v>3223</v>
      </c>
      <c r="H27" s="137">
        <v>22947</v>
      </c>
      <c r="I27" s="132">
        <v>4094.64</v>
      </c>
      <c r="J27" s="134">
        <v>2324</v>
      </c>
      <c r="K27" s="131">
        <f>Table2523[[#This Row],[Batan Target (bopd)]]-Table2523[[#This Row],[Batan Daily Prod (bopd)]]</f>
        <v>5907</v>
      </c>
      <c r="L27" s="132">
        <f>Table2523[[#This Row],[Jones Creek Target (bopd)]]-Table2523[[#This Row],[Jones Creek Prod (bopd)]]</f>
        <v>1163</v>
      </c>
      <c r="M27" s="132">
        <f>Table2523[[#This Row],[Egwa Target (bopd)]]-Table2523[[#This Row],[Egwa Prod (bopd)]]</f>
        <v>-44.639999999999873</v>
      </c>
      <c r="N27" s="134">
        <f>Table2523[[#This Row],[Odidi Target (bopd)]]-Table2523[[#This Row],[Odidi prod (bopd)]]</f>
        <v>12276</v>
      </c>
    </row>
    <row r="28" spans="2:14" ht="21.6">
      <c r="B28" s="130">
        <v>44006</v>
      </c>
      <c r="C28" s="131">
        <v>9130</v>
      </c>
      <c r="D28" s="135">
        <v>24110</v>
      </c>
      <c r="E28" s="135">
        <v>4050</v>
      </c>
      <c r="F28" s="136">
        <v>14600</v>
      </c>
      <c r="G28" s="131">
        <v>8865</v>
      </c>
      <c r="H28" s="137">
        <v>13636</v>
      </c>
      <c r="I28" s="132">
        <v>4084</v>
      </c>
      <c r="J28" s="138">
        <v>12576</v>
      </c>
      <c r="K28" s="131">
        <f>Table2523[[#This Row],[Batan Target (bopd)]]-Table2523[[#This Row],[Batan Daily Prod (bopd)]]</f>
        <v>265</v>
      </c>
      <c r="L28" s="132">
        <f>Table2523[[#This Row],[Jones Creek Target (bopd)]]-Table2523[[#This Row],[Jones Creek Prod (bopd)]]</f>
        <v>10474</v>
      </c>
      <c r="M28" s="132">
        <f>Table2523[[#This Row],[Egwa Target (bopd)]]-Table2523[[#This Row],[Egwa Prod (bopd)]]</f>
        <v>-34</v>
      </c>
      <c r="N28" s="134">
        <f>Table2523[[#This Row],[Odidi Target (bopd)]]-Table2523[[#This Row],[Odidi prod (bopd)]]</f>
        <v>2024</v>
      </c>
    </row>
    <row r="29" spans="2:14" ht="21.6">
      <c r="B29" s="130">
        <v>44007</v>
      </c>
      <c r="C29" s="131">
        <v>9130</v>
      </c>
      <c r="D29" s="135">
        <v>24110</v>
      </c>
      <c r="E29" s="135">
        <v>4050</v>
      </c>
      <c r="F29" s="136">
        <v>14600</v>
      </c>
      <c r="G29" s="131">
        <v>9302</v>
      </c>
      <c r="H29" s="137">
        <v>22131</v>
      </c>
      <c r="I29" s="132">
        <v>4090</v>
      </c>
      <c r="J29" s="138">
        <v>13176</v>
      </c>
      <c r="K29" s="131">
        <f>Table2523[[#This Row],[Batan Target (bopd)]]-Table2523[[#This Row],[Batan Daily Prod (bopd)]]</f>
        <v>-172</v>
      </c>
      <c r="L29" s="132">
        <f>Table2523[[#This Row],[Jones Creek Target (bopd)]]-Table2523[[#This Row],[Jones Creek Prod (bopd)]]</f>
        <v>1979</v>
      </c>
      <c r="M29" s="132">
        <f>Table2523[[#This Row],[Egwa Target (bopd)]]-Table2523[[#This Row],[Egwa Prod (bopd)]]</f>
        <v>-40</v>
      </c>
      <c r="N29" s="134">
        <f>Table2523[[#This Row],[Odidi Target (bopd)]]-Table2523[[#This Row],[Odidi prod (bopd)]]</f>
        <v>1424</v>
      </c>
    </row>
    <row r="30" spans="2:14" ht="21.6">
      <c r="B30" s="130">
        <v>44008</v>
      </c>
      <c r="C30" s="131">
        <v>9130</v>
      </c>
      <c r="D30" s="135">
        <v>24110</v>
      </c>
      <c r="E30" s="135">
        <v>4050</v>
      </c>
      <c r="F30" s="136">
        <v>14600</v>
      </c>
      <c r="G30" s="131">
        <v>9351</v>
      </c>
      <c r="H30" s="132">
        <v>22791</v>
      </c>
      <c r="I30" s="132">
        <v>4020</v>
      </c>
      <c r="J30" s="134">
        <v>13653</v>
      </c>
      <c r="K30" s="131">
        <f>Table2523[[#This Row],[Batan Target (bopd)]]-Table2523[[#This Row],[Batan Daily Prod (bopd)]]</f>
        <v>-221</v>
      </c>
      <c r="L30" s="132">
        <f>Table2523[[#This Row],[Jones Creek Target (bopd)]]-Table2523[[#This Row],[Jones Creek Prod (bopd)]]</f>
        <v>1319</v>
      </c>
      <c r="M30" s="132">
        <f>Table2523[[#This Row],[Egwa Target (bopd)]]-Table2523[[#This Row],[Egwa Prod (bopd)]]</f>
        <v>30</v>
      </c>
      <c r="N30" s="134">
        <f>Table2523[[#This Row],[Odidi Target (bopd)]]-Table2523[[#This Row],[Odidi prod (bopd)]]</f>
        <v>947</v>
      </c>
    </row>
    <row r="31" spans="2:14" ht="21.6">
      <c r="B31" s="130">
        <v>44009</v>
      </c>
      <c r="C31" s="131">
        <v>9130</v>
      </c>
      <c r="D31" s="135">
        <v>24110</v>
      </c>
      <c r="E31" s="135">
        <v>4050</v>
      </c>
      <c r="F31" s="136">
        <v>14600</v>
      </c>
      <c r="G31" s="131">
        <v>9435</v>
      </c>
      <c r="H31" s="132">
        <v>22895</v>
      </c>
      <c r="I31" s="132">
        <v>4090</v>
      </c>
      <c r="J31" s="134">
        <v>12714</v>
      </c>
      <c r="K31" s="131">
        <f>Table2523[[#This Row],[Batan Target (bopd)]]-Table2523[[#This Row],[Batan Daily Prod (bopd)]]</f>
        <v>-305</v>
      </c>
      <c r="L31" s="132">
        <f>Table2523[[#This Row],[Jones Creek Target (bopd)]]-Table2523[[#This Row],[Jones Creek Prod (bopd)]]</f>
        <v>1215</v>
      </c>
      <c r="M31" s="132">
        <f>Table2523[[#This Row],[Egwa Target (bopd)]]-Table2523[[#This Row],[Egwa Prod (bopd)]]</f>
        <v>-40</v>
      </c>
      <c r="N31" s="134">
        <f>Table2523[[#This Row],[Odidi Target (bopd)]]-Table2523[[#This Row],[Odidi prod (bopd)]]</f>
        <v>1886</v>
      </c>
    </row>
    <row r="32" spans="2:14" ht="21.6">
      <c r="B32" s="130">
        <v>44010</v>
      </c>
      <c r="C32" s="131">
        <v>9130</v>
      </c>
      <c r="D32" s="135">
        <v>24110</v>
      </c>
      <c r="E32" s="135">
        <v>4050</v>
      </c>
      <c r="F32" s="136">
        <v>14600</v>
      </c>
      <c r="G32" s="131">
        <v>9411</v>
      </c>
      <c r="H32" s="132">
        <v>20798</v>
      </c>
      <c r="I32" s="132">
        <v>4088</v>
      </c>
      <c r="J32" s="134">
        <v>12913</v>
      </c>
      <c r="K32" s="131">
        <f>Table2523[[#This Row],[Batan Target (bopd)]]-Table2523[[#This Row],[Batan Daily Prod (bopd)]]</f>
        <v>-281</v>
      </c>
      <c r="L32" s="132">
        <f>Table2523[[#This Row],[Jones Creek Target (bopd)]]-Table2523[[#This Row],[Jones Creek Prod (bopd)]]</f>
        <v>3312</v>
      </c>
      <c r="M32" s="132">
        <f>Table2523[[#This Row],[Egwa Target (bopd)]]-Table2523[[#This Row],[Egwa Prod (bopd)]]</f>
        <v>-38</v>
      </c>
      <c r="N32" s="134">
        <f>Table2523[[#This Row],[Odidi Target (bopd)]]-Table2523[[#This Row],[Odidi prod (bopd)]]</f>
        <v>1687</v>
      </c>
    </row>
    <row r="33" spans="2:18" ht="21.6">
      <c r="B33" s="130">
        <v>44011</v>
      </c>
      <c r="C33" s="131">
        <v>9130</v>
      </c>
      <c r="D33" s="135">
        <v>24110</v>
      </c>
      <c r="E33" s="135">
        <v>4050</v>
      </c>
      <c r="F33" s="136">
        <v>14600</v>
      </c>
      <c r="G33" s="131">
        <v>9374</v>
      </c>
      <c r="H33" s="137">
        <v>19579</v>
      </c>
      <c r="I33" s="137">
        <v>3636</v>
      </c>
      <c r="J33" s="138">
        <v>12656</v>
      </c>
      <c r="K33" s="131">
        <f>Table2523[[#This Row],[Batan Target (bopd)]]-Table2523[[#This Row],[Batan Daily Prod (bopd)]]</f>
        <v>-244</v>
      </c>
      <c r="L33" s="132">
        <f>Table2523[[#This Row],[Jones Creek Target (bopd)]]-Table2523[[#This Row],[Jones Creek Prod (bopd)]]</f>
        <v>4531</v>
      </c>
      <c r="M33" s="132">
        <f>Table2523[[#This Row],[Egwa Target (bopd)]]-Table2523[[#This Row],[Egwa Prod (bopd)]]</f>
        <v>414</v>
      </c>
      <c r="N33" s="134">
        <f>Table2523[[#This Row],[Odidi Target (bopd)]]-Table2523[[#This Row],[Odidi prod (bopd)]]</f>
        <v>1944</v>
      </c>
    </row>
    <row r="34" spans="2:18" ht="21.6">
      <c r="B34" s="130">
        <v>44012</v>
      </c>
      <c r="C34" s="131">
        <v>9130</v>
      </c>
      <c r="D34" s="135">
        <v>24110</v>
      </c>
      <c r="E34" s="135">
        <v>4050</v>
      </c>
      <c r="F34" s="136">
        <v>14600</v>
      </c>
      <c r="G34" s="131">
        <v>9379.7000000000007</v>
      </c>
      <c r="H34" s="137">
        <v>3555</v>
      </c>
      <c r="I34" s="137">
        <v>4109</v>
      </c>
      <c r="J34" s="138">
        <v>12690</v>
      </c>
      <c r="K34" s="131">
        <f>Table2523[[#This Row],[Batan Target (bopd)]]-Table2523[[#This Row],[Batan Daily Prod (bopd)]]</f>
        <v>-249.70000000000073</v>
      </c>
      <c r="L34" s="132">
        <f>Table2523[[#This Row],[Jones Creek Target (bopd)]]-Table2523[[#This Row],[Jones Creek Prod (bopd)]]</f>
        <v>20555</v>
      </c>
      <c r="M34" s="132">
        <f>Table2523[[#This Row],[Egwa Target (bopd)]]-Table2523[[#This Row],[Egwa Prod (bopd)]]</f>
        <v>-59</v>
      </c>
      <c r="N34" s="134">
        <f>Table2523[[#This Row],[Odidi Target (bopd)]]-Table2523[[#This Row],[Odidi prod (bopd)]]</f>
        <v>1910</v>
      </c>
    </row>
    <row r="35" spans="2:18" ht="21.6">
      <c r="B35" s="130">
        <v>44013</v>
      </c>
      <c r="C35" s="131">
        <v>9400</v>
      </c>
      <c r="D35" s="135">
        <v>23500</v>
      </c>
      <c r="E35" s="135">
        <v>4090</v>
      </c>
      <c r="F35" s="136">
        <v>14200</v>
      </c>
      <c r="G35" s="131">
        <v>9365</v>
      </c>
      <c r="H35" s="137">
        <v>661</v>
      </c>
      <c r="I35" s="132">
        <v>4021</v>
      </c>
      <c r="J35" s="138">
        <v>12693</v>
      </c>
      <c r="K35" s="131">
        <f>Table2523[[#This Row],[Batan Target (bopd)]]-Table2523[[#This Row],[Batan Daily Prod (bopd)]]</f>
        <v>35</v>
      </c>
      <c r="L35" s="132">
        <f>Table2523[[#This Row],[Jones Creek Target (bopd)]]-Table2523[[#This Row],[Jones Creek Prod (bopd)]]</f>
        <v>22839</v>
      </c>
      <c r="M35" s="132">
        <f>Table2523[[#This Row],[Egwa Target (bopd)]]-Table2523[[#This Row],[Egwa Prod (bopd)]]</f>
        <v>69</v>
      </c>
      <c r="N35" s="134">
        <f>Table2523[[#This Row],[Odidi Target (bopd)]]-Table2523[[#This Row],[Odidi prod (bopd)]]</f>
        <v>1507</v>
      </c>
    </row>
    <row r="36" spans="2:18" ht="21.6">
      <c r="B36" s="130">
        <v>44014</v>
      </c>
      <c r="C36" s="131">
        <v>9400</v>
      </c>
      <c r="D36" s="135">
        <v>23500</v>
      </c>
      <c r="E36" s="135">
        <v>4090</v>
      </c>
      <c r="F36" s="136">
        <v>14200</v>
      </c>
      <c r="G36" s="240">
        <v>9365</v>
      </c>
      <c r="H36" s="137">
        <v>0</v>
      </c>
      <c r="I36" s="132">
        <v>2373</v>
      </c>
      <c r="J36" s="239">
        <v>12693</v>
      </c>
      <c r="K36" s="131">
        <f>Table2523[[#This Row],[Batan Target (bopd)]]-Table2523[[#This Row],[Batan Daily Prod (bopd)]]</f>
        <v>35</v>
      </c>
      <c r="L36" s="132">
        <f>Table2523[[#This Row],[Jones Creek Target (bopd)]]-Table2523[[#This Row],[Jones Creek Prod (bopd)]]</f>
        <v>23500</v>
      </c>
      <c r="M36" s="132">
        <f>Table2523[[#This Row],[Egwa Target (bopd)]]-Table2523[[#This Row],[Egwa Prod (bopd)]]</f>
        <v>1717</v>
      </c>
      <c r="N36" s="134">
        <f>Table2523[[#This Row],[Odidi Target (bopd)]]-Table2523[[#This Row],[Odidi prod (bopd)]]</f>
        <v>1507</v>
      </c>
    </row>
    <row r="37" spans="2:18" ht="21.6">
      <c r="B37" s="130">
        <v>44015</v>
      </c>
      <c r="C37" s="131">
        <v>9400</v>
      </c>
      <c r="D37" s="135">
        <v>23500</v>
      </c>
      <c r="E37" s="135">
        <v>4090</v>
      </c>
      <c r="F37" s="136">
        <v>14200</v>
      </c>
      <c r="G37" s="240">
        <v>9365</v>
      </c>
      <c r="H37" s="132">
        <v>0</v>
      </c>
      <c r="I37" s="132">
        <v>3712</v>
      </c>
      <c r="J37" s="239">
        <v>12693</v>
      </c>
      <c r="K37" s="131">
        <f>Table2523[[#This Row],[Batan Target (bopd)]]-Table2523[[#This Row],[Batan Daily Prod (bopd)]]</f>
        <v>35</v>
      </c>
      <c r="L37" s="132">
        <f>Table2523[[#This Row],[Jones Creek Target (bopd)]]-Table2523[[#This Row],[Jones Creek Prod (bopd)]]</f>
        <v>23500</v>
      </c>
      <c r="M37" s="132">
        <f>Table2523[[#This Row],[Egwa Target (bopd)]]-Table2523[[#This Row],[Egwa Prod (bopd)]]</f>
        <v>378</v>
      </c>
      <c r="N37" s="134">
        <f>Table2523[[#This Row],[Odidi Target (bopd)]]-Table2523[[#This Row],[Odidi prod (bopd)]]</f>
        <v>1507</v>
      </c>
    </row>
    <row r="38" spans="2:18" ht="21.6">
      <c r="B38" s="130">
        <v>44016</v>
      </c>
      <c r="C38" s="131">
        <v>9400</v>
      </c>
      <c r="D38" s="135">
        <v>23500</v>
      </c>
      <c r="E38" s="135">
        <v>4090</v>
      </c>
      <c r="F38" s="136">
        <v>14200</v>
      </c>
      <c r="G38" s="131"/>
      <c r="H38" s="132"/>
      <c r="I38" s="132"/>
      <c r="J38" s="134"/>
      <c r="K38" s="131"/>
      <c r="L38" s="132"/>
      <c r="M38" s="132"/>
      <c r="N38" s="134"/>
    </row>
    <row r="39" spans="2:18" ht="21.6">
      <c r="B39" s="130">
        <v>44017</v>
      </c>
      <c r="C39" s="131">
        <v>9400</v>
      </c>
      <c r="D39" s="135">
        <v>23500</v>
      </c>
      <c r="E39" s="135">
        <v>4090</v>
      </c>
      <c r="F39" s="136">
        <v>14200</v>
      </c>
      <c r="G39" s="131"/>
      <c r="H39" s="137"/>
      <c r="I39" s="132"/>
      <c r="J39" s="138"/>
      <c r="K39" s="131"/>
      <c r="L39" s="132"/>
      <c r="M39" s="132"/>
      <c r="N39" s="134"/>
    </row>
    <row r="40" spans="2:18" ht="21.6">
      <c r="B40" s="130">
        <v>43984</v>
      </c>
      <c r="C40" s="131">
        <v>9400</v>
      </c>
      <c r="D40" s="135">
        <v>23500</v>
      </c>
      <c r="E40" s="135">
        <v>4090</v>
      </c>
      <c r="F40" s="136">
        <v>14200</v>
      </c>
      <c r="G40" s="131"/>
      <c r="H40" s="132"/>
      <c r="I40" s="132"/>
      <c r="J40" s="134"/>
      <c r="K40" s="131"/>
      <c r="L40" s="132"/>
      <c r="M40" s="132"/>
      <c r="N40" s="134"/>
    </row>
    <row r="41" spans="2:18" ht="21.6">
      <c r="B41" s="130">
        <v>43985</v>
      </c>
      <c r="C41" s="131">
        <v>9400</v>
      </c>
      <c r="D41" s="135">
        <v>23500</v>
      </c>
      <c r="E41" s="135">
        <v>4090</v>
      </c>
      <c r="F41" s="136">
        <v>14200</v>
      </c>
      <c r="G41" s="131"/>
      <c r="H41" s="132"/>
      <c r="I41" s="132"/>
      <c r="J41" s="134"/>
      <c r="K41" s="131"/>
      <c r="L41" s="132"/>
      <c r="M41" s="132"/>
      <c r="N41" s="134"/>
    </row>
    <row r="42" spans="2:18" ht="21.6">
      <c r="B42" s="130">
        <v>43986</v>
      </c>
      <c r="C42" s="131">
        <v>9400</v>
      </c>
      <c r="D42" s="135">
        <v>23500</v>
      </c>
      <c r="E42" s="135">
        <v>4090</v>
      </c>
      <c r="F42" s="136">
        <v>14200</v>
      </c>
      <c r="G42" s="131"/>
      <c r="H42" s="132"/>
      <c r="I42" s="132"/>
      <c r="J42" s="134"/>
      <c r="K42" s="131"/>
      <c r="L42" s="132"/>
      <c r="M42" s="132"/>
      <c r="N42" s="134"/>
      <c r="P42" s="42"/>
    </row>
    <row r="43" spans="2:18" ht="21.6">
      <c r="B43" s="130">
        <v>43987</v>
      </c>
      <c r="C43" s="131">
        <v>9400</v>
      </c>
      <c r="D43" s="135">
        <v>23500</v>
      </c>
      <c r="E43" s="135">
        <v>4090</v>
      </c>
      <c r="F43" s="136">
        <v>14200</v>
      </c>
      <c r="G43" s="131"/>
      <c r="H43" s="137"/>
      <c r="I43" s="132"/>
      <c r="J43" s="138"/>
      <c r="K43" s="131"/>
      <c r="L43" s="132"/>
      <c r="M43" s="132"/>
      <c r="N43" s="134"/>
    </row>
    <row r="44" spans="2:18" ht="21.6">
      <c r="B44" s="130">
        <v>43988</v>
      </c>
      <c r="C44" s="131">
        <v>9400</v>
      </c>
      <c r="D44" s="135">
        <v>23500</v>
      </c>
      <c r="E44" s="135">
        <v>4090</v>
      </c>
      <c r="F44" s="136">
        <v>14200</v>
      </c>
      <c r="G44" s="131"/>
      <c r="H44" s="132"/>
      <c r="I44" s="132"/>
      <c r="J44" s="134"/>
      <c r="K44" s="131"/>
      <c r="L44" s="132"/>
      <c r="M44" s="132"/>
      <c r="N44" s="134"/>
    </row>
    <row r="46" spans="2:18" ht="15.6" thickBot="1"/>
    <row r="47" spans="2:18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30"/>
      <c r="Q47" s="23"/>
      <c r="R47" s="117"/>
    </row>
    <row r="48" spans="2:18" ht="43.15">
      <c r="C48" s="247" t="s">
        <v>22</v>
      </c>
      <c r="D48" s="248" t="s">
        <v>23</v>
      </c>
      <c r="E48" s="1242" t="s">
        <v>24</v>
      </c>
      <c r="F48" s="1243"/>
      <c r="G48" s="1243"/>
      <c r="H48" s="1243"/>
      <c r="I48" s="1243"/>
      <c r="J48" s="1243"/>
      <c r="K48" s="1243"/>
      <c r="L48" s="1243"/>
      <c r="M48" s="1244"/>
      <c r="Q48" s="118"/>
      <c r="R48" s="119"/>
    </row>
    <row r="49" spans="3:18" ht="30.95" customHeight="1">
      <c r="C49" s="249" t="s">
        <v>16</v>
      </c>
      <c r="D49" s="250">
        <f>K37/1000</f>
        <v>3.5000000000000003E-2</v>
      </c>
      <c r="E49" s="1245" t="s">
        <v>169</v>
      </c>
      <c r="F49" s="1246"/>
      <c r="G49" s="1246"/>
      <c r="H49" s="1246"/>
      <c r="I49" s="1246"/>
      <c r="J49" s="1246"/>
      <c r="K49" s="1246"/>
      <c r="L49" s="1246"/>
      <c r="M49" s="1247"/>
      <c r="Q49" s="118"/>
      <c r="R49" s="119"/>
    </row>
    <row r="50" spans="3:18" ht="45.75" customHeight="1">
      <c r="C50" s="249" t="s">
        <v>17</v>
      </c>
      <c r="D50" s="250">
        <f>L37/1000</f>
        <v>23.5</v>
      </c>
      <c r="E50" s="1248" t="s">
        <v>170</v>
      </c>
      <c r="F50" s="1249"/>
      <c r="G50" s="1249"/>
      <c r="H50" s="1249"/>
      <c r="I50" s="1249"/>
      <c r="J50" s="1249"/>
      <c r="K50" s="1249"/>
      <c r="L50" s="1249"/>
      <c r="M50" s="1250"/>
      <c r="Q50" s="118"/>
      <c r="R50" s="119"/>
    </row>
    <row r="51" spans="3:18" ht="27" customHeight="1">
      <c r="C51" s="249" t="s">
        <v>18</v>
      </c>
      <c r="D51" s="250">
        <f>M37/1000</f>
        <v>0.378</v>
      </c>
      <c r="E51" s="1248" t="s">
        <v>171</v>
      </c>
      <c r="F51" s="1249"/>
      <c r="G51" s="1249"/>
      <c r="H51" s="1249"/>
      <c r="I51" s="1249"/>
      <c r="J51" s="1249"/>
      <c r="K51" s="1249"/>
      <c r="L51" s="1249"/>
      <c r="M51" s="1250"/>
      <c r="Q51" s="118"/>
      <c r="R51" s="119"/>
    </row>
    <row r="52" spans="3:18" ht="43.5" customHeight="1" thickBot="1">
      <c r="C52" s="251" t="s">
        <v>19</v>
      </c>
      <c r="D52" s="252">
        <f>N37/1000</f>
        <v>1.5069999999999999</v>
      </c>
      <c r="E52" s="1239" t="s">
        <v>172</v>
      </c>
      <c r="F52" s="1240"/>
      <c r="G52" s="1240"/>
      <c r="H52" s="1240"/>
      <c r="I52" s="1240"/>
      <c r="J52" s="1240"/>
      <c r="K52" s="1240"/>
      <c r="L52" s="1240"/>
      <c r="M52" s="1241"/>
    </row>
    <row r="56" spans="3:18" ht="21" thickBot="1">
      <c r="E56" s="30"/>
    </row>
    <row r="57" spans="3:18" ht="35.450000000000003" customHeight="1" thickBot="1">
      <c r="D57" s="172">
        <f>1.91-1.6-0.42</f>
        <v>-0.11000000000000015</v>
      </c>
      <c r="H57" s="31"/>
    </row>
    <row r="58" spans="3:18" ht="22.9">
      <c r="F58" s="30"/>
      <c r="G58" s="30"/>
      <c r="H58" s="36"/>
    </row>
    <row r="60" spans="3:18">
      <c r="D60" s="147"/>
    </row>
  </sheetData>
  <mergeCells count="7">
    <mergeCell ref="S3:W3"/>
    <mergeCell ref="E52:M52"/>
    <mergeCell ref="C47:M47"/>
    <mergeCell ref="E48:M48"/>
    <mergeCell ref="E49:M49"/>
    <mergeCell ref="E50:M50"/>
    <mergeCell ref="E51:M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D997"/>
  <sheetViews>
    <sheetView topLeftCell="A58" workbookViewId="0">
      <pane xSplit="1" topLeftCell="B1" activePane="topRight" state="frozen"/>
      <selection pane="topRight" activeCell="A66" sqref="A66:XFD76"/>
    </sheetView>
  </sheetViews>
  <sheetFormatPr defaultColWidth="11.21875" defaultRowHeight="15" customHeight="1"/>
  <cols>
    <col min="1" max="1" width="6.33203125" customWidth="1"/>
    <col min="2" max="2" width="6.5546875" customWidth="1"/>
    <col min="3" max="3" width="8.5546875" customWidth="1"/>
    <col min="4" max="4" width="10.109375" customWidth="1"/>
    <col min="5" max="5" width="9.5546875" customWidth="1"/>
    <col min="6" max="6" width="9.21875" customWidth="1"/>
    <col min="7" max="7" width="10.77734375" customWidth="1"/>
    <col min="8" max="10" width="9.21875" customWidth="1"/>
    <col min="11" max="11" width="8.6640625" customWidth="1"/>
    <col min="12" max="12" width="25.21875" style="236" customWidth="1"/>
    <col min="13" max="13" width="3" customWidth="1"/>
    <col min="14" max="14" width="6.33203125" customWidth="1"/>
    <col min="15" max="15" width="7.109375" customWidth="1"/>
    <col min="16" max="16" width="5.77734375" customWidth="1"/>
    <col min="17" max="30" width="8.5546875" customWidth="1"/>
  </cols>
  <sheetData>
    <row r="1" spans="2:19">
      <c r="E1" s="1"/>
      <c r="F1" s="1"/>
      <c r="G1" s="1"/>
      <c r="H1" s="1"/>
      <c r="I1" s="1"/>
      <c r="J1" s="1"/>
      <c r="K1" s="1"/>
    </row>
    <row r="2" spans="2:19" ht="21">
      <c r="D2" s="1226" t="s">
        <v>173</v>
      </c>
      <c r="E2" s="1382"/>
      <c r="F2" s="1382"/>
      <c r="G2" s="1382"/>
      <c r="H2" s="1382"/>
      <c r="I2" s="1382"/>
      <c r="J2" s="1382"/>
      <c r="K2" s="1382"/>
      <c r="L2" s="1382"/>
    </row>
    <row r="3" spans="2:19" ht="18" customHeight="1" thickBot="1">
      <c r="E3" s="1"/>
      <c r="F3" s="1"/>
      <c r="G3" s="1"/>
      <c r="H3" s="1"/>
      <c r="I3" s="1"/>
      <c r="J3" s="1"/>
      <c r="K3" s="1"/>
    </row>
    <row r="4" spans="2:19" ht="24" customHeight="1" thickBot="1">
      <c r="D4" s="1252" t="s">
        <v>174</v>
      </c>
      <c r="E4" s="1383"/>
      <c r="F4" s="1383"/>
      <c r="G4" s="1383"/>
      <c r="H4" s="1383"/>
      <c r="I4" s="1383"/>
      <c r="J4" s="1383"/>
      <c r="K4" s="1383"/>
      <c r="L4" s="1384"/>
    </row>
    <row r="5" spans="2:19" ht="27" thickBot="1">
      <c r="B5" s="178"/>
      <c r="C5" s="179" t="s">
        <v>156</v>
      </c>
      <c r="D5" s="179" t="s">
        <v>31</v>
      </c>
      <c r="E5" s="180" t="s">
        <v>32</v>
      </c>
      <c r="F5" s="180" t="s">
        <v>33</v>
      </c>
      <c r="G5" s="180" t="s">
        <v>34</v>
      </c>
      <c r="H5" s="180" t="s">
        <v>35</v>
      </c>
      <c r="I5" s="181" t="s">
        <v>37</v>
      </c>
      <c r="J5" s="182" t="s">
        <v>38</v>
      </c>
      <c r="K5" s="182" t="s">
        <v>39</v>
      </c>
      <c r="L5" s="183" t="s">
        <v>40</v>
      </c>
    </row>
    <row r="6" spans="2:19" ht="15.6">
      <c r="B6" s="184"/>
      <c r="C6" s="185">
        <v>1</v>
      </c>
      <c r="D6" s="185" t="s">
        <v>41</v>
      </c>
      <c r="E6" s="186" t="s">
        <v>42</v>
      </c>
      <c r="F6" s="187">
        <v>28</v>
      </c>
      <c r="G6" s="188">
        <v>2051.0158273588454</v>
      </c>
      <c r="H6" s="278">
        <v>661.18986254295532</v>
      </c>
      <c r="I6" s="189">
        <v>67.762810324365503</v>
      </c>
      <c r="J6" s="188">
        <v>521</v>
      </c>
      <c r="K6" s="188">
        <v>493</v>
      </c>
      <c r="L6" s="190"/>
      <c r="P6" s="421"/>
      <c r="S6" s="950"/>
    </row>
    <row r="7" spans="2:19" ht="15.6">
      <c r="B7" s="184"/>
      <c r="C7" s="191">
        <v>2</v>
      </c>
      <c r="D7" s="191" t="s">
        <v>43</v>
      </c>
      <c r="E7" s="192" t="s">
        <v>44</v>
      </c>
      <c r="F7" s="193">
        <v>28</v>
      </c>
      <c r="G7" s="194">
        <v>1231.9335982362411</v>
      </c>
      <c r="H7" s="221">
        <v>574.37714776632299</v>
      </c>
      <c r="I7" s="195">
        <v>53.375965345156708</v>
      </c>
      <c r="J7" s="194">
        <v>606</v>
      </c>
      <c r="K7" s="194">
        <v>145</v>
      </c>
      <c r="L7" s="196"/>
      <c r="P7" s="421"/>
      <c r="S7" s="950"/>
    </row>
    <row r="8" spans="2:19" ht="15.6">
      <c r="B8" s="184"/>
      <c r="C8" s="191">
        <v>3</v>
      </c>
      <c r="D8" s="191" t="s">
        <v>45</v>
      </c>
      <c r="E8" s="192" t="s">
        <v>44</v>
      </c>
      <c r="F8" s="193">
        <v>32</v>
      </c>
      <c r="G8" s="194">
        <v>2223.5427159729697</v>
      </c>
      <c r="H8" s="221">
        <v>1036.705326460481</v>
      </c>
      <c r="I8" s="195">
        <v>53.375965345156715</v>
      </c>
      <c r="J8" s="194">
        <v>336</v>
      </c>
      <c r="K8" s="194">
        <v>247</v>
      </c>
      <c r="L8" s="196"/>
      <c r="P8" s="421"/>
      <c r="S8" s="950"/>
    </row>
    <row r="9" spans="2:19" ht="15.6">
      <c r="B9" s="184"/>
      <c r="C9" s="191">
        <v>4</v>
      </c>
      <c r="D9" s="191" t="s">
        <v>46</v>
      </c>
      <c r="E9" s="192" t="s">
        <v>47</v>
      </c>
      <c r="F9" s="193">
        <v>40</v>
      </c>
      <c r="G9" s="194">
        <v>1782.6197918132709</v>
      </c>
      <c r="H9" s="194">
        <v>1119.4802405498281</v>
      </c>
      <c r="I9" s="195">
        <v>37.20027985266006</v>
      </c>
      <c r="J9" s="194">
        <v>310</v>
      </c>
      <c r="K9" s="194">
        <v>131</v>
      </c>
      <c r="L9" s="196"/>
      <c r="P9" s="421"/>
      <c r="S9" s="950"/>
    </row>
    <row r="10" spans="2:19" ht="15.6">
      <c r="B10" s="184"/>
      <c r="C10" s="191">
        <v>5</v>
      </c>
      <c r="D10" s="191" t="s">
        <v>48</v>
      </c>
      <c r="E10" s="192" t="s">
        <v>47</v>
      </c>
      <c r="F10" s="193" t="s">
        <v>49</v>
      </c>
      <c r="G10" s="194">
        <v>1816.7772945869699</v>
      </c>
      <c r="H10" s="194">
        <v>1106.3573883161512</v>
      </c>
      <c r="I10" s="195">
        <v>39.103301675306724</v>
      </c>
      <c r="J10" s="194">
        <v>311</v>
      </c>
      <c r="K10" s="194">
        <v>145</v>
      </c>
      <c r="L10" s="196"/>
      <c r="P10" s="421"/>
      <c r="S10" s="950"/>
    </row>
    <row r="11" spans="2:19" ht="15.6">
      <c r="B11" s="184"/>
      <c r="C11" s="191">
        <v>6</v>
      </c>
      <c r="D11" s="191" t="s">
        <v>50</v>
      </c>
      <c r="E11" s="192" t="s">
        <v>47</v>
      </c>
      <c r="F11" s="193" t="s">
        <v>51</v>
      </c>
      <c r="G11" s="197">
        <v>1468.6721560255978</v>
      </c>
      <c r="H11" s="194">
        <v>447.18642611683845</v>
      </c>
      <c r="I11" s="195">
        <v>69.551650837653355</v>
      </c>
      <c r="J11" s="194">
        <v>761</v>
      </c>
      <c r="K11" s="194">
        <v>174</v>
      </c>
      <c r="L11" s="196"/>
      <c r="P11" s="421"/>
      <c r="S11" s="950"/>
    </row>
    <row r="12" spans="2:19" ht="15.6">
      <c r="B12" s="184"/>
      <c r="C12" s="191">
        <v>7</v>
      </c>
      <c r="D12" s="191" t="s">
        <v>52</v>
      </c>
      <c r="E12" s="192" t="s">
        <v>47</v>
      </c>
      <c r="F12" s="193">
        <v>40</v>
      </c>
      <c r="G12" s="194">
        <v>1616.7991807010462</v>
      </c>
      <c r="H12" s="194">
        <v>769.20103092783506</v>
      </c>
      <c r="I12" s="195">
        <v>52.424454433833368</v>
      </c>
      <c r="J12" s="193">
        <v>448</v>
      </c>
      <c r="K12" s="193">
        <v>160</v>
      </c>
      <c r="L12" s="196"/>
      <c r="P12" s="421"/>
      <c r="S12" s="950"/>
    </row>
    <row r="13" spans="2:19" ht="15.6">
      <c r="B13" s="184"/>
      <c r="C13" s="191">
        <v>8</v>
      </c>
      <c r="D13" s="191" t="s">
        <v>53</v>
      </c>
      <c r="E13" s="192" t="s">
        <v>47</v>
      </c>
      <c r="F13" s="193" t="s">
        <v>51</v>
      </c>
      <c r="G13" s="194">
        <v>1459.7871867746981</v>
      </c>
      <c r="H13" s="221">
        <v>694.50171821305844</v>
      </c>
      <c r="I13" s="195">
        <v>52.424454433833368</v>
      </c>
      <c r="J13" s="193">
        <v>447</v>
      </c>
      <c r="K13" s="193">
        <v>348</v>
      </c>
      <c r="L13" s="196"/>
      <c r="P13" s="421"/>
      <c r="S13" s="950"/>
    </row>
    <row r="14" spans="2:19" ht="15.6">
      <c r="B14" s="184"/>
      <c r="C14" s="191">
        <v>9</v>
      </c>
      <c r="D14" s="191" t="s">
        <v>54</v>
      </c>
      <c r="E14" s="192" t="s">
        <v>47</v>
      </c>
      <c r="F14" s="193" t="s">
        <v>55</v>
      </c>
      <c r="G14" s="194">
        <v>1641.6851861515806</v>
      </c>
      <c r="H14" s="221">
        <v>921.62800687285221</v>
      </c>
      <c r="I14" s="195">
        <v>43.860856231923371</v>
      </c>
      <c r="J14" s="194">
        <v>495</v>
      </c>
      <c r="K14" s="194">
        <v>363</v>
      </c>
      <c r="L14" s="196"/>
      <c r="P14" s="421"/>
      <c r="S14" s="950"/>
    </row>
    <row r="15" spans="2:19" ht="15.6">
      <c r="B15" s="184"/>
      <c r="C15" s="191">
        <v>10</v>
      </c>
      <c r="D15" s="191" t="s">
        <v>56</v>
      </c>
      <c r="E15" s="192" t="s">
        <v>47</v>
      </c>
      <c r="F15" s="193">
        <v>44</v>
      </c>
      <c r="G15" s="194">
        <v>3810.7235282665083</v>
      </c>
      <c r="H15" s="194">
        <v>1812.9725085910654</v>
      </c>
      <c r="I15" s="195">
        <v>52.424454433833368</v>
      </c>
      <c r="J15" s="193">
        <v>281</v>
      </c>
      <c r="K15" s="193">
        <v>348</v>
      </c>
      <c r="L15" s="196"/>
      <c r="P15" s="421"/>
      <c r="S15" s="950"/>
    </row>
    <row r="16" spans="2:19" ht="16.149999999999999" thickBot="1">
      <c r="B16" s="184"/>
      <c r="C16" s="198">
        <v>11</v>
      </c>
      <c r="D16" s="198" t="s">
        <v>57</v>
      </c>
      <c r="E16" s="199" t="s">
        <v>47</v>
      </c>
      <c r="F16" s="200" t="s">
        <v>55</v>
      </c>
      <c r="G16" s="201">
        <v>1796.4435341122739</v>
      </c>
      <c r="H16" s="201">
        <v>256.40034364261169</v>
      </c>
      <c r="I16" s="202">
        <v>85.727336330150024</v>
      </c>
      <c r="J16" s="201">
        <v>350</v>
      </c>
      <c r="K16" s="201">
        <v>261</v>
      </c>
      <c r="L16" s="203"/>
      <c r="P16" s="421"/>
      <c r="S16" s="950"/>
    </row>
    <row r="17" spans="2:12" ht="15.6" thickBot="1">
      <c r="D17" s="204"/>
      <c r="E17" s="205"/>
      <c r="F17" s="205"/>
      <c r="G17" s="206">
        <f>SUM(G6:G16)</f>
        <v>20900</v>
      </c>
      <c r="H17" s="206">
        <f>SUM(H6:H16)</f>
        <v>9400</v>
      </c>
      <c r="I17" s="207"/>
      <c r="J17" s="207"/>
      <c r="K17" s="207"/>
    </row>
    <row r="18" spans="2:12" ht="29.45" customHeight="1" thickBot="1">
      <c r="E18" s="1253" t="s">
        <v>168</v>
      </c>
      <c r="F18" s="1382"/>
      <c r="G18" s="1"/>
      <c r="H18" s="208">
        <f>ROUND((H17*1),-2)</f>
        <v>9400</v>
      </c>
      <c r="I18" s="1"/>
      <c r="J18" s="1"/>
      <c r="K18" s="1"/>
    </row>
    <row r="19" spans="2:12">
      <c r="E19" s="1"/>
      <c r="F19" s="1"/>
      <c r="G19" s="1"/>
      <c r="H19" s="1"/>
      <c r="I19" s="1"/>
      <c r="J19" s="1"/>
      <c r="K19" s="1"/>
    </row>
    <row r="20" spans="2:12" ht="15.6" thickBot="1">
      <c r="E20" s="1"/>
      <c r="F20" s="1"/>
      <c r="G20" s="1"/>
      <c r="H20" s="1"/>
      <c r="I20" s="1"/>
      <c r="J20" s="1"/>
      <c r="K20" s="1"/>
    </row>
    <row r="21" spans="2:12" ht="28.5" customHeight="1" thickBot="1">
      <c r="D21" s="1252" t="s">
        <v>175</v>
      </c>
      <c r="E21" s="1383"/>
      <c r="F21" s="1383"/>
      <c r="G21" s="1383"/>
      <c r="H21" s="1383"/>
      <c r="I21" s="1383"/>
      <c r="J21" s="1383"/>
      <c r="K21" s="1383"/>
      <c r="L21" s="1384"/>
    </row>
    <row r="22" spans="2:12" ht="27" thickBot="1">
      <c r="B22" s="178"/>
      <c r="C22" s="179" t="s">
        <v>156</v>
      </c>
      <c r="D22" s="179" t="s">
        <v>31</v>
      </c>
      <c r="E22" s="180" t="s">
        <v>32</v>
      </c>
      <c r="F22" s="180" t="s">
        <v>33</v>
      </c>
      <c r="G22" s="180" t="s">
        <v>34</v>
      </c>
      <c r="H22" s="180" t="s">
        <v>35</v>
      </c>
      <c r="I22" s="180" t="s">
        <v>37</v>
      </c>
      <c r="J22" s="182" t="s">
        <v>38</v>
      </c>
      <c r="K22" s="182" t="s">
        <v>39</v>
      </c>
      <c r="L22" s="183" t="s">
        <v>40</v>
      </c>
    </row>
    <row r="23" spans="2:12">
      <c r="B23" s="209"/>
      <c r="C23" s="210">
        <v>1</v>
      </c>
      <c r="D23" s="210" t="s">
        <v>59</v>
      </c>
      <c r="E23" s="192" t="s">
        <v>60</v>
      </c>
      <c r="F23" s="188">
        <v>56</v>
      </c>
      <c r="G23" s="188">
        <v>949</v>
      </c>
      <c r="H23" s="188">
        <v>930</v>
      </c>
      <c r="I23" s="211">
        <v>3.8</v>
      </c>
      <c r="J23" s="188">
        <v>2018</v>
      </c>
      <c r="K23" s="188">
        <v>145</v>
      </c>
      <c r="L23" s="212" t="s">
        <v>161</v>
      </c>
    </row>
    <row r="24" spans="2:12" ht="26.45">
      <c r="B24" s="209"/>
      <c r="C24" s="210">
        <v>2</v>
      </c>
      <c r="D24" s="210" t="s">
        <v>61</v>
      </c>
      <c r="E24" s="192" t="s">
        <v>62</v>
      </c>
      <c r="F24" s="188">
        <v>28</v>
      </c>
      <c r="G24" s="188">
        <v>872</v>
      </c>
      <c r="H24" s="188">
        <v>436</v>
      </c>
      <c r="I24" s="211">
        <v>50</v>
      </c>
      <c r="J24" s="188">
        <v>782</v>
      </c>
      <c r="K24" s="188">
        <v>380</v>
      </c>
      <c r="L24" s="212" t="s">
        <v>176</v>
      </c>
    </row>
    <row r="25" spans="2:12">
      <c r="B25" s="209"/>
      <c r="C25" s="210">
        <v>3</v>
      </c>
      <c r="D25" s="210" t="s">
        <v>64</v>
      </c>
      <c r="E25" s="192" t="s">
        <v>65</v>
      </c>
      <c r="F25" s="188">
        <v>32</v>
      </c>
      <c r="G25" s="188">
        <v>2618</v>
      </c>
      <c r="H25" s="188">
        <v>1571</v>
      </c>
      <c r="I25" s="211">
        <v>40.799999999999997</v>
      </c>
      <c r="J25" s="188">
        <v>430</v>
      </c>
      <c r="K25" s="188">
        <v>435</v>
      </c>
      <c r="L25" s="212" t="s">
        <v>161</v>
      </c>
    </row>
    <row r="26" spans="2:12">
      <c r="B26" s="209"/>
      <c r="C26" s="210">
        <v>4</v>
      </c>
      <c r="D26" s="210" t="s">
        <v>69</v>
      </c>
      <c r="E26" s="192" t="s">
        <v>70</v>
      </c>
      <c r="F26" s="188">
        <v>24</v>
      </c>
      <c r="G26" s="188">
        <v>946</v>
      </c>
      <c r="H26" s="188">
        <v>311</v>
      </c>
      <c r="I26" s="211">
        <v>67.2</v>
      </c>
      <c r="J26" s="188">
        <v>2411</v>
      </c>
      <c r="K26" s="188">
        <v>800</v>
      </c>
      <c r="L26" s="212"/>
    </row>
    <row r="27" spans="2:12">
      <c r="B27" s="209"/>
      <c r="C27" s="210">
        <v>5</v>
      </c>
      <c r="D27" s="210" t="s">
        <v>71</v>
      </c>
      <c r="E27" s="192" t="s">
        <v>72</v>
      </c>
      <c r="F27" s="188">
        <v>28</v>
      </c>
      <c r="G27" s="188">
        <v>843</v>
      </c>
      <c r="H27" s="188">
        <v>280</v>
      </c>
      <c r="I27" s="211">
        <v>66.8</v>
      </c>
      <c r="J27" s="188">
        <v>3000</v>
      </c>
      <c r="K27" s="188">
        <v>920</v>
      </c>
      <c r="L27" s="212"/>
    </row>
    <row r="28" spans="2:12">
      <c r="B28" s="209"/>
      <c r="C28" s="210">
        <v>6</v>
      </c>
      <c r="D28" s="210" t="s">
        <v>73</v>
      </c>
      <c r="E28" s="192" t="s">
        <v>72</v>
      </c>
      <c r="F28" s="188">
        <v>36</v>
      </c>
      <c r="G28" s="188">
        <v>1079</v>
      </c>
      <c r="H28" s="188">
        <v>723</v>
      </c>
      <c r="I28" s="211">
        <v>33</v>
      </c>
      <c r="J28" s="188">
        <v>3206</v>
      </c>
      <c r="K28" s="188">
        <v>551</v>
      </c>
      <c r="L28" s="212"/>
    </row>
    <row r="29" spans="2:12">
      <c r="B29" s="209"/>
      <c r="C29" s="210">
        <v>7</v>
      </c>
      <c r="D29" s="210" t="s">
        <v>74</v>
      </c>
      <c r="E29" s="192" t="s">
        <v>75</v>
      </c>
      <c r="F29" s="188">
        <v>36</v>
      </c>
      <c r="G29" s="188">
        <v>3138</v>
      </c>
      <c r="H29" s="188">
        <v>1246</v>
      </c>
      <c r="I29" s="211">
        <v>60.3</v>
      </c>
      <c r="J29" s="188">
        <v>1306</v>
      </c>
      <c r="K29" s="188">
        <v>800</v>
      </c>
      <c r="L29" s="212"/>
    </row>
    <row r="30" spans="2:12">
      <c r="B30" s="209"/>
      <c r="C30" s="210">
        <v>8</v>
      </c>
      <c r="D30" s="210" t="s">
        <v>76</v>
      </c>
      <c r="E30" s="192" t="s">
        <v>77</v>
      </c>
      <c r="F30" s="188">
        <v>20</v>
      </c>
      <c r="G30" s="188">
        <v>704</v>
      </c>
      <c r="H30" s="188">
        <v>305</v>
      </c>
      <c r="I30" s="211">
        <v>56.7</v>
      </c>
      <c r="J30" s="188">
        <v>264</v>
      </c>
      <c r="K30" s="188">
        <v>203</v>
      </c>
      <c r="L30" s="212"/>
    </row>
    <row r="31" spans="2:12">
      <c r="B31" s="209"/>
      <c r="C31" s="210">
        <v>9</v>
      </c>
      <c r="D31" s="210" t="s">
        <v>78</v>
      </c>
      <c r="E31" s="192" t="s">
        <v>79</v>
      </c>
      <c r="F31" s="188">
        <v>48</v>
      </c>
      <c r="G31" s="188">
        <v>1027</v>
      </c>
      <c r="H31" s="188">
        <v>1024</v>
      </c>
      <c r="I31" s="211">
        <v>0.3</v>
      </c>
      <c r="J31" s="188">
        <v>553</v>
      </c>
      <c r="K31" s="188">
        <v>232</v>
      </c>
      <c r="L31" s="212"/>
    </row>
    <row r="32" spans="2:12">
      <c r="B32" s="209"/>
      <c r="C32" s="210">
        <v>10</v>
      </c>
      <c r="D32" s="210" t="s">
        <v>80</v>
      </c>
      <c r="E32" s="192" t="s">
        <v>81</v>
      </c>
      <c r="F32" s="188">
        <v>32</v>
      </c>
      <c r="G32" s="188">
        <v>1609</v>
      </c>
      <c r="H32" s="188">
        <v>592</v>
      </c>
      <c r="I32" s="211">
        <v>63.2</v>
      </c>
      <c r="J32" s="188">
        <v>1849</v>
      </c>
      <c r="K32" s="188">
        <v>609</v>
      </c>
      <c r="L32" s="212"/>
    </row>
    <row r="33" spans="1:30">
      <c r="B33" s="209"/>
      <c r="C33" s="210">
        <v>11</v>
      </c>
      <c r="D33" s="210" t="s">
        <v>82</v>
      </c>
      <c r="E33" s="192" t="s">
        <v>65</v>
      </c>
      <c r="F33" s="188">
        <v>24</v>
      </c>
      <c r="G33" s="188">
        <v>1004</v>
      </c>
      <c r="H33" s="188">
        <v>1003</v>
      </c>
      <c r="I33" s="211">
        <v>0.1</v>
      </c>
      <c r="J33" s="188">
        <v>587</v>
      </c>
      <c r="K33" s="188">
        <v>580</v>
      </c>
      <c r="L33" s="212" t="s">
        <v>63</v>
      </c>
    </row>
    <row r="34" spans="1:30" ht="26.45">
      <c r="B34" s="209"/>
      <c r="C34" s="210">
        <v>12</v>
      </c>
      <c r="D34" s="210" t="s">
        <v>83</v>
      </c>
      <c r="E34" s="192" t="s">
        <v>84</v>
      </c>
      <c r="F34" s="188">
        <v>48</v>
      </c>
      <c r="G34" s="188">
        <v>3214</v>
      </c>
      <c r="H34" s="188">
        <v>1125</v>
      </c>
      <c r="I34" s="211">
        <v>65</v>
      </c>
      <c r="J34" s="188">
        <v>4131</v>
      </c>
      <c r="K34" s="188">
        <v>1218</v>
      </c>
      <c r="L34" s="212" t="s">
        <v>160</v>
      </c>
    </row>
    <row r="35" spans="1:30" ht="26.45">
      <c r="B35" s="209"/>
      <c r="C35" s="210">
        <v>13</v>
      </c>
      <c r="D35" s="210" t="s">
        <v>85</v>
      </c>
      <c r="E35" s="192" t="s">
        <v>72</v>
      </c>
      <c r="F35" s="188">
        <v>32</v>
      </c>
      <c r="G35" s="188">
        <v>1401</v>
      </c>
      <c r="H35" s="188">
        <v>881</v>
      </c>
      <c r="I35" s="211">
        <v>37.200000000000003</v>
      </c>
      <c r="J35" s="188">
        <v>1058</v>
      </c>
      <c r="K35" s="188">
        <v>551</v>
      </c>
      <c r="L35" s="212" t="s">
        <v>160</v>
      </c>
      <c r="O35">
        <f>23170+5961</f>
        <v>29131</v>
      </c>
    </row>
    <row r="36" spans="1:30">
      <c r="B36" s="209"/>
      <c r="C36" s="210">
        <v>14</v>
      </c>
      <c r="D36" s="210" t="s">
        <v>86</v>
      </c>
      <c r="E36" s="192" t="s">
        <v>87</v>
      </c>
      <c r="F36" s="188">
        <v>28</v>
      </c>
      <c r="G36" s="188">
        <v>885</v>
      </c>
      <c r="H36" s="188">
        <v>350</v>
      </c>
      <c r="I36" s="211">
        <v>60.5</v>
      </c>
      <c r="J36" s="188">
        <v>5513</v>
      </c>
      <c r="K36" s="188">
        <v>1740</v>
      </c>
      <c r="L36" s="212"/>
      <c r="O36">
        <v>23170</v>
      </c>
    </row>
    <row r="37" spans="1:30" ht="26.45">
      <c r="B37" s="209"/>
      <c r="C37" s="210">
        <v>15</v>
      </c>
      <c r="D37" s="210" t="s">
        <v>88</v>
      </c>
      <c r="E37" s="192" t="s">
        <v>89</v>
      </c>
      <c r="F37" s="188">
        <v>28</v>
      </c>
      <c r="G37" s="188">
        <v>1151</v>
      </c>
      <c r="H37" s="188">
        <v>483</v>
      </c>
      <c r="I37" s="211">
        <v>58</v>
      </c>
      <c r="J37" s="188">
        <v>2051</v>
      </c>
      <c r="K37" s="188">
        <v>551</v>
      </c>
      <c r="L37" s="212" t="s">
        <v>177</v>
      </c>
      <c r="O37">
        <v>14624</v>
      </c>
    </row>
    <row r="38" spans="1:30">
      <c r="B38" s="209"/>
      <c r="C38" s="210">
        <v>16</v>
      </c>
      <c r="D38" s="210" t="s">
        <v>90</v>
      </c>
      <c r="E38" s="192" t="s">
        <v>84</v>
      </c>
      <c r="F38" s="188">
        <v>48</v>
      </c>
      <c r="G38" s="188">
        <v>537</v>
      </c>
      <c r="H38" s="188">
        <v>498</v>
      </c>
      <c r="I38" s="211">
        <v>7.3</v>
      </c>
      <c r="J38" s="188">
        <v>6498</v>
      </c>
      <c r="K38" s="188">
        <v>550</v>
      </c>
      <c r="L38" s="212"/>
    </row>
    <row r="39" spans="1:30">
      <c r="B39" s="209"/>
      <c r="C39" s="210">
        <v>17</v>
      </c>
      <c r="D39" s="210" t="s">
        <v>91</v>
      </c>
      <c r="E39" s="192" t="s">
        <v>89</v>
      </c>
      <c r="F39" s="188">
        <v>36</v>
      </c>
      <c r="G39" s="188">
        <v>488</v>
      </c>
      <c r="H39" s="188">
        <v>487</v>
      </c>
      <c r="I39" s="211">
        <v>0.1</v>
      </c>
      <c r="J39" s="188">
        <v>1297</v>
      </c>
      <c r="K39" s="188">
        <v>200</v>
      </c>
      <c r="L39" s="212"/>
    </row>
    <row r="40" spans="1:30">
      <c r="B40" s="209"/>
      <c r="C40" s="210">
        <v>18</v>
      </c>
      <c r="D40" s="210" t="s">
        <v>92</v>
      </c>
      <c r="E40" s="192" t="s">
        <v>93</v>
      </c>
      <c r="F40" s="188">
        <v>24</v>
      </c>
      <c r="G40" s="188">
        <v>639</v>
      </c>
      <c r="H40" s="188">
        <v>268</v>
      </c>
      <c r="I40" s="211">
        <v>58</v>
      </c>
      <c r="J40" s="188">
        <v>373</v>
      </c>
      <c r="K40" s="188">
        <v>232</v>
      </c>
      <c r="L40" s="212" t="s">
        <v>161</v>
      </c>
    </row>
    <row r="41" spans="1:30">
      <c r="B41" s="209"/>
      <c r="C41" s="210">
        <v>19</v>
      </c>
      <c r="D41" s="210" t="s">
        <v>94</v>
      </c>
      <c r="E41" s="192" t="s">
        <v>67</v>
      </c>
      <c r="F41" s="188">
        <v>24</v>
      </c>
      <c r="G41" s="188">
        <v>1571</v>
      </c>
      <c r="H41" s="188">
        <v>914</v>
      </c>
      <c r="I41" s="211">
        <v>41.9</v>
      </c>
      <c r="J41" s="188">
        <v>258</v>
      </c>
      <c r="K41" s="188">
        <v>464</v>
      </c>
      <c r="L41" s="212"/>
    </row>
    <row r="42" spans="1:30">
      <c r="B42" s="209"/>
      <c r="C42" s="210">
        <v>20</v>
      </c>
      <c r="D42" s="210" t="s">
        <v>95</v>
      </c>
      <c r="E42" s="192" t="s">
        <v>65</v>
      </c>
      <c r="F42" s="188">
        <v>20</v>
      </c>
      <c r="G42" s="188">
        <v>566</v>
      </c>
      <c r="H42" s="188">
        <v>251</v>
      </c>
      <c r="I42" s="211">
        <v>55.7</v>
      </c>
      <c r="J42" s="188">
        <v>415</v>
      </c>
      <c r="K42" s="188">
        <v>377</v>
      </c>
      <c r="L42" s="212" t="s">
        <v>63</v>
      </c>
    </row>
    <row r="43" spans="1:30" ht="15.6" thickBot="1">
      <c r="B43" s="209"/>
      <c r="C43" s="213">
        <v>21</v>
      </c>
      <c r="D43" s="213" t="s">
        <v>96</v>
      </c>
      <c r="E43" s="199" t="s">
        <v>67</v>
      </c>
      <c r="F43" s="188">
        <v>32</v>
      </c>
      <c r="G43" s="188">
        <v>2082</v>
      </c>
      <c r="H43" s="188">
        <v>937</v>
      </c>
      <c r="I43" s="211">
        <v>55</v>
      </c>
      <c r="J43" s="188">
        <v>450</v>
      </c>
      <c r="K43" s="188">
        <v>406</v>
      </c>
      <c r="L43" s="212"/>
    </row>
    <row r="44" spans="1:30" ht="15.6" thickBot="1">
      <c r="D44" s="204"/>
      <c r="E44" s="205"/>
      <c r="F44" s="205"/>
      <c r="G44" s="206">
        <f>SUM(G23:G43)</f>
        <v>27323</v>
      </c>
      <c r="H44" s="206">
        <f>SUM(H23:H43)</f>
        <v>14615</v>
      </c>
      <c r="I44" s="207"/>
      <c r="J44" s="207"/>
      <c r="K44" s="214"/>
    </row>
    <row r="45" spans="1:30" ht="15.6" thickBot="1">
      <c r="E45" s="1251" t="s">
        <v>162</v>
      </c>
      <c r="F45" s="1382"/>
      <c r="G45" s="1"/>
      <c r="H45" s="208">
        <f>ROUND((H44*0.97),-2)</f>
        <v>14200</v>
      </c>
      <c r="I45" s="1"/>
      <c r="J45" s="1"/>
      <c r="K45" s="1"/>
    </row>
    <row r="46" spans="1:30" ht="20.25" customHeight="1" thickBot="1">
      <c r="E46" s="1"/>
      <c r="F46" s="1"/>
      <c r="G46" s="1"/>
      <c r="H46" s="1"/>
      <c r="I46" s="1"/>
      <c r="J46" s="1"/>
      <c r="K46" s="1"/>
    </row>
    <row r="47" spans="1:30" ht="30" customHeight="1" thickBot="1">
      <c r="A47" s="23"/>
      <c r="B47" s="23"/>
      <c r="C47" s="23"/>
      <c r="D47" s="1252" t="s">
        <v>178</v>
      </c>
      <c r="E47" s="1383"/>
      <c r="F47" s="1383"/>
      <c r="G47" s="1383"/>
      <c r="H47" s="1383"/>
      <c r="I47" s="1383"/>
      <c r="J47" s="1383"/>
      <c r="K47" s="1383"/>
      <c r="L47" s="138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spans="1:30" ht="27" thickBot="1">
      <c r="B48" s="178"/>
      <c r="C48" s="179" t="s">
        <v>156</v>
      </c>
      <c r="D48" s="179" t="s">
        <v>31</v>
      </c>
      <c r="E48" s="180" t="s">
        <v>32</v>
      </c>
      <c r="F48" s="180" t="s">
        <v>33</v>
      </c>
      <c r="G48" s="180" t="s">
        <v>34</v>
      </c>
      <c r="H48" s="180" t="s">
        <v>35</v>
      </c>
      <c r="I48" s="180" t="s">
        <v>37</v>
      </c>
      <c r="J48" s="182" t="s">
        <v>38</v>
      </c>
      <c r="K48" s="182" t="s">
        <v>39</v>
      </c>
      <c r="L48" s="183" t="s">
        <v>40</v>
      </c>
    </row>
    <row r="49" spans="2:15">
      <c r="B49" s="209"/>
      <c r="C49" s="210">
        <v>1</v>
      </c>
      <c r="D49" s="215" t="s">
        <v>98</v>
      </c>
      <c r="E49" s="186" t="s">
        <v>99</v>
      </c>
      <c r="F49" s="187">
        <v>36</v>
      </c>
      <c r="G49" s="187">
        <v>1833</v>
      </c>
      <c r="H49" s="187">
        <v>1173</v>
      </c>
      <c r="I49" s="188">
        <v>36</v>
      </c>
      <c r="J49" s="187">
        <v>330</v>
      </c>
      <c r="K49" s="187">
        <v>330</v>
      </c>
      <c r="L49" s="231"/>
    </row>
    <row r="50" spans="2:15" ht="15" customHeight="1">
      <c r="B50" s="209"/>
      <c r="C50" s="210">
        <v>2</v>
      </c>
      <c r="D50" s="216" t="s">
        <v>100</v>
      </c>
      <c r="E50" s="192" t="s">
        <v>101</v>
      </c>
      <c r="F50" s="193">
        <v>36</v>
      </c>
      <c r="G50" s="193">
        <v>1000</v>
      </c>
      <c r="H50" s="193">
        <v>1000</v>
      </c>
      <c r="I50" s="194">
        <v>0</v>
      </c>
      <c r="J50" s="193">
        <v>307</v>
      </c>
      <c r="K50" s="193">
        <v>150</v>
      </c>
      <c r="L50" s="196"/>
      <c r="M50" s="217"/>
    </row>
    <row r="51" spans="2:15">
      <c r="B51" s="209"/>
      <c r="C51" s="210">
        <v>3</v>
      </c>
      <c r="D51" s="216" t="s">
        <v>104</v>
      </c>
      <c r="E51" s="192" t="s">
        <v>105</v>
      </c>
      <c r="F51" s="193">
        <v>24</v>
      </c>
      <c r="G51" s="193">
        <v>806</v>
      </c>
      <c r="H51" s="193">
        <v>403</v>
      </c>
      <c r="I51" s="194">
        <v>50</v>
      </c>
      <c r="J51" s="193">
        <v>366</v>
      </c>
      <c r="K51" s="193">
        <v>230</v>
      </c>
      <c r="L51" s="196"/>
    </row>
    <row r="52" spans="2:15">
      <c r="B52" s="209"/>
      <c r="C52" s="210">
        <v>4</v>
      </c>
      <c r="D52" s="216" t="s">
        <v>106</v>
      </c>
      <c r="E52" s="192" t="s">
        <v>103</v>
      </c>
      <c r="F52" s="193">
        <v>28</v>
      </c>
      <c r="G52" s="193">
        <v>1343</v>
      </c>
      <c r="H52" s="193">
        <v>1021</v>
      </c>
      <c r="I52" s="194">
        <v>24</v>
      </c>
      <c r="J52" s="193">
        <v>833</v>
      </c>
      <c r="K52" s="193">
        <v>340</v>
      </c>
      <c r="L52" s="196"/>
    </row>
    <row r="53" spans="2:15" ht="26.45">
      <c r="B53" s="209"/>
      <c r="C53" s="210">
        <v>5</v>
      </c>
      <c r="D53" s="253" t="s">
        <v>107</v>
      </c>
      <c r="E53" s="254" t="s">
        <v>103</v>
      </c>
      <c r="F53" s="255">
        <v>28</v>
      </c>
      <c r="G53" s="197">
        <v>745.48</v>
      </c>
      <c r="H53" s="197">
        <v>342.92079999999999</v>
      </c>
      <c r="I53" s="197">
        <v>54</v>
      </c>
      <c r="J53" s="255">
        <v>600</v>
      </c>
      <c r="K53" s="255">
        <v>145</v>
      </c>
      <c r="L53" s="256" t="s">
        <v>179</v>
      </c>
    </row>
    <row r="54" spans="2:15">
      <c r="B54" s="209"/>
      <c r="C54" s="210">
        <v>6</v>
      </c>
      <c r="D54" s="216" t="s">
        <v>109</v>
      </c>
      <c r="E54" s="192" t="s">
        <v>110</v>
      </c>
      <c r="F54" s="193">
        <v>32</v>
      </c>
      <c r="G54" s="193">
        <v>1364</v>
      </c>
      <c r="H54" s="193">
        <v>682</v>
      </c>
      <c r="I54" s="194">
        <v>50</v>
      </c>
      <c r="J54" s="193">
        <v>305</v>
      </c>
      <c r="K54" s="193">
        <v>270</v>
      </c>
      <c r="L54" s="196"/>
    </row>
    <row r="55" spans="2:15">
      <c r="B55" s="209"/>
      <c r="C55" s="210">
        <v>7</v>
      </c>
      <c r="D55" s="216" t="s">
        <v>111</v>
      </c>
      <c r="E55" s="192" t="s">
        <v>99</v>
      </c>
      <c r="F55" s="193">
        <v>36</v>
      </c>
      <c r="G55" s="193">
        <v>2467</v>
      </c>
      <c r="H55" s="193">
        <v>1135</v>
      </c>
      <c r="I55" s="194">
        <v>54</v>
      </c>
      <c r="J55" s="193">
        <v>324</v>
      </c>
      <c r="K55" s="193">
        <v>400</v>
      </c>
      <c r="L55" s="196"/>
    </row>
    <row r="56" spans="2:15">
      <c r="B56" s="209"/>
      <c r="C56" s="210">
        <v>8</v>
      </c>
      <c r="D56" s="216" t="s">
        <v>112</v>
      </c>
      <c r="E56" s="192" t="s">
        <v>103</v>
      </c>
      <c r="F56" s="193">
        <v>56</v>
      </c>
      <c r="G56" s="193">
        <v>5950</v>
      </c>
      <c r="H56" s="193">
        <v>5950</v>
      </c>
      <c r="I56" s="194">
        <v>0</v>
      </c>
      <c r="J56" s="193">
        <v>473</v>
      </c>
      <c r="K56" s="193">
        <v>600</v>
      </c>
      <c r="L56" s="196"/>
    </row>
    <row r="57" spans="2:15">
      <c r="B57" s="209"/>
      <c r="C57" s="210">
        <v>9</v>
      </c>
      <c r="D57" s="253" t="s">
        <v>113</v>
      </c>
      <c r="E57" s="254" t="s">
        <v>103</v>
      </c>
      <c r="F57" s="255" t="s">
        <v>20</v>
      </c>
      <c r="G57" s="255">
        <v>2181</v>
      </c>
      <c r="H57" s="197">
        <f>((100-I57)/100)*G57</f>
        <v>1999.1045999999999</v>
      </c>
      <c r="I57" s="197">
        <v>8.34</v>
      </c>
      <c r="J57" s="255">
        <v>380</v>
      </c>
      <c r="K57" s="255">
        <v>440</v>
      </c>
      <c r="L57" s="256" t="s">
        <v>180</v>
      </c>
    </row>
    <row r="58" spans="2:15">
      <c r="B58" s="209"/>
      <c r="C58" s="210">
        <v>10</v>
      </c>
      <c r="D58" s="216" t="s">
        <v>114</v>
      </c>
      <c r="E58" s="192" t="s">
        <v>99</v>
      </c>
      <c r="F58" s="193">
        <v>40</v>
      </c>
      <c r="G58" s="193">
        <v>707</v>
      </c>
      <c r="H58" s="193">
        <v>481</v>
      </c>
      <c r="I58" s="194">
        <v>32</v>
      </c>
      <c r="J58" s="193">
        <v>381</v>
      </c>
      <c r="K58" s="193">
        <v>400</v>
      </c>
      <c r="L58" s="196"/>
    </row>
    <row r="59" spans="2:15">
      <c r="B59" s="209"/>
      <c r="C59" s="210">
        <v>11</v>
      </c>
      <c r="D59" s="216" t="s">
        <v>115</v>
      </c>
      <c r="E59" s="192" t="s">
        <v>105</v>
      </c>
      <c r="F59" s="193">
        <v>20</v>
      </c>
      <c r="G59" s="193">
        <v>2240</v>
      </c>
      <c r="H59" s="193">
        <v>1411</v>
      </c>
      <c r="I59" s="194">
        <v>37</v>
      </c>
      <c r="J59" s="193">
        <v>443</v>
      </c>
      <c r="K59" s="193">
        <v>320</v>
      </c>
      <c r="L59" s="196"/>
    </row>
    <row r="60" spans="2:15">
      <c r="B60" s="209"/>
      <c r="C60" s="210">
        <v>12</v>
      </c>
      <c r="D60" s="216" t="s">
        <v>116</v>
      </c>
      <c r="E60" s="192" t="s">
        <v>117</v>
      </c>
      <c r="F60" s="193">
        <v>28</v>
      </c>
      <c r="G60" s="193">
        <v>641</v>
      </c>
      <c r="H60" s="193">
        <v>314</v>
      </c>
      <c r="I60" s="194">
        <v>51</v>
      </c>
      <c r="J60" s="193">
        <v>805</v>
      </c>
      <c r="K60" s="193">
        <v>190</v>
      </c>
      <c r="L60" s="196"/>
    </row>
    <row r="61" spans="2:15">
      <c r="B61" s="209"/>
      <c r="C61" s="210">
        <v>13</v>
      </c>
      <c r="D61" s="216" t="s">
        <v>118</v>
      </c>
      <c r="E61" s="192" t="s">
        <v>99</v>
      </c>
      <c r="F61" s="193">
        <v>24</v>
      </c>
      <c r="G61" s="193">
        <v>931</v>
      </c>
      <c r="H61" s="193">
        <v>484</v>
      </c>
      <c r="I61" s="194">
        <v>48</v>
      </c>
      <c r="J61" s="193">
        <v>380</v>
      </c>
      <c r="K61" s="193">
        <v>310</v>
      </c>
      <c r="L61" s="196"/>
    </row>
    <row r="62" spans="2:15">
      <c r="B62" s="209"/>
      <c r="C62" s="210">
        <v>14</v>
      </c>
      <c r="D62" s="216" t="s">
        <v>119</v>
      </c>
      <c r="E62" s="192" t="s">
        <v>103</v>
      </c>
      <c r="F62" s="193">
        <v>28</v>
      </c>
      <c r="G62" s="193">
        <v>688</v>
      </c>
      <c r="H62" s="193">
        <v>344</v>
      </c>
      <c r="I62" s="194">
        <v>50</v>
      </c>
      <c r="J62" s="193">
        <v>455</v>
      </c>
      <c r="K62" s="193">
        <v>200</v>
      </c>
      <c r="L62" s="196"/>
    </row>
    <row r="63" spans="2:15">
      <c r="B63" s="209"/>
      <c r="C63" s="210">
        <v>15</v>
      </c>
      <c r="D63" s="216" t="s">
        <v>120</v>
      </c>
      <c r="E63" s="192" t="s">
        <v>101</v>
      </c>
      <c r="F63" s="193">
        <v>20</v>
      </c>
      <c r="G63" s="193">
        <v>596</v>
      </c>
      <c r="H63" s="193">
        <v>298</v>
      </c>
      <c r="I63" s="194">
        <v>50</v>
      </c>
      <c r="J63" s="193">
        <v>295</v>
      </c>
      <c r="K63" s="193">
        <v>140</v>
      </c>
      <c r="L63" s="196"/>
      <c r="N63" s="951"/>
    </row>
    <row r="64" spans="2:15" s="264" customFormat="1">
      <c r="B64" s="262"/>
      <c r="C64" s="263">
        <v>16</v>
      </c>
      <c r="D64" s="253" t="s">
        <v>121</v>
      </c>
      <c r="E64" s="254" t="s">
        <v>105</v>
      </c>
      <c r="F64" s="255">
        <v>24</v>
      </c>
      <c r="G64" s="255">
        <v>324</v>
      </c>
      <c r="H64" s="255">
        <v>221</v>
      </c>
      <c r="I64" s="197">
        <v>31.9</v>
      </c>
      <c r="J64" s="255">
        <v>280</v>
      </c>
      <c r="K64" s="255">
        <v>160</v>
      </c>
      <c r="L64" s="256" t="s">
        <v>165</v>
      </c>
      <c r="M64" s="439"/>
      <c r="N64" s="439"/>
      <c r="O64" s="439"/>
    </row>
    <row r="65" spans="2:15">
      <c r="B65" s="209"/>
      <c r="C65" s="210">
        <v>17</v>
      </c>
      <c r="D65" s="216" t="s">
        <v>122</v>
      </c>
      <c r="E65" s="192" t="s">
        <v>110</v>
      </c>
      <c r="F65" s="193">
        <v>24</v>
      </c>
      <c r="G65" s="193">
        <v>840</v>
      </c>
      <c r="H65" s="193">
        <v>764</v>
      </c>
      <c r="I65" s="194">
        <v>9</v>
      </c>
      <c r="J65" s="193">
        <v>379</v>
      </c>
      <c r="K65" s="193">
        <v>560</v>
      </c>
      <c r="L65" s="196"/>
    </row>
    <row r="66" spans="2:15" ht="15" customHeight="1">
      <c r="B66" s="209"/>
      <c r="C66" s="210">
        <v>18</v>
      </c>
      <c r="D66" s="216" t="s">
        <v>123</v>
      </c>
      <c r="E66" s="192" t="s">
        <v>124</v>
      </c>
      <c r="F66" s="193">
        <v>28</v>
      </c>
      <c r="G66" s="193">
        <v>450</v>
      </c>
      <c r="H66" s="194">
        <v>162</v>
      </c>
      <c r="I66" s="194">
        <v>64</v>
      </c>
      <c r="J66" s="194">
        <v>379</v>
      </c>
      <c r="K66" s="194">
        <v>330</v>
      </c>
      <c r="L66" s="238" t="s">
        <v>165</v>
      </c>
    </row>
    <row r="67" spans="2:15">
      <c r="B67" s="209"/>
      <c r="C67" s="222">
        <v>19</v>
      </c>
      <c r="D67" s="218" t="s">
        <v>125</v>
      </c>
      <c r="E67" s="219" t="s">
        <v>126</v>
      </c>
      <c r="F67" s="220">
        <v>24</v>
      </c>
      <c r="G67" s="220">
        <v>583</v>
      </c>
      <c r="H67" s="221">
        <v>210</v>
      </c>
      <c r="I67" s="221">
        <v>64</v>
      </c>
      <c r="J67" s="221">
        <v>401</v>
      </c>
      <c r="K67" s="221">
        <v>180</v>
      </c>
      <c r="L67" s="237"/>
      <c r="N67" s="151"/>
      <c r="O67" s="151"/>
    </row>
    <row r="68" spans="2:15">
      <c r="B68" s="209"/>
      <c r="C68" s="210">
        <v>20</v>
      </c>
      <c r="D68" s="216" t="s">
        <v>127</v>
      </c>
      <c r="E68" s="192" t="s">
        <v>101</v>
      </c>
      <c r="F68" s="193">
        <v>36</v>
      </c>
      <c r="G68" s="193">
        <v>3875</v>
      </c>
      <c r="H68" s="193">
        <v>1085</v>
      </c>
      <c r="I68" s="194">
        <v>72</v>
      </c>
      <c r="J68" s="193">
        <v>307</v>
      </c>
      <c r="K68" s="193">
        <v>225</v>
      </c>
      <c r="L68" s="196"/>
      <c r="O68" s="151"/>
    </row>
    <row r="69" spans="2:15" s="266" customFormat="1">
      <c r="B69" s="265"/>
      <c r="C69" s="222">
        <v>21</v>
      </c>
      <c r="D69" s="218" t="s">
        <v>128</v>
      </c>
      <c r="E69" s="219" t="s">
        <v>105</v>
      </c>
      <c r="F69" s="220">
        <v>24</v>
      </c>
      <c r="G69" s="220">
        <v>821</v>
      </c>
      <c r="H69" s="220">
        <v>238</v>
      </c>
      <c r="I69" s="221">
        <v>71</v>
      </c>
      <c r="J69" s="220">
        <v>285</v>
      </c>
      <c r="K69" s="220">
        <v>190</v>
      </c>
      <c r="L69" s="237"/>
    </row>
    <row r="70" spans="2:15" ht="15.6">
      <c r="B70" s="209"/>
      <c r="C70" s="210">
        <v>22</v>
      </c>
      <c r="D70" s="216" t="s">
        <v>129</v>
      </c>
      <c r="E70" s="192" t="s">
        <v>99</v>
      </c>
      <c r="F70" s="193">
        <v>20</v>
      </c>
      <c r="G70" s="193">
        <v>735</v>
      </c>
      <c r="H70" s="193">
        <v>353</v>
      </c>
      <c r="I70" s="194">
        <v>52</v>
      </c>
      <c r="J70" s="193">
        <v>325</v>
      </c>
      <c r="K70" s="193">
        <v>160</v>
      </c>
      <c r="L70" s="238" t="s">
        <v>165</v>
      </c>
      <c r="M70" s="952"/>
    </row>
    <row r="71" spans="2:15">
      <c r="B71" s="209"/>
      <c r="C71" s="210">
        <v>23</v>
      </c>
      <c r="D71" s="216" t="s">
        <v>130</v>
      </c>
      <c r="E71" s="192" t="s">
        <v>105</v>
      </c>
      <c r="F71" s="193">
        <v>16</v>
      </c>
      <c r="G71" s="193">
        <v>919</v>
      </c>
      <c r="H71" s="193">
        <v>340</v>
      </c>
      <c r="I71" s="194">
        <v>63</v>
      </c>
      <c r="J71" s="193">
        <v>379</v>
      </c>
      <c r="K71" s="193">
        <v>210</v>
      </c>
      <c r="L71" s="196"/>
    </row>
    <row r="72" spans="2:15">
      <c r="B72" s="209"/>
      <c r="C72" s="222">
        <v>24</v>
      </c>
      <c r="D72" s="218" t="s">
        <v>131</v>
      </c>
      <c r="E72" s="219" t="s">
        <v>110</v>
      </c>
      <c r="F72" s="220">
        <v>20</v>
      </c>
      <c r="G72" s="220">
        <v>744</v>
      </c>
      <c r="H72" s="220">
        <v>409</v>
      </c>
      <c r="I72" s="221">
        <v>45</v>
      </c>
      <c r="J72" s="220">
        <v>350</v>
      </c>
      <c r="K72" s="220">
        <v>360</v>
      </c>
      <c r="L72" s="237"/>
    </row>
    <row r="73" spans="2:15" ht="26.45">
      <c r="B73" s="209"/>
      <c r="C73" s="210">
        <v>25</v>
      </c>
      <c r="D73" s="216" t="s">
        <v>132</v>
      </c>
      <c r="E73" s="192" t="s">
        <v>133</v>
      </c>
      <c r="F73" s="193">
        <v>24</v>
      </c>
      <c r="G73" s="193">
        <v>900</v>
      </c>
      <c r="H73" s="193">
        <v>333</v>
      </c>
      <c r="I73" s="194">
        <v>63</v>
      </c>
      <c r="J73" s="193">
        <v>300</v>
      </c>
      <c r="K73" s="193">
        <v>182</v>
      </c>
      <c r="L73" s="196"/>
    </row>
    <row r="74" spans="2:15">
      <c r="B74" s="209"/>
      <c r="C74" s="222">
        <v>26</v>
      </c>
      <c r="D74" s="253" t="s">
        <v>134</v>
      </c>
      <c r="E74" s="254" t="s">
        <v>135</v>
      </c>
      <c r="F74" s="255">
        <v>20</v>
      </c>
      <c r="G74" s="197">
        <v>764.36800000000005</v>
      </c>
      <c r="H74" s="197">
        <v>378.36216000000002</v>
      </c>
      <c r="I74" s="197">
        <v>50.5</v>
      </c>
      <c r="J74" s="255">
        <v>1666</v>
      </c>
      <c r="K74" s="255">
        <v>462</v>
      </c>
      <c r="L74" s="256"/>
    </row>
    <row r="75" spans="2:15">
      <c r="B75" s="209"/>
      <c r="C75" s="210">
        <v>27</v>
      </c>
      <c r="D75" s="216" t="s">
        <v>136</v>
      </c>
      <c r="E75" s="192" t="s">
        <v>105</v>
      </c>
      <c r="F75" s="193">
        <v>40</v>
      </c>
      <c r="G75" s="193">
        <v>2104</v>
      </c>
      <c r="H75" s="193">
        <v>1052</v>
      </c>
      <c r="I75" s="194">
        <v>50</v>
      </c>
      <c r="J75" s="193">
        <v>280</v>
      </c>
      <c r="K75" s="193">
        <v>250</v>
      </c>
      <c r="L75" s="196"/>
    </row>
    <row r="76" spans="2:15" ht="15.6" thickBot="1">
      <c r="B76" s="209"/>
      <c r="C76" s="213">
        <v>28</v>
      </c>
      <c r="D76" s="257" t="s">
        <v>137</v>
      </c>
      <c r="E76" s="258" t="s">
        <v>110</v>
      </c>
      <c r="F76" s="259">
        <v>40</v>
      </c>
      <c r="G76" s="259">
        <v>2293</v>
      </c>
      <c r="H76" s="259">
        <v>917</v>
      </c>
      <c r="I76" s="260">
        <v>60</v>
      </c>
      <c r="J76" s="259">
        <v>348</v>
      </c>
      <c r="K76" s="259">
        <v>260</v>
      </c>
      <c r="L76" s="261"/>
    </row>
    <row r="77" spans="2:15" ht="15.6" thickBot="1">
      <c r="D77" s="204"/>
      <c r="E77" s="205"/>
      <c r="F77" s="205"/>
      <c r="G77" s="224">
        <f>SUM(G49:G76)</f>
        <v>38844.847999999998</v>
      </c>
      <c r="H77" s="224">
        <f>SUM(H49:H76)</f>
        <v>23500.387559999999</v>
      </c>
      <c r="I77" s="225"/>
      <c r="J77" s="225"/>
      <c r="K77" s="225"/>
    </row>
    <row r="78" spans="2:15" ht="15.6" thickBot="1">
      <c r="E78" s="1251"/>
      <c r="F78" s="1382"/>
      <c r="G78" s="1"/>
      <c r="H78" s="208">
        <f>H77*1</f>
        <v>23500.387559999999</v>
      </c>
      <c r="I78" s="1"/>
      <c r="J78" s="1"/>
      <c r="K78" s="1"/>
    </row>
    <row r="79" spans="2:15" ht="15.6" thickBot="1">
      <c r="E79" s="1"/>
      <c r="F79" s="1"/>
      <c r="G79" s="1"/>
      <c r="H79" s="1"/>
      <c r="I79" s="1"/>
      <c r="J79" s="1"/>
      <c r="K79" s="1"/>
    </row>
    <row r="80" spans="2:15" ht="25.5" customHeight="1" thickBot="1">
      <c r="D80" s="1252" t="s">
        <v>181</v>
      </c>
      <c r="E80" s="1383"/>
      <c r="F80" s="1383"/>
      <c r="G80" s="1383"/>
      <c r="H80" s="1383"/>
      <c r="I80" s="1383"/>
      <c r="J80" s="1383"/>
      <c r="K80" s="1383"/>
      <c r="L80" s="1384"/>
    </row>
    <row r="81" spans="2:12" ht="27" thickBot="1">
      <c r="B81" s="178"/>
      <c r="C81" s="179" t="s">
        <v>156</v>
      </c>
      <c r="D81" s="179" t="s">
        <v>31</v>
      </c>
      <c r="E81" s="180" t="s">
        <v>32</v>
      </c>
      <c r="F81" s="180" t="s">
        <v>33</v>
      </c>
      <c r="G81" s="180" t="s">
        <v>34</v>
      </c>
      <c r="H81" s="180" t="s">
        <v>35</v>
      </c>
      <c r="I81" s="180" t="s">
        <v>37</v>
      </c>
      <c r="J81" s="182" t="s">
        <v>38</v>
      </c>
      <c r="K81" s="182" t="s">
        <v>39</v>
      </c>
      <c r="L81" s="226" t="s">
        <v>40</v>
      </c>
    </row>
    <row r="82" spans="2:12" ht="15.6">
      <c r="B82" s="209"/>
      <c r="C82" s="210">
        <v>1</v>
      </c>
      <c r="D82" s="227" t="s">
        <v>139</v>
      </c>
      <c r="E82" s="228" t="s">
        <v>140</v>
      </c>
      <c r="F82" s="187">
        <v>20</v>
      </c>
      <c r="G82" s="953">
        <v>529</v>
      </c>
      <c r="H82" s="187">
        <v>471</v>
      </c>
      <c r="I82" s="187">
        <v>11</v>
      </c>
      <c r="J82" s="432">
        <v>300</v>
      </c>
      <c r="K82" s="187">
        <v>280</v>
      </c>
      <c r="L82" s="190"/>
    </row>
    <row r="83" spans="2:12" ht="15.6">
      <c r="B83" s="209"/>
      <c r="C83" s="210">
        <v>2</v>
      </c>
      <c r="D83" s="229" t="s">
        <v>142</v>
      </c>
      <c r="E83" s="230" t="s">
        <v>143</v>
      </c>
      <c r="F83" s="193">
        <v>24</v>
      </c>
      <c r="G83" s="953">
        <v>457</v>
      </c>
      <c r="H83" s="193">
        <v>434</v>
      </c>
      <c r="I83" s="193">
        <v>5</v>
      </c>
      <c r="J83" s="432">
        <v>457</v>
      </c>
      <c r="K83" s="187">
        <v>280</v>
      </c>
      <c r="L83" s="231"/>
    </row>
    <row r="84" spans="2:12" ht="15.6">
      <c r="B84" s="209"/>
      <c r="C84" s="210">
        <v>3</v>
      </c>
      <c r="D84" s="229" t="s">
        <v>144</v>
      </c>
      <c r="E84" s="230" t="s">
        <v>140</v>
      </c>
      <c r="F84" s="193">
        <v>36</v>
      </c>
      <c r="G84" s="953">
        <v>1758</v>
      </c>
      <c r="H84" s="193">
        <v>1424</v>
      </c>
      <c r="I84" s="193">
        <v>19</v>
      </c>
      <c r="J84" s="432">
        <v>1173</v>
      </c>
      <c r="K84" s="187">
        <v>860</v>
      </c>
      <c r="L84" s="231"/>
    </row>
    <row r="85" spans="2:12" ht="16.149999999999999" thickBot="1">
      <c r="B85" s="209"/>
      <c r="C85" s="213">
        <v>4</v>
      </c>
      <c r="D85" s="232" t="s">
        <v>145</v>
      </c>
      <c r="E85" s="233" t="s">
        <v>146</v>
      </c>
      <c r="F85" s="200">
        <v>36</v>
      </c>
      <c r="G85" s="953">
        <v>1850</v>
      </c>
      <c r="H85" s="200">
        <v>1761</v>
      </c>
      <c r="I85" s="200">
        <v>5</v>
      </c>
      <c r="J85" s="432">
        <v>380</v>
      </c>
      <c r="K85" s="187">
        <v>340</v>
      </c>
      <c r="L85" s="234"/>
    </row>
    <row r="86" spans="2:12" ht="19.5" customHeight="1" thickBot="1">
      <c r="D86" s="204"/>
      <c r="E86" s="205"/>
      <c r="F86" s="205"/>
      <c r="G86" s="235">
        <f>SUM(G82:G85)</f>
        <v>4594</v>
      </c>
      <c r="H86" s="235">
        <f>SUM(H82:H85)</f>
        <v>4090</v>
      </c>
      <c r="I86" s="207"/>
      <c r="J86" s="207"/>
      <c r="K86" s="207"/>
    </row>
    <row r="87" spans="2:12" ht="15.6" thickBot="1">
      <c r="E87" s="1251" t="s">
        <v>168</v>
      </c>
      <c r="F87" s="1382"/>
      <c r="G87" s="1"/>
      <c r="H87" s="208">
        <f>H86*1</f>
        <v>4090</v>
      </c>
      <c r="I87" s="1"/>
      <c r="J87" s="1"/>
      <c r="K87" s="1"/>
    </row>
    <row r="88" spans="2:12">
      <c r="E88" s="1"/>
      <c r="F88" s="1"/>
      <c r="G88" s="1"/>
      <c r="H88" s="1"/>
      <c r="I88" s="1"/>
      <c r="J88" s="1"/>
      <c r="K88" s="1"/>
    </row>
    <row r="89" spans="2:12">
      <c r="E89" s="1"/>
      <c r="F89" s="1"/>
      <c r="G89" s="1"/>
      <c r="H89" s="1"/>
      <c r="I89" s="1"/>
      <c r="J89" s="1"/>
      <c r="K89" s="1"/>
    </row>
    <row r="90" spans="2:12">
      <c r="E90" s="1"/>
      <c r="F90" s="1"/>
      <c r="G90" s="1"/>
      <c r="H90" s="1"/>
      <c r="I90" s="1"/>
      <c r="J90" s="1"/>
      <c r="K90" s="1"/>
    </row>
    <row r="91" spans="2:12">
      <c r="E91" s="1"/>
      <c r="F91" s="1"/>
      <c r="G91" s="1"/>
      <c r="H91" s="1"/>
      <c r="I91" s="1"/>
      <c r="J91" s="1"/>
      <c r="K91" s="1"/>
    </row>
    <row r="92" spans="2:12">
      <c r="E92" s="1"/>
      <c r="F92" s="1"/>
      <c r="G92" s="1"/>
      <c r="H92" s="1"/>
      <c r="I92" s="1"/>
      <c r="J92" s="1"/>
      <c r="K92" s="1"/>
    </row>
    <row r="93" spans="2:12">
      <c r="E93" s="1"/>
      <c r="F93" s="1"/>
      <c r="G93" s="1"/>
      <c r="H93" s="1"/>
      <c r="I93" s="1"/>
      <c r="J93" s="1"/>
      <c r="K93" s="1"/>
    </row>
    <row r="94" spans="2:12">
      <c r="E94" s="1"/>
      <c r="F94" s="1"/>
      <c r="G94" s="1"/>
      <c r="H94" s="1"/>
      <c r="I94" s="1"/>
      <c r="J94" s="1"/>
      <c r="K94" s="1"/>
    </row>
    <row r="95" spans="2:12">
      <c r="E95" s="1"/>
      <c r="F95" s="1"/>
      <c r="G95" s="1"/>
      <c r="H95" s="1"/>
      <c r="I95" s="1"/>
      <c r="J95" s="1"/>
      <c r="K95" s="1"/>
    </row>
    <row r="96" spans="2:12">
      <c r="E96" s="1"/>
      <c r="F96" s="1"/>
      <c r="G96" s="1"/>
      <c r="H96" s="1"/>
      <c r="I96" s="1"/>
      <c r="J96" s="1"/>
      <c r="K96" s="1"/>
    </row>
    <row r="97" spans="5:11">
      <c r="E97" s="1"/>
      <c r="F97" s="1"/>
      <c r="G97" s="1"/>
      <c r="H97" s="1"/>
      <c r="I97" s="1"/>
      <c r="J97" s="1"/>
      <c r="K97" s="1"/>
    </row>
    <row r="98" spans="5:11">
      <c r="E98" s="1"/>
      <c r="F98" s="1"/>
      <c r="G98" s="1"/>
      <c r="H98" s="1"/>
      <c r="I98" s="1"/>
      <c r="J98" s="1"/>
      <c r="K98" s="1"/>
    </row>
    <row r="99" spans="5:11">
      <c r="E99" s="1"/>
      <c r="F99" s="1"/>
      <c r="G99" s="1"/>
      <c r="H99" s="1"/>
      <c r="I99" s="1"/>
      <c r="J99" s="1"/>
      <c r="K99" s="1"/>
    </row>
    <row r="100" spans="5:11">
      <c r="E100" s="1"/>
      <c r="F100" s="1"/>
      <c r="G100" s="1"/>
      <c r="H100" s="1"/>
      <c r="I100" s="1"/>
      <c r="J100" s="1"/>
      <c r="K100" s="1"/>
    </row>
    <row r="101" spans="5:11">
      <c r="E101" s="1"/>
      <c r="F101" s="1"/>
      <c r="G101" s="1"/>
      <c r="H101" s="1"/>
      <c r="I101" s="1"/>
      <c r="J101" s="1"/>
      <c r="K101" s="1"/>
    </row>
    <row r="102" spans="5:11">
      <c r="E102" s="1"/>
      <c r="F102" s="1"/>
      <c r="G102" s="1"/>
      <c r="H102" s="1"/>
      <c r="I102" s="1"/>
      <c r="J102" s="1"/>
      <c r="K102" s="1"/>
    </row>
    <row r="103" spans="5:11">
      <c r="E103" s="1"/>
      <c r="F103" s="1"/>
      <c r="G103" s="1"/>
      <c r="H103" s="1"/>
      <c r="I103" s="1"/>
      <c r="J103" s="1"/>
      <c r="K103" s="1"/>
    </row>
    <row r="104" spans="5:11">
      <c r="E104" s="1"/>
      <c r="F104" s="1"/>
      <c r="G104" s="1"/>
      <c r="H104" s="1"/>
      <c r="I104" s="1"/>
      <c r="J104" s="1"/>
      <c r="K104" s="1"/>
    </row>
    <row r="105" spans="5:11">
      <c r="E105" s="1"/>
      <c r="F105" s="1"/>
      <c r="G105" s="1"/>
      <c r="H105" s="1"/>
      <c r="I105" s="1"/>
      <c r="J105" s="1"/>
      <c r="K105" s="1"/>
    </row>
    <row r="106" spans="5:11">
      <c r="E106" s="1"/>
      <c r="F106" s="1"/>
      <c r="G106" s="1"/>
      <c r="H106" s="1"/>
      <c r="I106" s="1"/>
      <c r="J106" s="1"/>
      <c r="K106" s="1"/>
    </row>
    <row r="107" spans="5:11">
      <c r="E107" s="1"/>
      <c r="F107" s="1"/>
      <c r="G107" s="1"/>
      <c r="H107" s="1"/>
      <c r="I107" s="1"/>
      <c r="J107" s="1"/>
      <c r="K107" s="1"/>
    </row>
    <row r="108" spans="5:11">
      <c r="E108" s="1"/>
      <c r="F108" s="1"/>
      <c r="G108" s="1"/>
      <c r="H108" s="1"/>
      <c r="I108" s="1"/>
      <c r="J108" s="1"/>
      <c r="K108" s="1"/>
    </row>
    <row r="109" spans="5:11">
      <c r="E109" s="1"/>
      <c r="F109" s="1"/>
      <c r="G109" s="1"/>
      <c r="H109" s="1"/>
      <c r="I109" s="1"/>
      <c r="J109" s="1"/>
      <c r="K109" s="1"/>
    </row>
    <row r="110" spans="5:11">
      <c r="E110" s="1"/>
      <c r="F110" s="1"/>
      <c r="G110" s="1"/>
      <c r="H110" s="1"/>
      <c r="I110" s="1"/>
      <c r="J110" s="1"/>
      <c r="K110" s="1"/>
    </row>
    <row r="111" spans="5:11">
      <c r="E111" s="1"/>
      <c r="F111" s="1"/>
      <c r="G111" s="1"/>
      <c r="H111" s="1"/>
      <c r="I111" s="1"/>
      <c r="J111" s="1"/>
      <c r="K111" s="1"/>
    </row>
    <row r="112" spans="5:11">
      <c r="E112" s="1"/>
      <c r="F112" s="1"/>
      <c r="G112" s="1"/>
      <c r="H112" s="1"/>
      <c r="I112" s="1"/>
      <c r="J112" s="1"/>
      <c r="K112" s="1"/>
    </row>
    <row r="113" spans="5:11">
      <c r="E113" s="1"/>
      <c r="F113" s="1"/>
      <c r="G113" s="1"/>
      <c r="H113" s="1"/>
      <c r="I113" s="1"/>
      <c r="J113" s="1"/>
      <c r="K113" s="1"/>
    </row>
    <row r="114" spans="5:11">
      <c r="E114" s="1"/>
      <c r="F114" s="1"/>
      <c r="G114" s="1"/>
      <c r="H114" s="1"/>
      <c r="I114" s="1"/>
      <c r="J114" s="1"/>
      <c r="K114" s="1"/>
    </row>
    <row r="115" spans="5:11">
      <c r="E115" s="1"/>
      <c r="F115" s="1"/>
      <c r="G115" s="1"/>
      <c r="H115" s="1"/>
      <c r="I115" s="1"/>
      <c r="J115" s="1"/>
      <c r="K115" s="1"/>
    </row>
    <row r="116" spans="5:11">
      <c r="E116" s="1"/>
      <c r="F116" s="1"/>
      <c r="G116" s="1"/>
      <c r="H116" s="1"/>
      <c r="I116" s="1"/>
      <c r="J116" s="1"/>
      <c r="K116" s="1"/>
    </row>
    <row r="117" spans="5:11">
      <c r="E117" s="1"/>
      <c r="F117" s="1"/>
      <c r="G117" s="1"/>
      <c r="H117" s="1"/>
      <c r="I117" s="1"/>
      <c r="J117" s="1"/>
      <c r="K117" s="1"/>
    </row>
    <row r="118" spans="5:11">
      <c r="E118" s="1"/>
      <c r="F118" s="1"/>
      <c r="G118" s="1"/>
      <c r="H118" s="1"/>
      <c r="I118" s="1"/>
      <c r="J118" s="1"/>
      <c r="K118" s="1"/>
    </row>
    <row r="119" spans="5:11">
      <c r="E119" s="1"/>
      <c r="F119" s="1"/>
      <c r="G119" s="1"/>
      <c r="H119" s="1"/>
      <c r="I119" s="1"/>
      <c r="J119" s="1"/>
      <c r="K119" s="1"/>
    </row>
    <row r="120" spans="5:11">
      <c r="E120" s="1"/>
      <c r="F120" s="1"/>
      <c r="G120" s="1"/>
      <c r="H120" s="1"/>
      <c r="I120" s="1"/>
      <c r="J120" s="1"/>
      <c r="K120" s="1"/>
    </row>
    <row r="121" spans="5:11">
      <c r="E121" s="1"/>
      <c r="F121" s="1"/>
      <c r="G121" s="1"/>
      <c r="H121" s="1"/>
      <c r="I121" s="1"/>
      <c r="J121" s="1"/>
      <c r="K121" s="1"/>
    </row>
    <row r="122" spans="5:11">
      <c r="E122" s="1"/>
      <c r="F122" s="1"/>
      <c r="G122" s="1"/>
      <c r="H122" s="1"/>
      <c r="I122" s="1"/>
      <c r="J122" s="1"/>
      <c r="K122" s="1"/>
    </row>
    <row r="123" spans="5:11">
      <c r="E123" s="1"/>
      <c r="F123" s="1"/>
      <c r="G123" s="1"/>
      <c r="H123" s="1"/>
      <c r="I123" s="1"/>
      <c r="J123" s="1"/>
      <c r="K123" s="1"/>
    </row>
    <row r="124" spans="5:11">
      <c r="E124" s="1"/>
      <c r="F124" s="1"/>
      <c r="G124" s="1"/>
      <c r="H124" s="1"/>
      <c r="I124" s="1"/>
      <c r="J124" s="1"/>
      <c r="K124" s="1"/>
    </row>
    <row r="125" spans="5:11">
      <c r="E125" s="1"/>
      <c r="F125" s="1"/>
      <c r="G125" s="1"/>
      <c r="H125" s="1"/>
      <c r="I125" s="1"/>
      <c r="J125" s="1"/>
      <c r="K125" s="1"/>
    </row>
    <row r="126" spans="5:11">
      <c r="E126" s="1"/>
      <c r="F126" s="1"/>
      <c r="G126" s="1"/>
      <c r="H126" s="1"/>
      <c r="I126" s="1"/>
      <c r="J126" s="1"/>
      <c r="K126" s="1"/>
    </row>
    <row r="127" spans="5:11">
      <c r="E127" s="1"/>
      <c r="F127" s="1"/>
      <c r="G127" s="1"/>
      <c r="H127" s="1"/>
      <c r="I127" s="1"/>
      <c r="J127" s="1"/>
      <c r="K127" s="1"/>
    </row>
    <row r="128" spans="5:11">
      <c r="E128" s="1"/>
      <c r="F128" s="1"/>
      <c r="G128" s="1"/>
      <c r="H128" s="1"/>
      <c r="I128" s="1"/>
      <c r="J128" s="1"/>
      <c r="K128" s="1"/>
    </row>
    <row r="129" spans="5:11">
      <c r="E129" s="1"/>
      <c r="F129" s="1"/>
      <c r="G129" s="1"/>
      <c r="H129" s="1"/>
      <c r="I129" s="1"/>
      <c r="J129" s="1"/>
      <c r="K129" s="1"/>
    </row>
    <row r="130" spans="5:11">
      <c r="E130" s="1"/>
      <c r="F130" s="1"/>
      <c r="G130" s="1"/>
      <c r="H130" s="1"/>
      <c r="I130" s="1"/>
      <c r="J130" s="1"/>
      <c r="K130" s="1"/>
    </row>
    <row r="131" spans="5:11">
      <c r="E131" s="1"/>
      <c r="F131" s="1"/>
      <c r="G131" s="1"/>
      <c r="H131" s="1"/>
      <c r="I131" s="1"/>
      <c r="J131" s="1"/>
      <c r="K131" s="1"/>
    </row>
    <row r="132" spans="5:11">
      <c r="E132" s="1"/>
      <c r="F132" s="1"/>
      <c r="G132" s="1"/>
      <c r="H132" s="1"/>
      <c r="I132" s="1"/>
      <c r="J132" s="1"/>
      <c r="K132" s="1"/>
    </row>
    <row r="133" spans="5:11">
      <c r="E133" s="1"/>
      <c r="F133" s="1"/>
      <c r="G133" s="1"/>
      <c r="H133" s="1"/>
      <c r="I133" s="1"/>
      <c r="J133" s="1"/>
      <c r="K133" s="1"/>
    </row>
    <row r="134" spans="5:11">
      <c r="E134" s="1"/>
      <c r="F134" s="1"/>
      <c r="G134" s="1"/>
      <c r="H134" s="1"/>
      <c r="I134" s="1"/>
      <c r="J134" s="1"/>
      <c r="K134" s="1"/>
    </row>
    <row r="135" spans="5:11">
      <c r="E135" s="1"/>
      <c r="F135" s="1"/>
      <c r="G135" s="1"/>
      <c r="H135" s="1"/>
      <c r="I135" s="1"/>
      <c r="J135" s="1"/>
      <c r="K135" s="1"/>
    </row>
    <row r="136" spans="5:11">
      <c r="E136" s="1"/>
      <c r="F136" s="1"/>
      <c r="G136" s="1"/>
      <c r="H136" s="1"/>
      <c r="I136" s="1"/>
      <c r="J136" s="1"/>
      <c r="K136" s="1"/>
    </row>
    <row r="137" spans="5:11">
      <c r="E137" s="1"/>
      <c r="F137" s="1"/>
      <c r="G137" s="1"/>
      <c r="H137" s="1"/>
      <c r="I137" s="1"/>
      <c r="J137" s="1"/>
      <c r="K137" s="1"/>
    </row>
    <row r="138" spans="5:11">
      <c r="E138" s="1"/>
      <c r="F138" s="1"/>
      <c r="G138" s="1"/>
      <c r="H138" s="1"/>
      <c r="I138" s="1"/>
      <c r="J138" s="1"/>
      <c r="K138" s="1"/>
    </row>
    <row r="139" spans="5:11">
      <c r="E139" s="1"/>
      <c r="F139" s="1"/>
      <c r="G139" s="1"/>
      <c r="H139" s="1"/>
      <c r="I139" s="1"/>
      <c r="J139" s="1"/>
      <c r="K139" s="1"/>
    </row>
    <row r="140" spans="5:11">
      <c r="E140" s="1"/>
      <c r="F140" s="1"/>
      <c r="G140" s="1"/>
      <c r="H140" s="1"/>
      <c r="I140" s="1"/>
      <c r="J140" s="1"/>
      <c r="K140" s="1"/>
    </row>
    <row r="141" spans="5:11">
      <c r="E141" s="1"/>
      <c r="F141" s="1"/>
      <c r="G141" s="1"/>
      <c r="H141" s="1"/>
      <c r="I141" s="1"/>
      <c r="J141" s="1"/>
      <c r="K141" s="1"/>
    </row>
    <row r="142" spans="5:11">
      <c r="E142" s="1"/>
      <c r="F142" s="1"/>
      <c r="G142" s="1"/>
      <c r="H142" s="1"/>
      <c r="I142" s="1"/>
      <c r="J142" s="1"/>
      <c r="K142" s="1"/>
    </row>
    <row r="143" spans="5:11">
      <c r="E143" s="1"/>
      <c r="F143" s="1"/>
      <c r="G143" s="1"/>
      <c r="H143" s="1"/>
      <c r="I143" s="1"/>
      <c r="J143" s="1"/>
      <c r="K143" s="1"/>
    </row>
    <row r="144" spans="5:11">
      <c r="E144" s="1"/>
      <c r="F144" s="1"/>
      <c r="G144" s="1"/>
      <c r="H144" s="1"/>
      <c r="I144" s="1"/>
      <c r="J144" s="1"/>
      <c r="K144" s="1"/>
    </row>
    <row r="145" spans="5:11">
      <c r="E145" s="1"/>
      <c r="F145" s="1"/>
      <c r="G145" s="1"/>
      <c r="H145" s="1"/>
      <c r="I145" s="1"/>
      <c r="J145" s="1"/>
      <c r="K145" s="1"/>
    </row>
    <row r="146" spans="5:11">
      <c r="E146" s="1"/>
      <c r="F146" s="1"/>
      <c r="G146" s="1"/>
      <c r="H146" s="1"/>
      <c r="I146" s="1"/>
      <c r="J146" s="1"/>
      <c r="K146" s="1"/>
    </row>
    <row r="147" spans="5:11">
      <c r="E147" s="1"/>
      <c r="F147" s="1"/>
      <c r="G147" s="1"/>
      <c r="H147" s="1"/>
      <c r="I147" s="1"/>
      <c r="J147" s="1"/>
      <c r="K147" s="1"/>
    </row>
    <row r="148" spans="5:11">
      <c r="E148" s="1"/>
      <c r="F148" s="1"/>
      <c r="G148" s="1"/>
      <c r="H148" s="1"/>
      <c r="I148" s="1"/>
      <c r="J148" s="1"/>
      <c r="K148" s="1"/>
    </row>
    <row r="149" spans="5:11">
      <c r="E149" s="1"/>
      <c r="F149" s="1"/>
      <c r="G149" s="1"/>
      <c r="H149" s="1"/>
      <c r="I149" s="1"/>
      <c r="J149" s="1"/>
      <c r="K149" s="1"/>
    </row>
    <row r="150" spans="5:11">
      <c r="E150" s="1"/>
      <c r="F150" s="1"/>
      <c r="G150" s="1"/>
      <c r="H150" s="1"/>
      <c r="I150" s="1"/>
      <c r="J150" s="1"/>
      <c r="K150" s="1"/>
    </row>
    <row r="151" spans="5:11">
      <c r="E151" s="1"/>
      <c r="F151" s="1"/>
      <c r="G151" s="1"/>
      <c r="H151" s="1"/>
      <c r="I151" s="1"/>
      <c r="J151" s="1"/>
      <c r="K151" s="1"/>
    </row>
    <row r="152" spans="5:11">
      <c r="E152" s="1"/>
      <c r="F152" s="1"/>
      <c r="G152" s="1"/>
      <c r="H152" s="1"/>
      <c r="I152" s="1"/>
      <c r="J152" s="1"/>
      <c r="K152" s="1"/>
    </row>
    <row r="153" spans="5:11">
      <c r="E153" s="1"/>
      <c r="F153" s="1"/>
      <c r="G153" s="1"/>
      <c r="H153" s="1"/>
      <c r="I153" s="1"/>
      <c r="J153" s="1"/>
      <c r="K153" s="1"/>
    </row>
    <row r="154" spans="5:11">
      <c r="E154" s="1"/>
      <c r="F154" s="1"/>
      <c r="G154" s="1"/>
      <c r="H154" s="1"/>
      <c r="I154" s="1"/>
      <c r="J154" s="1"/>
      <c r="K154" s="1"/>
    </row>
    <row r="155" spans="5:11">
      <c r="E155" s="1"/>
      <c r="F155" s="1"/>
      <c r="G155" s="1"/>
      <c r="H155" s="1"/>
      <c r="I155" s="1"/>
      <c r="J155" s="1"/>
      <c r="K155" s="1"/>
    </row>
    <row r="156" spans="5:11">
      <c r="E156" s="1"/>
      <c r="F156" s="1"/>
      <c r="G156" s="1"/>
      <c r="H156" s="1"/>
      <c r="I156" s="1"/>
      <c r="J156" s="1"/>
      <c r="K156" s="1"/>
    </row>
    <row r="157" spans="5:11">
      <c r="E157" s="1"/>
      <c r="F157" s="1"/>
      <c r="G157" s="1"/>
      <c r="H157" s="1"/>
      <c r="I157" s="1"/>
      <c r="J157" s="1"/>
      <c r="K157" s="1"/>
    </row>
    <row r="158" spans="5:11">
      <c r="E158" s="1"/>
      <c r="F158" s="1"/>
      <c r="G158" s="1"/>
      <c r="H158" s="1"/>
      <c r="I158" s="1"/>
      <c r="J158" s="1"/>
      <c r="K158" s="1"/>
    </row>
    <row r="159" spans="5:11">
      <c r="E159" s="1"/>
      <c r="F159" s="1"/>
      <c r="G159" s="1"/>
      <c r="H159" s="1"/>
      <c r="I159" s="1"/>
      <c r="J159" s="1"/>
      <c r="K159" s="1"/>
    </row>
    <row r="160" spans="5:11">
      <c r="E160" s="1"/>
      <c r="F160" s="1"/>
      <c r="G160" s="1"/>
      <c r="H160" s="1"/>
      <c r="I160" s="1"/>
      <c r="J160" s="1"/>
      <c r="K160" s="1"/>
    </row>
    <row r="161" spans="5:11">
      <c r="E161" s="1"/>
      <c r="F161" s="1"/>
      <c r="G161" s="1"/>
      <c r="H161" s="1"/>
      <c r="I161" s="1"/>
      <c r="J161" s="1"/>
      <c r="K161" s="1"/>
    </row>
    <row r="162" spans="5:11">
      <c r="E162" s="1"/>
      <c r="F162" s="1"/>
      <c r="G162" s="1"/>
      <c r="H162" s="1"/>
      <c r="I162" s="1"/>
      <c r="J162" s="1"/>
      <c r="K162" s="1"/>
    </row>
    <row r="163" spans="5:11">
      <c r="E163" s="1"/>
      <c r="F163" s="1"/>
      <c r="G163" s="1"/>
      <c r="H163" s="1"/>
      <c r="I163" s="1"/>
      <c r="J163" s="1"/>
      <c r="K163" s="1"/>
    </row>
    <row r="164" spans="5:11">
      <c r="E164" s="1"/>
      <c r="F164" s="1"/>
      <c r="G164" s="1"/>
      <c r="H164" s="1"/>
      <c r="I164" s="1"/>
      <c r="J164" s="1"/>
      <c r="K164" s="1"/>
    </row>
    <row r="165" spans="5:11">
      <c r="E165" s="1"/>
      <c r="F165" s="1"/>
      <c r="G165" s="1"/>
      <c r="H165" s="1"/>
      <c r="I165" s="1"/>
      <c r="J165" s="1"/>
      <c r="K165" s="1"/>
    </row>
    <row r="166" spans="5:11">
      <c r="E166" s="1"/>
      <c r="F166" s="1"/>
      <c r="G166" s="1"/>
      <c r="H166" s="1"/>
      <c r="I166" s="1"/>
      <c r="J166" s="1"/>
      <c r="K166" s="1"/>
    </row>
    <row r="167" spans="5:11">
      <c r="E167" s="1"/>
      <c r="F167" s="1"/>
      <c r="G167" s="1"/>
      <c r="H167" s="1"/>
      <c r="I167" s="1"/>
      <c r="J167" s="1"/>
      <c r="K167" s="1"/>
    </row>
    <row r="168" spans="5:11">
      <c r="E168" s="1"/>
      <c r="F168" s="1"/>
      <c r="G168" s="1"/>
      <c r="H168" s="1"/>
      <c r="I168" s="1"/>
      <c r="J168" s="1"/>
      <c r="K168" s="1"/>
    </row>
    <row r="169" spans="5:11">
      <c r="E169" s="1"/>
      <c r="F169" s="1"/>
      <c r="G169" s="1"/>
      <c r="H169" s="1"/>
      <c r="I169" s="1"/>
      <c r="J169" s="1"/>
      <c r="K169" s="1"/>
    </row>
    <row r="170" spans="5:11">
      <c r="E170" s="1"/>
      <c r="F170" s="1"/>
      <c r="G170" s="1"/>
      <c r="H170" s="1"/>
      <c r="I170" s="1"/>
      <c r="J170" s="1"/>
      <c r="K170" s="1"/>
    </row>
    <row r="171" spans="5:11">
      <c r="E171" s="1"/>
      <c r="F171" s="1"/>
      <c r="G171" s="1"/>
      <c r="H171" s="1"/>
      <c r="I171" s="1"/>
      <c r="J171" s="1"/>
      <c r="K171" s="1"/>
    </row>
    <row r="172" spans="5:11">
      <c r="E172" s="1"/>
      <c r="F172" s="1"/>
      <c r="G172" s="1"/>
      <c r="H172" s="1"/>
      <c r="I172" s="1"/>
      <c r="J172" s="1"/>
      <c r="K172" s="1"/>
    </row>
    <row r="173" spans="5:11">
      <c r="E173" s="1"/>
      <c r="F173" s="1"/>
      <c r="G173" s="1"/>
      <c r="H173" s="1"/>
      <c r="I173" s="1"/>
      <c r="J173" s="1"/>
      <c r="K173" s="1"/>
    </row>
    <row r="174" spans="5:11">
      <c r="E174" s="1"/>
      <c r="F174" s="1"/>
      <c r="G174" s="1"/>
      <c r="H174" s="1"/>
      <c r="I174" s="1"/>
      <c r="J174" s="1"/>
      <c r="K174" s="1"/>
    </row>
    <row r="175" spans="5:11">
      <c r="E175" s="1"/>
      <c r="F175" s="1"/>
      <c r="G175" s="1"/>
      <c r="H175" s="1"/>
      <c r="I175" s="1"/>
      <c r="J175" s="1"/>
      <c r="K175" s="1"/>
    </row>
    <row r="176" spans="5:11">
      <c r="E176" s="1"/>
      <c r="F176" s="1"/>
      <c r="G176" s="1"/>
      <c r="H176" s="1"/>
      <c r="I176" s="1"/>
      <c r="J176" s="1"/>
      <c r="K176" s="1"/>
    </row>
    <row r="177" spans="5:11">
      <c r="E177" s="1"/>
      <c r="F177" s="1"/>
      <c r="G177" s="1"/>
      <c r="H177" s="1"/>
      <c r="I177" s="1"/>
      <c r="J177" s="1"/>
      <c r="K177" s="1"/>
    </row>
    <row r="178" spans="5:11">
      <c r="E178" s="1"/>
      <c r="F178" s="1"/>
      <c r="G178" s="1"/>
      <c r="H178" s="1"/>
      <c r="I178" s="1"/>
      <c r="J178" s="1"/>
      <c r="K178" s="1"/>
    </row>
    <row r="179" spans="5:11">
      <c r="E179" s="1"/>
      <c r="F179" s="1"/>
      <c r="G179" s="1"/>
      <c r="H179" s="1"/>
      <c r="I179" s="1"/>
      <c r="J179" s="1"/>
      <c r="K179" s="1"/>
    </row>
    <row r="180" spans="5:11">
      <c r="E180" s="1"/>
      <c r="F180" s="1"/>
      <c r="G180" s="1"/>
      <c r="H180" s="1"/>
      <c r="I180" s="1"/>
      <c r="J180" s="1"/>
      <c r="K180" s="1"/>
    </row>
    <row r="181" spans="5:11">
      <c r="E181" s="1"/>
      <c r="F181" s="1"/>
      <c r="G181" s="1"/>
      <c r="H181" s="1"/>
      <c r="I181" s="1"/>
      <c r="J181" s="1"/>
      <c r="K181" s="1"/>
    </row>
    <row r="182" spans="5:11">
      <c r="E182" s="1"/>
      <c r="F182" s="1"/>
      <c r="G182" s="1"/>
      <c r="H182" s="1"/>
      <c r="I182" s="1"/>
      <c r="J182" s="1"/>
      <c r="K182" s="1"/>
    </row>
    <row r="183" spans="5:11">
      <c r="E183" s="1"/>
      <c r="F183" s="1"/>
      <c r="G183" s="1"/>
      <c r="H183" s="1"/>
      <c r="I183" s="1"/>
      <c r="J183" s="1"/>
      <c r="K183" s="1"/>
    </row>
    <row r="184" spans="5:11">
      <c r="E184" s="1"/>
      <c r="F184" s="1"/>
      <c r="G184" s="1"/>
      <c r="H184" s="1"/>
      <c r="I184" s="1"/>
      <c r="J184" s="1"/>
      <c r="K184" s="1"/>
    </row>
    <row r="185" spans="5:11">
      <c r="E185" s="1"/>
      <c r="F185" s="1"/>
      <c r="G185" s="1"/>
      <c r="H185" s="1"/>
      <c r="I185" s="1"/>
      <c r="J185" s="1"/>
      <c r="K185" s="1"/>
    </row>
    <row r="186" spans="5:11">
      <c r="E186" s="1"/>
      <c r="F186" s="1"/>
      <c r="G186" s="1"/>
      <c r="H186" s="1"/>
      <c r="I186" s="1"/>
      <c r="J186" s="1"/>
      <c r="K186" s="1"/>
    </row>
    <row r="187" spans="5:11">
      <c r="E187" s="1"/>
      <c r="F187" s="1"/>
      <c r="G187" s="1"/>
      <c r="H187" s="1"/>
      <c r="I187" s="1"/>
      <c r="J187" s="1"/>
      <c r="K187" s="1"/>
    </row>
    <row r="188" spans="5:11">
      <c r="E188" s="1"/>
      <c r="F188" s="1"/>
      <c r="G188" s="1"/>
      <c r="H188" s="1"/>
      <c r="I188" s="1"/>
      <c r="J188" s="1"/>
      <c r="K188" s="1"/>
    </row>
    <row r="189" spans="5:11">
      <c r="E189" s="1"/>
      <c r="F189" s="1"/>
      <c r="G189" s="1"/>
      <c r="H189" s="1"/>
      <c r="I189" s="1"/>
      <c r="J189" s="1"/>
      <c r="K189" s="1"/>
    </row>
    <row r="190" spans="5:11">
      <c r="E190" s="1"/>
      <c r="F190" s="1"/>
      <c r="G190" s="1"/>
      <c r="H190" s="1"/>
      <c r="I190" s="1"/>
      <c r="J190" s="1"/>
      <c r="K190" s="1"/>
    </row>
    <row r="191" spans="5:11">
      <c r="E191" s="1"/>
      <c r="F191" s="1"/>
      <c r="G191" s="1"/>
      <c r="H191" s="1"/>
      <c r="I191" s="1"/>
      <c r="J191" s="1"/>
      <c r="K191" s="1"/>
    </row>
    <row r="192" spans="5:11">
      <c r="E192" s="1"/>
      <c r="F192" s="1"/>
      <c r="G192" s="1"/>
      <c r="H192" s="1"/>
      <c r="I192" s="1"/>
      <c r="J192" s="1"/>
      <c r="K192" s="1"/>
    </row>
    <row r="193" spans="5:11">
      <c r="E193" s="1"/>
      <c r="F193" s="1"/>
      <c r="G193" s="1"/>
      <c r="H193" s="1"/>
      <c r="I193" s="1"/>
      <c r="J193" s="1"/>
      <c r="K193" s="1"/>
    </row>
    <row r="194" spans="5:11">
      <c r="E194" s="1"/>
      <c r="F194" s="1"/>
      <c r="G194" s="1"/>
      <c r="H194" s="1"/>
      <c r="I194" s="1"/>
      <c r="J194" s="1"/>
      <c r="K194" s="1"/>
    </row>
    <row r="195" spans="5:11">
      <c r="E195" s="1"/>
      <c r="F195" s="1"/>
      <c r="G195" s="1"/>
      <c r="H195" s="1"/>
      <c r="I195" s="1"/>
      <c r="J195" s="1"/>
      <c r="K195" s="1"/>
    </row>
    <row r="196" spans="5:11">
      <c r="E196" s="1"/>
      <c r="F196" s="1"/>
      <c r="G196" s="1"/>
      <c r="H196" s="1"/>
      <c r="I196" s="1"/>
      <c r="J196" s="1"/>
      <c r="K196" s="1"/>
    </row>
    <row r="197" spans="5:11">
      <c r="E197" s="1"/>
      <c r="F197" s="1"/>
      <c r="G197" s="1"/>
      <c r="H197" s="1"/>
      <c r="I197" s="1"/>
      <c r="J197" s="1"/>
      <c r="K197" s="1"/>
    </row>
    <row r="198" spans="5:11">
      <c r="E198" s="1"/>
      <c r="F198" s="1"/>
      <c r="G198" s="1"/>
      <c r="H198" s="1"/>
      <c r="I198" s="1"/>
      <c r="J198" s="1"/>
      <c r="K198" s="1"/>
    </row>
    <row r="199" spans="5:11">
      <c r="E199" s="1"/>
      <c r="F199" s="1"/>
      <c r="G199" s="1"/>
      <c r="H199" s="1"/>
      <c r="I199" s="1"/>
      <c r="J199" s="1"/>
      <c r="K199" s="1"/>
    </row>
    <row r="200" spans="5:11">
      <c r="E200" s="1"/>
      <c r="F200" s="1"/>
      <c r="G200" s="1"/>
      <c r="H200" s="1"/>
      <c r="I200" s="1"/>
      <c r="J200" s="1"/>
      <c r="K200" s="1"/>
    </row>
    <row r="201" spans="5:11">
      <c r="E201" s="1"/>
      <c r="F201" s="1"/>
      <c r="G201" s="1"/>
      <c r="H201" s="1"/>
      <c r="I201" s="1"/>
      <c r="J201" s="1"/>
      <c r="K201" s="1"/>
    </row>
    <row r="202" spans="5:11">
      <c r="E202" s="1"/>
      <c r="F202" s="1"/>
      <c r="G202" s="1"/>
      <c r="H202" s="1"/>
      <c r="I202" s="1"/>
      <c r="J202" s="1"/>
      <c r="K202" s="1"/>
    </row>
    <row r="203" spans="5:11">
      <c r="E203" s="1"/>
      <c r="F203" s="1"/>
      <c r="G203" s="1"/>
      <c r="H203" s="1"/>
      <c r="I203" s="1"/>
      <c r="J203" s="1"/>
      <c r="K203" s="1"/>
    </row>
    <row r="204" spans="5:11">
      <c r="E204" s="1"/>
      <c r="F204" s="1"/>
      <c r="G204" s="1"/>
      <c r="H204" s="1"/>
      <c r="I204" s="1"/>
      <c r="J204" s="1"/>
      <c r="K204" s="1"/>
    </row>
    <row r="205" spans="5:11">
      <c r="E205" s="1"/>
      <c r="F205" s="1"/>
      <c r="G205" s="1"/>
      <c r="H205" s="1"/>
      <c r="I205" s="1"/>
      <c r="J205" s="1"/>
      <c r="K205" s="1"/>
    </row>
    <row r="206" spans="5:11">
      <c r="E206" s="1"/>
      <c r="F206" s="1"/>
      <c r="G206" s="1"/>
      <c r="H206" s="1"/>
      <c r="I206" s="1"/>
      <c r="J206" s="1"/>
      <c r="K206" s="1"/>
    </row>
    <row r="207" spans="5:11">
      <c r="E207" s="1"/>
      <c r="F207" s="1"/>
      <c r="G207" s="1"/>
      <c r="H207" s="1"/>
      <c r="I207" s="1"/>
      <c r="J207" s="1"/>
      <c r="K207" s="1"/>
    </row>
    <row r="208" spans="5:11">
      <c r="E208" s="1"/>
      <c r="F208" s="1"/>
      <c r="G208" s="1"/>
      <c r="H208" s="1"/>
      <c r="I208" s="1"/>
      <c r="J208" s="1"/>
      <c r="K208" s="1"/>
    </row>
    <row r="209" spans="5:11">
      <c r="E209" s="1"/>
      <c r="F209" s="1"/>
      <c r="G209" s="1"/>
      <c r="H209" s="1"/>
      <c r="I209" s="1"/>
      <c r="J209" s="1"/>
      <c r="K209" s="1"/>
    </row>
    <row r="210" spans="5:11">
      <c r="E210" s="1"/>
      <c r="F210" s="1"/>
      <c r="G210" s="1"/>
      <c r="H210" s="1"/>
      <c r="I210" s="1"/>
      <c r="J210" s="1"/>
      <c r="K210" s="1"/>
    </row>
    <row r="211" spans="5:11">
      <c r="E211" s="1"/>
      <c r="F211" s="1"/>
      <c r="G211" s="1"/>
      <c r="H211" s="1"/>
      <c r="I211" s="1"/>
      <c r="J211" s="1"/>
      <c r="K211" s="1"/>
    </row>
    <row r="212" spans="5:11">
      <c r="E212" s="1"/>
      <c r="F212" s="1"/>
      <c r="G212" s="1"/>
      <c r="H212" s="1"/>
      <c r="I212" s="1"/>
      <c r="J212" s="1"/>
      <c r="K212" s="1"/>
    </row>
    <row r="213" spans="5:11">
      <c r="E213" s="1"/>
      <c r="F213" s="1"/>
      <c r="G213" s="1"/>
      <c r="H213" s="1"/>
      <c r="I213" s="1"/>
      <c r="J213" s="1"/>
      <c r="K213" s="1"/>
    </row>
    <row r="214" spans="5:11">
      <c r="E214" s="1"/>
      <c r="F214" s="1"/>
      <c r="G214" s="1"/>
      <c r="H214" s="1"/>
      <c r="I214" s="1"/>
      <c r="J214" s="1"/>
      <c r="K214" s="1"/>
    </row>
    <row r="215" spans="5:11">
      <c r="E215" s="1"/>
      <c r="F215" s="1"/>
      <c r="G215" s="1"/>
      <c r="H215" s="1"/>
      <c r="I215" s="1"/>
      <c r="J215" s="1"/>
      <c r="K215" s="1"/>
    </row>
    <row r="216" spans="5:11">
      <c r="E216" s="1"/>
      <c r="F216" s="1"/>
      <c r="G216" s="1"/>
      <c r="H216" s="1"/>
      <c r="I216" s="1"/>
      <c r="J216" s="1"/>
      <c r="K216" s="1"/>
    </row>
    <row r="217" spans="5:11">
      <c r="E217" s="1"/>
      <c r="F217" s="1"/>
      <c r="G217" s="1"/>
      <c r="H217" s="1"/>
      <c r="I217" s="1"/>
      <c r="J217" s="1"/>
      <c r="K217" s="1"/>
    </row>
    <row r="218" spans="5:11">
      <c r="E218" s="1"/>
      <c r="F218" s="1"/>
      <c r="G218" s="1"/>
      <c r="H218" s="1"/>
      <c r="I218" s="1"/>
      <c r="J218" s="1"/>
      <c r="K218" s="1"/>
    </row>
    <row r="219" spans="5:11">
      <c r="E219" s="1"/>
      <c r="F219" s="1"/>
      <c r="G219" s="1"/>
      <c r="H219" s="1"/>
      <c r="I219" s="1"/>
      <c r="J219" s="1"/>
      <c r="K219" s="1"/>
    </row>
    <row r="220" spans="5:11">
      <c r="E220" s="1"/>
      <c r="F220" s="1"/>
      <c r="G220" s="1"/>
      <c r="H220" s="1"/>
      <c r="I220" s="1"/>
      <c r="J220" s="1"/>
      <c r="K220" s="1"/>
    </row>
    <row r="221" spans="5:11">
      <c r="E221" s="1"/>
      <c r="F221" s="1"/>
      <c r="G221" s="1"/>
      <c r="H221" s="1"/>
      <c r="I221" s="1"/>
      <c r="J221" s="1"/>
      <c r="K221" s="1"/>
    </row>
    <row r="222" spans="5:11">
      <c r="E222" s="1"/>
      <c r="F222" s="1"/>
      <c r="G222" s="1"/>
      <c r="H222" s="1"/>
      <c r="I222" s="1"/>
      <c r="J222" s="1"/>
      <c r="K222" s="1"/>
    </row>
    <row r="223" spans="5:11">
      <c r="E223" s="1"/>
      <c r="F223" s="1"/>
      <c r="G223" s="1"/>
      <c r="H223" s="1"/>
      <c r="I223" s="1"/>
      <c r="J223" s="1"/>
      <c r="K223" s="1"/>
    </row>
    <row r="224" spans="5:11">
      <c r="E224" s="1"/>
      <c r="F224" s="1"/>
      <c r="G224" s="1"/>
      <c r="H224" s="1"/>
      <c r="I224" s="1"/>
      <c r="J224" s="1"/>
      <c r="K224" s="1"/>
    </row>
    <row r="225" spans="5:11">
      <c r="E225" s="1"/>
      <c r="F225" s="1"/>
      <c r="G225" s="1"/>
      <c r="H225" s="1"/>
      <c r="I225" s="1"/>
      <c r="J225" s="1"/>
      <c r="K225" s="1"/>
    </row>
    <row r="226" spans="5:11">
      <c r="E226" s="1"/>
      <c r="F226" s="1"/>
      <c r="G226" s="1"/>
      <c r="H226" s="1"/>
      <c r="I226" s="1"/>
      <c r="J226" s="1"/>
      <c r="K226" s="1"/>
    </row>
    <row r="227" spans="5:11">
      <c r="E227" s="1"/>
      <c r="F227" s="1"/>
      <c r="G227" s="1"/>
      <c r="H227" s="1"/>
      <c r="I227" s="1"/>
      <c r="J227" s="1"/>
      <c r="K227" s="1"/>
    </row>
    <row r="228" spans="5:11">
      <c r="E228" s="1"/>
      <c r="F228" s="1"/>
      <c r="G228" s="1"/>
      <c r="H228" s="1"/>
      <c r="I228" s="1"/>
      <c r="J228" s="1"/>
      <c r="K228" s="1"/>
    </row>
    <row r="229" spans="5:11">
      <c r="E229" s="1"/>
      <c r="F229" s="1"/>
      <c r="G229" s="1"/>
      <c r="H229" s="1"/>
      <c r="I229" s="1"/>
      <c r="J229" s="1"/>
      <c r="K229" s="1"/>
    </row>
    <row r="230" spans="5:11">
      <c r="E230" s="1"/>
      <c r="F230" s="1"/>
      <c r="G230" s="1"/>
      <c r="H230" s="1"/>
      <c r="I230" s="1"/>
      <c r="J230" s="1"/>
      <c r="K230" s="1"/>
    </row>
    <row r="231" spans="5:11">
      <c r="E231" s="1"/>
      <c r="F231" s="1"/>
      <c r="G231" s="1"/>
      <c r="H231" s="1"/>
      <c r="I231" s="1"/>
      <c r="J231" s="1"/>
      <c r="K231" s="1"/>
    </row>
    <row r="232" spans="5:11">
      <c r="E232" s="1"/>
      <c r="F232" s="1"/>
      <c r="G232" s="1"/>
      <c r="H232" s="1"/>
      <c r="I232" s="1"/>
      <c r="J232" s="1"/>
      <c r="K232" s="1"/>
    </row>
    <row r="233" spans="5:11">
      <c r="E233" s="1"/>
      <c r="F233" s="1"/>
      <c r="G233" s="1"/>
      <c r="H233" s="1"/>
      <c r="I233" s="1"/>
      <c r="J233" s="1"/>
      <c r="K233" s="1"/>
    </row>
    <row r="234" spans="5:11">
      <c r="E234" s="1"/>
      <c r="F234" s="1"/>
      <c r="G234" s="1"/>
      <c r="H234" s="1"/>
      <c r="I234" s="1"/>
      <c r="J234" s="1"/>
      <c r="K234" s="1"/>
    </row>
    <row r="235" spans="5:11">
      <c r="E235" s="1"/>
      <c r="F235" s="1"/>
      <c r="G235" s="1"/>
      <c r="H235" s="1"/>
      <c r="I235" s="1"/>
      <c r="J235" s="1"/>
      <c r="K235" s="1"/>
    </row>
    <row r="236" spans="5:11">
      <c r="E236" s="1"/>
      <c r="F236" s="1"/>
      <c r="G236" s="1"/>
      <c r="H236" s="1"/>
      <c r="I236" s="1"/>
      <c r="J236" s="1"/>
      <c r="K236" s="1"/>
    </row>
    <row r="237" spans="5:11">
      <c r="E237" s="1"/>
      <c r="F237" s="1"/>
      <c r="G237" s="1"/>
      <c r="H237" s="1"/>
      <c r="I237" s="1"/>
      <c r="J237" s="1"/>
      <c r="K237" s="1"/>
    </row>
    <row r="238" spans="5:11">
      <c r="E238" s="1"/>
      <c r="F238" s="1"/>
      <c r="G238" s="1"/>
      <c r="H238" s="1"/>
      <c r="I238" s="1"/>
      <c r="J238" s="1"/>
      <c r="K238" s="1"/>
    </row>
    <row r="239" spans="5:11">
      <c r="E239" s="1"/>
      <c r="F239" s="1"/>
      <c r="G239" s="1"/>
      <c r="H239" s="1"/>
      <c r="I239" s="1"/>
      <c r="J239" s="1"/>
      <c r="K239" s="1"/>
    </row>
    <row r="240" spans="5:11">
      <c r="E240" s="1"/>
      <c r="F240" s="1"/>
      <c r="G240" s="1"/>
      <c r="H240" s="1"/>
      <c r="I240" s="1"/>
      <c r="J240" s="1"/>
      <c r="K240" s="1"/>
    </row>
    <row r="241" spans="5:11">
      <c r="E241" s="1"/>
      <c r="F241" s="1"/>
      <c r="G241" s="1"/>
      <c r="H241" s="1"/>
      <c r="I241" s="1"/>
      <c r="J241" s="1"/>
      <c r="K241" s="1"/>
    </row>
    <row r="242" spans="5:11">
      <c r="E242" s="1"/>
      <c r="F242" s="1"/>
      <c r="G242" s="1"/>
      <c r="H242" s="1"/>
      <c r="I242" s="1"/>
      <c r="J242" s="1"/>
      <c r="K242" s="1"/>
    </row>
    <row r="243" spans="5:11">
      <c r="E243" s="1"/>
      <c r="F243" s="1"/>
      <c r="G243" s="1"/>
      <c r="H243" s="1"/>
      <c r="I243" s="1"/>
      <c r="J243" s="1"/>
      <c r="K243" s="1"/>
    </row>
    <row r="244" spans="5:11">
      <c r="E244" s="1"/>
      <c r="F244" s="1"/>
      <c r="G244" s="1"/>
      <c r="H244" s="1"/>
      <c r="I244" s="1"/>
      <c r="J244" s="1"/>
      <c r="K244" s="1"/>
    </row>
    <row r="245" spans="5:11">
      <c r="E245" s="1"/>
      <c r="F245" s="1"/>
      <c r="G245" s="1"/>
      <c r="H245" s="1"/>
      <c r="I245" s="1"/>
      <c r="J245" s="1"/>
      <c r="K245" s="1"/>
    </row>
    <row r="246" spans="5:11">
      <c r="E246" s="1"/>
      <c r="F246" s="1"/>
      <c r="G246" s="1"/>
      <c r="H246" s="1"/>
      <c r="I246" s="1"/>
      <c r="J246" s="1"/>
      <c r="K246" s="1"/>
    </row>
    <row r="247" spans="5:11">
      <c r="E247" s="1"/>
      <c r="F247" s="1"/>
      <c r="G247" s="1"/>
      <c r="H247" s="1"/>
      <c r="I247" s="1"/>
      <c r="J247" s="1"/>
      <c r="K247" s="1"/>
    </row>
    <row r="248" spans="5:11">
      <c r="E248" s="1"/>
      <c r="F248" s="1"/>
      <c r="G248" s="1"/>
      <c r="H248" s="1"/>
      <c r="I248" s="1"/>
      <c r="J248" s="1"/>
      <c r="K248" s="1"/>
    </row>
    <row r="249" spans="5:11">
      <c r="E249" s="1"/>
      <c r="F249" s="1"/>
      <c r="G249" s="1"/>
      <c r="H249" s="1"/>
      <c r="I249" s="1"/>
      <c r="J249" s="1"/>
      <c r="K249" s="1"/>
    </row>
    <row r="250" spans="5:11">
      <c r="E250" s="1"/>
      <c r="F250" s="1"/>
      <c r="G250" s="1"/>
      <c r="H250" s="1"/>
      <c r="I250" s="1"/>
      <c r="J250" s="1"/>
      <c r="K250" s="1"/>
    </row>
    <row r="251" spans="5:11">
      <c r="E251" s="1"/>
      <c r="F251" s="1"/>
      <c r="G251" s="1"/>
      <c r="H251" s="1"/>
      <c r="I251" s="1"/>
      <c r="J251" s="1"/>
      <c r="K251" s="1"/>
    </row>
    <row r="252" spans="5:11">
      <c r="E252" s="1"/>
      <c r="F252" s="1"/>
      <c r="G252" s="1"/>
      <c r="H252" s="1"/>
      <c r="I252" s="1"/>
      <c r="J252" s="1"/>
      <c r="K252" s="1"/>
    </row>
    <row r="253" spans="5:11">
      <c r="E253" s="1"/>
      <c r="F253" s="1"/>
      <c r="G253" s="1"/>
      <c r="H253" s="1"/>
      <c r="I253" s="1"/>
      <c r="J253" s="1"/>
      <c r="K253" s="1"/>
    </row>
    <row r="254" spans="5:11">
      <c r="E254" s="1"/>
      <c r="F254" s="1"/>
      <c r="G254" s="1"/>
      <c r="H254" s="1"/>
      <c r="I254" s="1"/>
      <c r="J254" s="1"/>
      <c r="K254" s="1"/>
    </row>
    <row r="255" spans="5:11">
      <c r="E255" s="1"/>
      <c r="F255" s="1"/>
      <c r="G255" s="1"/>
      <c r="H255" s="1"/>
      <c r="I255" s="1"/>
      <c r="J255" s="1"/>
      <c r="K255" s="1"/>
    </row>
    <row r="256" spans="5:11">
      <c r="E256" s="1"/>
      <c r="F256" s="1"/>
      <c r="G256" s="1"/>
      <c r="H256" s="1"/>
      <c r="I256" s="1"/>
      <c r="J256" s="1"/>
      <c r="K256" s="1"/>
    </row>
    <row r="257" spans="5:11">
      <c r="E257" s="1"/>
      <c r="F257" s="1"/>
      <c r="G257" s="1"/>
      <c r="H257" s="1"/>
      <c r="I257" s="1"/>
      <c r="J257" s="1"/>
      <c r="K257" s="1"/>
    </row>
    <row r="258" spans="5:11">
      <c r="E258" s="1"/>
      <c r="F258" s="1"/>
      <c r="G258" s="1"/>
      <c r="H258" s="1"/>
      <c r="I258" s="1"/>
      <c r="J258" s="1"/>
      <c r="K258" s="1"/>
    </row>
    <row r="259" spans="5:11">
      <c r="E259" s="1"/>
      <c r="F259" s="1"/>
      <c r="G259" s="1"/>
      <c r="H259" s="1"/>
      <c r="I259" s="1"/>
      <c r="J259" s="1"/>
      <c r="K259" s="1"/>
    </row>
    <row r="260" spans="5:11">
      <c r="E260" s="1"/>
      <c r="F260" s="1"/>
      <c r="G260" s="1"/>
      <c r="H260" s="1"/>
      <c r="I260" s="1"/>
      <c r="J260" s="1"/>
      <c r="K260" s="1"/>
    </row>
    <row r="261" spans="5:11">
      <c r="E261" s="1"/>
      <c r="F261" s="1"/>
      <c r="G261" s="1"/>
      <c r="H261" s="1"/>
      <c r="I261" s="1"/>
      <c r="J261" s="1"/>
      <c r="K261" s="1"/>
    </row>
    <row r="262" spans="5:11">
      <c r="E262" s="1"/>
      <c r="F262" s="1"/>
      <c r="G262" s="1"/>
      <c r="H262" s="1"/>
      <c r="I262" s="1"/>
      <c r="J262" s="1"/>
      <c r="K262" s="1"/>
    </row>
    <row r="263" spans="5:11">
      <c r="E263" s="1"/>
      <c r="F263" s="1"/>
      <c r="G263" s="1"/>
      <c r="H263" s="1"/>
      <c r="I263" s="1"/>
      <c r="J263" s="1"/>
      <c r="K263" s="1"/>
    </row>
    <row r="264" spans="5:11">
      <c r="E264" s="1"/>
      <c r="F264" s="1"/>
      <c r="G264" s="1"/>
      <c r="H264" s="1"/>
      <c r="I264" s="1"/>
      <c r="J264" s="1"/>
      <c r="K264" s="1"/>
    </row>
    <row r="265" spans="5:11">
      <c r="E265" s="1"/>
      <c r="F265" s="1"/>
      <c r="G265" s="1"/>
      <c r="H265" s="1"/>
      <c r="I265" s="1"/>
      <c r="J265" s="1"/>
      <c r="K265" s="1"/>
    </row>
    <row r="266" spans="5:11">
      <c r="E266" s="1"/>
      <c r="F266" s="1"/>
      <c r="G266" s="1"/>
      <c r="H266" s="1"/>
      <c r="I266" s="1"/>
      <c r="J266" s="1"/>
      <c r="K266" s="1"/>
    </row>
    <row r="267" spans="5:11">
      <c r="E267" s="1"/>
      <c r="F267" s="1"/>
      <c r="G267" s="1"/>
      <c r="H267" s="1"/>
      <c r="I267" s="1"/>
      <c r="J267" s="1"/>
      <c r="K267" s="1"/>
    </row>
    <row r="268" spans="5:11">
      <c r="E268" s="1"/>
      <c r="F268" s="1"/>
      <c r="G268" s="1"/>
      <c r="H268" s="1"/>
      <c r="I268" s="1"/>
      <c r="J268" s="1"/>
      <c r="K268" s="1"/>
    </row>
    <row r="269" spans="5:11">
      <c r="E269" s="1"/>
      <c r="F269" s="1"/>
      <c r="G269" s="1"/>
      <c r="H269" s="1"/>
      <c r="I269" s="1"/>
      <c r="J269" s="1"/>
      <c r="K269" s="1"/>
    </row>
    <row r="270" spans="5:11">
      <c r="E270" s="1"/>
      <c r="F270" s="1"/>
      <c r="G270" s="1"/>
      <c r="H270" s="1"/>
      <c r="I270" s="1"/>
      <c r="J270" s="1"/>
      <c r="K270" s="1"/>
    </row>
    <row r="271" spans="5:11">
      <c r="E271" s="1"/>
      <c r="F271" s="1"/>
      <c r="G271" s="1"/>
      <c r="H271" s="1"/>
      <c r="I271" s="1"/>
      <c r="J271" s="1"/>
      <c r="K271" s="1"/>
    </row>
    <row r="272" spans="5:11">
      <c r="E272" s="1"/>
      <c r="F272" s="1"/>
      <c r="G272" s="1"/>
      <c r="H272" s="1"/>
      <c r="I272" s="1"/>
      <c r="J272" s="1"/>
      <c r="K272" s="1"/>
    </row>
    <row r="273" spans="5:11">
      <c r="E273" s="1"/>
      <c r="F273" s="1"/>
      <c r="G273" s="1"/>
      <c r="H273" s="1"/>
      <c r="I273" s="1"/>
      <c r="J273" s="1"/>
      <c r="K273" s="1"/>
    </row>
    <row r="274" spans="5:11">
      <c r="E274" s="1"/>
      <c r="F274" s="1"/>
      <c r="G274" s="1"/>
      <c r="H274" s="1"/>
      <c r="I274" s="1"/>
      <c r="J274" s="1"/>
      <c r="K274" s="1"/>
    </row>
    <row r="275" spans="5:11">
      <c r="E275" s="1"/>
      <c r="F275" s="1"/>
      <c r="G275" s="1"/>
      <c r="H275" s="1"/>
      <c r="I275" s="1"/>
      <c r="J275" s="1"/>
      <c r="K275" s="1"/>
    </row>
    <row r="276" spans="5:11">
      <c r="E276" s="1"/>
      <c r="F276" s="1"/>
      <c r="G276" s="1"/>
      <c r="H276" s="1"/>
      <c r="I276" s="1"/>
      <c r="J276" s="1"/>
      <c r="K276" s="1"/>
    </row>
    <row r="277" spans="5:11">
      <c r="E277" s="1"/>
      <c r="F277" s="1"/>
      <c r="G277" s="1"/>
      <c r="H277" s="1"/>
      <c r="I277" s="1"/>
      <c r="J277" s="1"/>
      <c r="K277" s="1"/>
    </row>
    <row r="278" spans="5:11">
      <c r="E278" s="1"/>
      <c r="F278" s="1"/>
      <c r="G278" s="1"/>
      <c r="H278" s="1"/>
      <c r="I278" s="1"/>
      <c r="J278" s="1"/>
      <c r="K278" s="1"/>
    </row>
    <row r="279" spans="5:11">
      <c r="E279" s="1"/>
      <c r="F279" s="1"/>
      <c r="G279" s="1"/>
      <c r="H279" s="1"/>
      <c r="I279" s="1"/>
      <c r="J279" s="1"/>
      <c r="K279" s="1"/>
    </row>
    <row r="280" spans="5:11">
      <c r="E280" s="1"/>
      <c r="F280" s="1"/>
      <c r="G280" s="1"/>
      <c r="H280" s="1"/>
      <c r="I280" s="1"/>
      <c r="J280" s="1"/>
      <c r="K280" s="1"/>
    </row>
    <row r="281" spans="5:11">
      <c r="E281" s="1"/>
      <c r="F281" s="1"/>
      <c r="G281" s="1"/>
      <c r="H281" s="1"/>
      <c r="I281" s="1"/>
      <c r="J281" s="1"/>
      <c r="K281" s="1"/>
    </row>
    <row r="282" spans="5:11">
      <c r="E282" s="1"/>
      <c r="F282" s="1"/>
      <c r="G282" s="1"/>
      <c r="H282" s="1"/>
      <c r="I282" s="1"/>
      <c r="J282" s="1"/>
      <c r="K282" s="1"/>
    </row>
    <row r="283" spans="5:11">
      <c r="E283" s="1"/>
      <c r="F283" s="1"/>
      <c r="G283" s="1"/>
      <c r="H283" s="1"/>
      <c r="I283" s="1"/>
      <c r="J283" s="1"/>
      <c r="K283" s="1"/>
    </row>
    <row r="284" spans="5:11">
      <c r="E284" s="1"/>
      <c r="F284" s="1"/>
      <c r="G284" s="1"/>
      <c r="H284" s="1"/>
      <c r="I284" s="1"/>
      <c r="J284" s="1"/>
      <c r="K284" s="1"/>
    </row>
    <row r="285" spans="5:11">
      <c r="E285" s="1"/>
      <c r="F285" s="1"/>
      <c r="G285" s="1"/>
      <c r="H285" s="1"/>
      <c r="I285" s="1"/>
      <c r="J285" s="1"/>
      <c r="K285" s="1"/>
    </row>
    <row r="286" spans="5:11">
      <c r="E286" s="1"/>
      <c r="F286" s="1"/>
      <c r="G286" s="1"/>
      <c r="H286" s="1"/>
      <c r="I286" s="1"/>
      <c r="J286" s="1"/>
      <c r="K286" s="1"/>
    </row>
    <row r="287" spans="5:11">
      <c r="E287" s="1"/>
      <c r="F287" s="1"/>
      <c r="G287" s="1"/>
      <c r="H287" s="1"/>
      <c r="I287" s="1"/>
      <c r="J287" s="1"/>
      <c r="K287" s="1"/>
    </row>
    <row r="288" spans="5:11">
      <c r="E288" s="1"/>
      <c r="F288" s="1"/>
      <c r="G288" s="1"/>
      <c r="H288" s="1"/>
      <c r="I288" s="1"/>
      <c r="J288" s="1"/>
      <c r="K288" s="1"/>
    </row>
    <row r="289" spans="5:11">
      <c r="E289" s="1"/>
      <c r="F289" s="1"/>
      <c r="G289" s="1"/>
      <c r="H289" s="1"/>
      <c r="I289" s="1"/>
      <c r="J289" s="1"/>
      <c r="K289" s="1"/>
    </row>
    <row r="290" spans="5:11">
      <c r="E290" s="1"/>
      <c r="F290" s="1"/>
      <c r="G290" s="1"/>
      <c r="H290" s="1"/>
      <c r="I290" s="1"/>
      <c r="J290" s="1"/>
      <c r="K290" s="1"/>
    </row>
    <row r="291" spans="5:11">
      <c r="E291" s="1"/>
      <c r="F291" s="1"/>
      <c r="G291" s="1"/>
      <c r="H291" s="1"/>
      <c r="I291" s="1"/>
      <c r="J291" s="1"/>
      <c r="K291" s="1"/>
    </row>
    <row r="292" spans="5:11">
      <c r="E292" s="1"/>
      <c r="F292" s="1"/>
      <c r="G292" s="1"/>
      <c r="H292" s="1"/>
      <c r="I292" s="1"/>
      <c r="J292" s="1"/>
      <c r="K292" s="1"/>
    </row>
    <row r="293" spans="5:11">
      <c r="E293" s="1"/>
      <c r="F293" s="1"/>
      <c r="G293" s="1"/>
      <c r="H293" s="1"/>
      <c r="I293" s="1"/>
      <c r="J293" s="1"/>
      <c r="K293" s="1"/>
    </row>
    <row r="294" spans="5:11">
      <c r="E294" s="1"/>
      <c r="F294" s="1"/>
      <c r="G294" s="1"/>
      <c r="H294" s="1"/>
      <c r="I294" s="1"/>
      <c r="J294" s="1"/>
      <c r="K294" s="1"/>
    </row>
    <row r="295" spans="5:11">
      <c r="E295" s="1"/>
      <c r="F295" s="1"/>
      <c r="G295" s="1"/>
      <c r="H295" s="1"/>
      <c r="I295" s="1"/>
      <c r="J295" s="1"/>
      <c r="K295" s="1"/>
    </row>
    <row r="296" spans="5:11">
      <c r="E296" s="1"/>
      <c r="F296" s="1"/>
      <c r="G296" s="1"/>
      <c r="H296" s="1"/>
      <c r="I296" s="1"/>
      <c r="J296" s="1"/>
      <c r="K296" s="1"/>
    </row>
    <row r="297" spans="5:11">
      <c r="E297" s="1"/>
      <c r="F297" s="1"/>
      <c r="G297" s="1"/>
      <c r="H297" s="1"/>
      <c r="I297" s="1"/>
      <c r="J297" s="1"/>
      <c r="K297" s="1"/>
    </row>
    <row r="298" spans="5:11">
      <c r="E298" s="1"/>
      <c r="F298" s="1"/>
      <c r="G298" s="1"/>
      <c r="H298" s="1"/>
      <c r="I298" s="1"/>
      <c r="J298" s="1"/>
      <c r="K298" s="1"/>
    </row>
    <row r="299" spans="5:11">
      <c r="E299" s="1"/>
      <c r="F299" s="1"/>
      <c r="G299" s="1"/>
      <c r="H299" s="1"/>
      <c r="I299" s="1"/>
      <c r="J299" s="1"/>
      <c r="K299" s="1"/>
    </row>
    <row r="300" spans="5:11">
      <c r="E300" s="1"/>
      <c r="F300" s="1"/>
      <c r="G300" s="1"/>
      <c r="H300" s="1"/>
      <c r="I300" s="1"/>
      <c r="J300" s="1"/>
      <c r="K300" s="1"/>
    </row>
    <row r="301" spans="5:11">
      <c r="E301" s="1"/>
      <c r="F301" s="1"/>
      <c r="G301" s="1"/>
      <c r="H301" s="1"/>
      <c r="I301" s="1"/>
      <c r="J301" s="1"/>
      <c r="K301" s="1"/>
    </row>
    <row r="302" spans="5:11">
      <c r="E302" s="1"/>
      <c r="F302" s="1"/>
      <c r="G302" s="1"/>
      <c r="H302" s="1"/>
      <c r="I302" s="1"/>
      <c r="J302" s="1"/>
      <c r="K302" s="1"/>
    </row>
    <row r="303" spans="5:11">
      <c r="E303" s="1"/>
      <c r="F303" s="1"/>
      <c r="G303" s="1"/>
      <c r="H303" s="1"/>
      <c r="I303" s="1"/>
      <c r="J303" s="1"/>
      <c r="K303" s="1"/>
    </row>
    <row r="304" spans="5:11">
      <c r="E304" s="1"/>
      <c r="F304" s="1"/>
      <c r="G304" s="1"/>
      <c r="H304" s="1"/>
      <c r="I304" s="1"/>
      <c r="J304" s="1"/>
      <c r="K304" s="1"/>
    </row>
    <row r="305" spans="5:11">
      <c r="E305" s="1"/>
      <c r="F305" s="1"/>
      <c r="G305" s="1"/>
      <c r="H305" s="1"/>
      <c r="I305" s="1"/>
      <c r="J305" s="1"/>
      <c r="K305" s="1"/>
    </row>
    <row r="306" spans="5:11">
      <c r="E306" s="1"/>
      <c r="F306" s="1"/>
      <c r="G306" s="1"/>
      <c r="H306" s="1"/>
      <c r="I306" s="1"/>
      <c r="J306" s="1"/>
      <c r="K306" s="1"/>
    </row>
    <row r="307" spans="5:11">
      <c r="E307" s="1"/>
      <c r="F307" s="1"/>
      <c r="G307" s="1"/>
      <c r="H307" s="1"/>
      <c r="I307" s="1"/>
      <c r="J307" s="1"/>
      <c r="K307" s="1"/>
    </row>
    <row r="308" spans="5:11">
      <c r="E308" s="1"/>
      <c r="F308" s="1"/>
      <c r="G308" s="1"/>
      <c r="H308" s="1"/>
      <c r="I308" s="1"/>
      <c r="J308" s="1"/>
      <c r="K308" s="1"/>
    </row>
    <row r="309" spans="5:11">
      <c r="E309" s="1"/>
      <c r="F309" s="1"/>
      <c r="G309" s="1"/>
      <c r="H309" s="1"/>
      <c r="I309" s="1"/>
      <c r="J309" s="1"/>
      <c r="K309" s="1"/>
    </row>
    <row r="310" spans="5:11">
      <c r="E310" s="1"/>
      <c r="F310" s="1"/>
      <c r="G310" s="1"/>
      <c r="H310" s="1"/>
      <c r="I310" s="1"/>
      <c r="J310" s="1"/>
      <c r="K310" s="1"/>
    </row>
    <row r="311" spans="5:11">
      <c r="E311" s="1"/>
      <c r="F311" s="1"/>
      <c r="G311" s="1"/>
      <c r="H311" s="1"/>
      <c r="I311" s="1"/>
      <c r="J311" s="1"/>
      <c r="K311" s="1"/>
    </row>
    <row r="312" spans="5:11">
      <c r="E312" s="1"/>
      <c r="F312" s="1"/>
      <c r="G312" s="1"/>
      <c r="H312" s="1"/>
      <c r="I312" s="1"/>
      <c r="J312" s="1"/>
      <c r="K312" s="1"/>
    </row>
    <row r="313" spans="5:11">
      <c r="E313" s="1"/>
      <c r="F313" s="1"/>
      <c r="G313" s="1"/>
      <c r="H313" s="1"/>
      <c r="I313" s="1"/>
      <c r="J313" s="1"/>
      <c r="K313" s="1"/>
    </row>
    <row r="314" spans="5:11">
      <c r="E314" s="1"/>
      <c r="F314" s="1"/>
      <c r="G314" s="1"/>
      <c r="H314" s="1"/>
      <c r="I314" s="1"/>
      <c r="J314" s="1"/>
      <c r="K314" s="1"/>
    </row>
    <row r="315" spans="5:11">
      <c r="E315" s="1"/>
      <c r="F315" s="1"/>
      <c r="G315" s="1"/>
      <c r="H315" s="1"/>
      <c r="I315" s="1"/>
      <c r="J315" s="1"/>
      <c r="K315" s="1"/>
    </row>
    <row r="316" spans="5:11">
      <c r="E316" s="1"/>
      <c r="F316" s="1"/>
      <c r="G316" s="1"/>
      <c r="H316" s="1"/>
      <c r="I316" s="1"/>
      <c r="J316" s="1"/>
      <c r="K316" s="1"/>
    </row>
    <row r="317" spans="5:11">
      <c r="E317" s="1"/>
      <c r="F317" s="1"/>
      <c r="G317" s="1"/>
      <c r="H317" s="1"/>
      <c r="I317" s="1"/>
      <c r="J317" s="1"/>
      <c r="K317" s="1"/>
    </row>
    <row r="318" spans="5:11">
      <c r="E318" s="1"/>
      <c r="F318" s="1"/>
      <c r="G318" s="1"/>
      <c r="H318" s="1"/>
      <c r="I318" s="1"/>
      <c r="J318" s="1"/>
      <c r="K318" s="1"/>
    </row>
    <row r="319" spans="5:11">
      <c r="E319" s="1"/>
      <c r="F319" s="1"/>
      <c r="G319" s="1"/>
      <c r="H319" s="1"/>
      <c r="I319" s="1"/>
      <c r="J319" s="1"/>
      <c r="K319" s="1"/>
    </row>
    <row r="320" spans="5:11">
      <c r="E320" s="1"/>
      <c r="F320" s="1"/>
      <c r="G320" s="1"/>
      <c r="H320" s="1"/>
      <c r="I320" s="1"/>
      <c r="J320" s="1"/>
      <c r="K320" s="1"/>
    </row>
    <row r="321" spans="5:11">
      <c r="E321" s="1"/>
      <c r="F321" s="1"/>
      <c r="G321" s="1"/>
      <c r="H321" s="1"/>
      <c r="I321" s="1"/>
      <c r="J321" s="1"/>
      <c r="K321" s="1"/>
    </row>
    <row r="322" spans="5:11">
      <c r="E322" s="1"/>
      <c r="F322" s="1"/>
      <c r="G322" s="1"/>
      <c r="H322" s="1"/>
      <c r="I322" s="1"/>
      <c r="J322" s="1"/>
      <c r="K322" s="1"/>
    </row>
    <row r="323" spans="5:11">
      <c r="E323" s="1"/>
      <c r="F323" s="1"/>
      <c r="G323" s="1"/>
      <c r="H323" s="1"/>
      <c r="I323" s="1"/>
      <c r="J323" s="1"/>
      <c r="K323" s="1"/>
    </row>
    <row r="324" spans="5:11">
      <c r="E324" s="1"/>
      <c r="F324" s="1"/>
      <c r="G324" s="1"/>
      <c r="H324" s="1"/>
      <c r="I324" s="1"/>
      <c r="J324" s="1"/>
      <c r="K324" s="1"/>
    </row>
    <row r="325" spans="5:11">
      <c r="E325" s="1"/>
      <c r="F325" s="1"/>
      <c r="G325" s="1"/>
      <c r="H325" s="1"/>
      <c r="I325" s="1"/>
      <c r="J325" s="1"/>
      <c r="K325" s="1"/>
    </row>
    <row r="326" spans="5:11">
      <c r="E326" s="1"/>
      <c r="F326" s="1"/>
      <c r="G326" s="1"/>
      <c r="H326" s="1"/>
      <c r="I326" s="1"/>
      <c r="J326" s="1"/>
      <c r="K326" s="1"/>
    </row>
    <row r="327" spans="5:11">
      <c r="E327" s="1"/>
      <c r="F327" s="1"/>
      <c r="G327" s="1"/>
      <c r="H327" s="1"/>
      <c r="I327" s="1"/>
      <c r="J327" s="1"/>
      <c r="K327" s="1"/>
    </row>
    <row r="328" spans="5:11">
      <c r="E328" s="1"/>
      <c r="F328" s="1"/>
      <c r="G328" s="1"/>
      <c r="H328" s="1"/>
      <c r="I328" s="1"/>
      <c r="J328" s="1"/>
      <c r="K328" s="1"/>
    </row>
    <row r="329" spans="5:11">
      <c r="E329" s="1"/>
      <c r="F329" s="1"/>
      <c r="G329" s="1"/>
      <c r="H329" s="1"/>
      <c r="I329" s="1"/>
      <c r="J329" s="1"/>
      <c r="K329" s="1"/>
    </row>
    <row r="330" spans="5:11">
      <c r="E330" s="1"/>
      <c r="F330" s="1"/>
      <c r="G330" s="1"/>
      <c r="H330" s="1"/>
      <c r="I330" s="1"/>
      <c r="J330" s="1"/>
      <c r="K330" s="1"/>
    </row>
    <row r="331" spans="5:11">
      <c r="E331" s="1"/>
      <c r="F331" s="1"/>
      <c r="G331" s="1"/>
      <c r="H331" s="1"/>
      <c r="I331" s="1"/>
      <c r="J331" s="1"/>
      <c r="K331" s="1"/>
    </row>
    <row r="332" spans="5:11">
      <c r="E332" s="1"/>
      <c r="F332" s="1"/>
      <c r="G332" s="1"/>
      <c r="H332" s="1"/>
      <c r="I332" s="1"/>
      <c r="J332" s="1"/>
      <c r="K332" s="1"/>
    </row>
    <row r="333" spans="5:11">
      <c r="E333" s="1"/>
      <c r="F333" s="1"/>
      <c r="G333" s="1"/>
      <c r="H333" s="1"/>
      <c r="I333" s="1"/>
      <c r="J333" s="1"/>
      <c r="K333" s="1"/>
    </row>
    <row r="334" spans="5:11">
      <c r="E334" s="1"/>
      <c r="F334" s="1"/>
      <c r="G334" s="1"/>
      <c r="H334" s="1"/>
      <c r="I334" s="1"/>
      <c r="J334" s="1"/>
      <c r="K334" s="1"/>
    </row>
    <row r="335" spans="5:11">
      <c r="E335" s="1"/>
      <c r="F335" s="1"/>
      <c r="G335" s="1"/>
      <c r="H335" s="1"/>
      <c r="I335" s="1"/>
      <c r="J335" s="1"/>
      <c r="K335" s="1"/>
    </row>
    <row r="336" spans="5:11">
      <c r="E336" s="1"/>
      <c r="F336" s="1"/>
      <c r="G336" s="1"/>
      <c r="H336" s="1"/>
      <c r="I336" s="1"/>
      <c r="J336" s="1"/>
      <c r="K336" s="1"/>
    </row>
    <row r="337" spans="5:11">
      <c r="E337" s="1"/>
      <c r="F337" s="1"/>
      <c r="G337" s="1"/>
      <c r="H337" s="1"/>
      <c r="I337" s="1"/>
      <c r="J337" s="1"/>
      <c r="K337" s="1"/>
    </row>
    <row r="338" spans="5:11">
      <c r="E338" s="1"/>
      <c r="F338" s="1"/>
      <c r="G338" s="1"/>
      <c r="H338" s="1"/>
      <c r="I338" s="1"/>
      <c r="J338" s="1"/>
      <c r="K338" s="1"/>
    </row>
    <row r="339" spans="5:11">
      <c r="E339" s="1"/>
      <c r="F339" s="1"/>
      <c r="G339" s="1"/>
      <c r="H339" s="1"/>
      <c r="I339" s="1"/>
      <c r="J339" s="1"/>
      <c r="K339" s="1"/>
    </row>
    <row r="340" spans="5:11">
      <c r="E340" s="1"/>
      <c r="F340" s="1"/>
      <c r="G340" s="1"/>
      <c r="H340" s="1"/>
      <c r="I340" s="1"/>
      <c r="J340" s="1"/>
      <c r="K340" s="1"/>
    </row>
    <row r="341" spans="5:11">
      <c r="E341" s="1"/>
      <c r="F341" s="1"/>
      <c r="G341" s="1"/>
      <c r="H341" s="1"/>
      <c r="I341" s="1"/>
      <c r="J341" s="1"/>
      <c r="K341" s="1"/>
    </row>
    <row r="342" spans="5:11">
      <c r="E342" s="1"/>
      <c r="F342" s="1"/>
      <c r="G342" s="1"/>
      <c r="H342" s="1"/>
      <c r="I342" s="1"/>
      <c r="J342" s="1"/>
      <c r="K342" s="1"/>
    </row>
    <row r="343" spans="5:11">
      <c r="E343" s="1"/>
      <c r="F343" s="1"/>
      <c r="G343" s="1"/>
      <c r="H343" s="1"/>
      <c r="I343" s="1"/>
      <c r="J343" s="1"/>
      <c r="K343" s="1"/>
    </row>
    <row r="344" spans="5:11">
      <c r="E344" s="1"/>
      <c r="F344" s="1"/>
      <c r="G344" s="1"/>
      <c r="H344" s="1"/>
      <c r="I344" s="1"/>
      <c r="J344" s="1"/>
      <c r="K344" s="1"/>
    </row>
    <row r="345" spans="5:11">
      <c r="E345" s="1"/>
      <c r="F345" s="1"/>
      <c r="G345" s="1"/>
      <c r="H345" s="1"/>
      <c r="I345" s="1"/>
      <c r="J345" s="1"/>
      <c r="K345" s="1"/>
    </row>
    <row r="346" spans="5:11">
      <c r="E346" s="1"/>
      <c r="F346" s="1"/>
      <c r="G346" s="1"/>
      <c r="H346" s="1"/>
      <c r="I346" s="1"/>
      <c r="J346" s="1"/>
      <c r="K346" s="1"/>
    </row>
    <row r="347" spans="5:11">
      <c r="E347" s="1"/>
      <c r="F347" s="1"/>
      <c r="G347" s="1"/>
      <c r="H347" s="1"/>
      <c r="I347" s="1"/>
      <c r="J347" s="1"/>
      <c r="K347" s="1"/>
    </row>
    <row r="348" spans="5:11">
      <c r="E348" s="1"/>
      <c r="F348" s="1"/>
      <c r="G348" s="1"/>
      <c r="H348" s="1"/>
      <c r="I348" s="1"/>
      <c r="J348" s="1"/>
      <c r="K348" s="1"/>
    </row>
    <row r="349" spans="5:11">
      <c r="E349" s="1"/>
      <c r="F349" s="1"/>
      <c r="G349" s="1"/>
      <c r="H349" s="1"/>
      <c r="I349" s="1"/>
      <c r="J349" s="1"/>
      <c r="K349" s="1"/>
    </row>
    <row r="350" spans="5:11">
      <c r="E350" s="1"/>
      <c r="F350" s="1"/>
      <c r="G350" s="1"/>
      <c r="H350" s="1"/>
      <c r="I350" s="1"/>
      <c r="J350" s="1"/>
      <c r="K350" s="1"/>
    </row>
    <row r="351" spans="5:11">
      <c r="E351" s="1"/>
      <c r="F351" s="1"/>
      <c r="G351" s="1"/>
      <c r="H351" s="1"/>
      <c r="I351" s="1"/>
      <c r="J351" s="1"/>
      <c r="K351" s="1"/>
    </row>
    <row r="352" spans="5:11">
      <c r="E352" s="1"/>
      <c r="F352" s="1"/>
      <c r="G352" s="1"/>
      <c r="H352" s="1"/>
      <c r="I352" s="1"/>
      <c r="J352" s="1"/>
      <c r="K352" s="1"/>
    </row>
    <row r="353" spans="5:11">
      <c r="E353" s="1"/>
      <c r="F353" s="1"/>
      <c r="G353" s="1"/>
      <c r="H353" s="1"/>
      <c r="I353" s="1"/>
      <c r="J353" s="1"/>
      <c r="K353" s="1"/>
    </row>
    <row r="354" spans="5:11">
      <c r="E354" s="1"/>
      <c r="F354" s="1"/>
      <c r="G354" s="1"/>
      <c r="H354" s="1"/>
      <c r="I354" s="1"/>
      <c r="J354" s="1"/>
      <c r="K354" s="1"/>
    </row>
    <row r="355" spans="5:11">
      <c r="E355" s="1"/>
      <c r="F355" s="1"/>
      <c r="G355" s="1"/>
      <c r="H355" s="1"/>
      <c r="I355" s="1"/>
      <c r="J355" s="1"/>
      <c r="K355" s="1"/>
    </row>
    <row r="356" spans="5:11">
      <c r="E356" s="1"/>
      <c r="F356" s="1"/>
      <c r="G356" s="1"/>
      <c r="H356" s="1"/>
      <c r="I356" s="1"/>
      <c r="J356" s="1"/>
      <c r="K356" s="1"/>
    </row>
    <row r="357" spans="5:11">
      <c r="E357" s="1"/>
      <c r="F357" s="1"/>
      <c r="G357" s="1"/>
      <c r="H357" s="1"/>
      <c r="I357" s="1"/>
      <c r="J357" s="1"/>
      <c r="K357" s="1"/>
    </row>
    <row r="358" spans="5:11">
      <c r="E358" s="1"/>
      <c r="F358" s="1"/>
      <c r="G358" s="1"/>
      <c r="H358" s="1"/>
      <c r="I358" s="1"/>
      <c r="J358" s="1"/>
      <c r="K358" s="1"/>
    </row>
    <row r="359" spans="5:11">
      <c r="E359" s="1"/>
      <c r="F359" s="1"/>
      <c r="G359" s="1"/>
      <c r="H359" s="1"/>
      <c r="I359" s="1"/>
      <c r="J359" s="1"/>
      <c r="K359" s="1"/>
    </row>
    <row r="360" spans="5:11">
      <c r="E360" s="1"/>
      <c r="F360" s="1"/>
      <c r="G360" s="1"/>
      <c r="H360" s="1"/>
      <c r="I360" s="1"/>
      <c r="J360" s="1"/>
      <c r="K360" s="1"/>
    </row>
    <row r="361" spans="5:11">
      <c r="E361" s="1"/>
      <c r="F361" s="1"/>
      <c r="G361" s="1"/>
      <c r="H361" s="1"/>
      <c r="I361" s="1"/>
      <c r="J361" s="1"/>
      <c r="K361" s="1"/>
    </row>
    <row r="362" spans="5:11">
      <c r="E362" s="1"/>
      <c r="F362" s="1"/>
      <c r="G362" s="1"/>
      <c r="H362" s="1"/>
      <c r="I362" s="1"/>
      <c r="J362" s="1"/>
      <c r="K362" s="1"/>
    </row>
    <row r="363" spans="5:11">
      <c r="E363" s="1"/>
      <c r="F363" s="1"/>
      <c r="G363" s="1"/>
      <c r="H363" s="1"/>
      <c r="I363" s="1"/>
      <c r="J363" s="1"/>
      <c r="K363" s="1"/>
    </row>
    <row r="364" spans="5:11">
      <c r="E364" s="1"/>
      <c r="F364" s="1"/>
      <c r="G364" s="1"/>
      <c r="H364" s="1"/>
      <c r="I364" s="1"/>
      <c r="J364" s="1"/>
      <c r="K364" s="1"/>
    </row>
    <row r="365" spans="5:11">
      <c r="E365" s="1"/>
      <c r="F365" s="1"/>
      <c r="G365" s="1"/>
      <c r="H365" s="1"/>
      <c r="I365" s="1"/>
      <c r="J365" s="1"/>
      <c r="K365" s="1"/>
    </row>
    <row r="366" spans="5:11">
      <c r="E366" s="1"/>
      <c r="F366" s="1"/>
      <c r="G366" s="1"/>
      <c r="H366" s="1"/>
      <c r="I366" s="1"/>
      <c r="J366" s="1"/>
      <c r="K366" s="1"/>
    </row>
    <row r="367" spans="5:11">
      <c r="E367" s="1"/>
      <c r="F367" s="1"/>
      <c r="G367" s="1"/>
      <c r="H367" s="1"/>
      <c r="I367" s="1"/>
      <c r="J367" s="1"/>
      <c r="K367" s="1"/>
    </row>
    <row r="368" spans="5:11">
      <c r="E368" s="1"/>
      <c r="F368" s="1"/>
      <c r="G368" s="1"/>
      <c r="H368" s="1"/>
      <c r="I368" s="1"/>
      <c r="J368" s="1"/>
      <c r="K368" s="1"/>
    </row>
    <row r="369" spans="5:11">
      <c r="E369" s="1"/>
      <c r="F369" s="1"/>
      <c r="G369" s="1"/>
      <c r="H369" s="1"/>
      <c r="I369" s="1"/>
      <c r="J369" s="1"/>
      <c r="K369" s="1"/>
    </row>
    <row r="370" spans="5:11">
      <c r="E370" s="1"/>
      <c r="F370" s="1"/>
      <c r="G370" s="1"/>
      <c r="H370" s="1"/>
      <c r="I370" s="1"/>
      <c r="J370" s="1"/>
      <c r="K370" s="1"/>
    </row>
    <row r="371" spans="5:11">
      <c r="E371" s="1"/>
      <c r="F371" s="1"/>
      <c r="G371" s="1"/>
      <c r="H371" s="1"/>
      <c r="I371" s="1"/>
      <c r="J371" s="1"/>
      <c r="K371" s="1"/>
    </row>
    <row r="372" spans="5:11">
      <c r="E372" s="1"/>
      <c r="F372" s="1"/>
      <c r="G372" s="1"/>
      <c r="H372" s="1"/>
      <c r="I372" s="1"/>
      <c r="J372" s="1"/>
      <c r="K372" s="1"/>
    </row>
    <row r="373" spans="5:11">
      <c r="E373" s="1"/>
      <c r="F373" s="1"/>
      <c r="G373" s="1"/>
      <c r="H373" s="1"/>
      <c r="I373" s="1"/>
      <c r="J373" s="1"/>
      <c r="K373" s="1"/>
    </row>
    <row r="374" spans="5:11">
      <c r="E374" s="1"/>
      <c r="F374" s="1"/>
      <c r="G374" s="1"/>
      <c r="H374" s="1"/>
      <c r="I374" s="1"/>
      <c r="J374" s="1"/>
      <c r="K374" s="1"/>
    </row>
    <row r="375" spans="5:11">
      <c r="E375" s="1"/>
      <c r="F375" s="1"/>
      <c r="G375" s="1"/>
      <c r="H375" s="1"/>
      <c r="I375" s="1"/>
      <c r="J375" s="1"/>
      <c r="K375" s="1"/>
    </row>
    <row r="376" spans="5:11">
      <c r="E376" s="1"/>
      <c r="F376" s="1"/>
      <c r="G376" s="1"/>
      <c r="H376" s="1"/>
      <c r="I376" s="1"/>
      <c r="J376" s="1"/>
      <c r="K376" s="1"/>
    </row>
    <row r="377" spans="5:11">
      <c r="E377" s="1"/>
      <c r="F377" s="1"/>
      <c r="G377" s="1"/>
      <c r="H377" s="1"/>
      <c r="I377" s="1"/>
      <c r="J377" s="1"/>
      <c r="K377" s="1"/>
    </row>
    <row r="378" spans="5:11">
      <c r="E378" s="1"/>
      <c r="F378" s="1"/>
      <c r="G378" s="1"/>
      <c r="H378" s="1"/>
      <c r="I378" s="1"/>
      <c r="J378" s="1"/>
      <c r="K378" s="1"/>
    </row>
    <row r="379" spans="5:11">
      <c r="E379" s="1"/>
      <c r="F379" s="1"/>
      <c r="G379" s="1"/>
      <c r="H379" s="1"/>
      <c r="I379" s="1"/>
      <c r="J379" s="1"/>
      <c r="K379" s="1"/>
    </row>
    <row r="380" spans="5:11">
      <c r="E380" s="1"/>
      <c r="F380" s="1"/>
      <c r="G380" s="1"/>
      <c r="H380" s="1"/>
      <c r="I380" s="1"/>
      <c r="J380" s="1"/>
      <c r="K380" s="1"/>
    </row>
    <row r="381" spans="5:11">
      <c r="E381" s="1"/>
      <c r="F381" s="1"/>
      <c r="G381" s="1"/>
      <c r="H381" s="1"/>
      <c r="I381" s="1"/>
      <c r="J381" s="1"/>
      <c r="K381" s="1"/>
    </row>
    <row r="382" spans="5:11">
      <c r="E382" s="1"/>
      <c r="F382" s="1"/>
      <c r="G382" s="1"/>
      <c r="H382" s="1"/>
      <c r="I382" s="1"/>
      <c r="J382" s="1"/>
      <c r="K382" s="1"/>
    </row>
    <row r="383" spans="5:11">
      <c r="E383" s="1"/>
      <c r="F383" s="1"/>
      <c r="G383" s="1"/>
      <c r="H383" s="1"/>
      <c r="I383" s="1"/>
      <c r="J383" s="1"/>
      <c r="K383" s="1"/>
    </row>
    <row r="384" spans="5:11">
      <c r="E384" s="1"/>
      <c r="F384" s="1"/>
      <c r="G384" s="1"/>
      <c r="H384" s="1"/>
      <c r="I384" s="1"/>
      <c r="J384" s="1"/>
      <c r="K384" s="1"/>
    </row>
    <row r="385" spans="5:11">
      <c r="E385" s="1"/>
      <c r="F385" s="1"/>
      <c r="G385" s="1"/>
      <c r="H385" s="1"/>
      <c r="I385" s="1"/>
      <c r="J385" s="1"/>
      <c r="K385" s="1"/>
    </row>
    <row r="386" spans="5:11">
      <c r="E386" s="1"/>
      <c r="F386" s="1"/>
      <c r="G386" s="1"/>
      <c r="H386" s="1"/>
      <c r="I386" s="1"/>
      <c r="J386" s="1"/>
      <c r="K386" s="1"/>
    </row>
    <row r="387" spans="5:11">
      <c r="E387" s="1"/>
      <c r="F387" s="1"/>
      <c r="G387" s="1"/>
      <c r="H387" s="1"/>
      <c r="I387" s="1"/>
      <c r="J387" s="1"/>
      <c r="K387" s="1"/>
    </row>
    <row r="388" spans="5:11">
      <c r="E388" s="1"/>
      <c r="F388" s="1"/>
      <c r="G388" s="1"/>
      <c r="H388" s="1"/>
      <c r="I388" s="1"/>
      <c r="J388" s="1"/>
      <c r="K388" s="1"/>
    </row>
    <row r="389" spans="5:11">
      <c r="E389" s="1"/>
      <c r="F389" s="1"/>
      <c r="G389" s="1"/>
      <c r="H389" s="1"/>
      <c r="I389" s="1"/>
      <c r="J389" s="1"/>
      <c r="K389" s="1"/>
    </row>
    <row r="390" spans="5:11">
      <c r="E390" s="1"/>
      <c r="F390" s="1"/>
      <c r="G390" s="1"/>
      <c r="H390" s="1"/>
      <c r="I390" s="1"/>
      <c r="J390" s="1"/>
      <c r="K390" s="1"/>
    </row>
    <row r="391" spans="5:11">
      <c r="E391" s="1"/>
      <c r="F391" s="1"/>
      <c r="G391" s="1"/>
      <c r="H391" s="1"/>
      <c r="I391" s="1"/>
      <c r="J391" s="1"/>
      <c r="K391" s="1"/>
    </row>
    <row r="392" spans="5:11">
      <c r="E392" s="1"/>
      <c r="F392" s="1"/>
      <c r="G392" s="1"/>
      <c r="H392" s="1"/>
      <c r="I392" s="1"/>
      <c r="J392" s="1"/>
      <c r="K392" s="1"/>
    </row>
    <row r="393" spans="5:11">
      <c r="E393" s="1"/>
      <c r="F393" s="1"/>
      <c r="G393" s="1"/>
      <c r="H393" s="1"/>
      <c r="I393" s="1"/>
      <c r="J393" s="1"/>
      <c r="K393" s="1"/>
    </row>
    <row r="394" spans="5:11">
      <c r="E394" s="1"/>
      <c r="F394" s="1"/>
      <c r="G394" s="1"/>
      <c r="H394" s="1"/>
      <c r="I394" s="1"/>
      <c r="J394" s="1"/>
      <c r="K394" s="1"/>
    </row>
    <row r="395" spans="5:11">
      <c r="E395" s="1"/>
      <c r="F395" s="1"/>
      <c r="G395" s="1"/>
      <c r="H395" s="1"/>
      <c r="I395" s="1"/>
      <c r="J395" s="1"/>
      <c r="K395" s="1"/>
    </row>
    <row r="396" spans="5:11">
      <c r="E396" s="1"/>
      <c r="F396" s="1"/>
      <c r="G396" s="1"/>
      <c r="H396" s="1"/>
      <c r="I396" s="1"/>
      <c r="J396" s="1"/>
      <c r="K396" s="1"/>
    </row>
    <row r="397" spans="5:11">
      <c r="E397" s="1"/>
      <c r="F397" s="1"/>
      <c r="G397" s="1"/>
      <c r="H397" s="1"/>
      <c r="I397" s="1"/>
      <c r="J397" s="1"/>
      <c r="K397" s="1"/>
    </row>
    <row r="398" spans="5:11">
      <c r="E398" s="1"/>
      <c r="F398" s="1"/>
      <c r="G398" s="1"/>
      <c r="H398" s="1"/>
      <c r="I398" s="1"/>
      <c r="J398" s="1"/>
      <c r="K398" s="1"/>
    </row>
    <row r="399" spans="5:11">
      <c r="E399" s="1"/>
      <c r="F399" s="1"/>
      <c r="G399" s="1"/>
      <c r="H399" s="1"/>
      <c r="I399" s="1"/>
      <c r="J399" s="1"/>
      <c r="K399" s="1"/>
    </row>
    <row r="400" spans="5:11">
      <c r="E400" s="1"/>
      <c r="F400" s="1"/>
      <c r="G400" s="1"/>
      <c r="H400" s="1"/>
      <c r="I400" s="1"/>
      <c r="J400" s="1"/>
      <c r="K400" s="1"/>
    </row>
    <row r="401" spans="5:11">
      <c r="E401" s="1"/>
      <c r="F401" s="1"/>
      <c r="G401" s="1"/>
      <c r="H401" s="1"/>
      <c r="I401" s="1"/>
      <c r="J401" s="1"/>
      <c r="K401" s="1"/>
    </row>
    <row r="402" spans="5:11">
      <c r="E402" s="1"/>
      <c r="F402" s="1"/>
      <c r="G402" s="1"/>
      <c r="H402" s="1"/>
      <c r="I402" s="1"/>
      <c r="J402" s="1"/>
      <c r="K402" s="1"/>
    </row>
    <row r="403" spans="5:11">
      <c r="E403" s="1"/>
      <c r="F403" s="1"/>
      <c r="G403" s="1"/>
      <c r="H403" s="1"/>
      <c r="I403" s="1"/>
      <c r="J403" s="1"/>
      <c r="K403" s="1"/>
    </row>
    <row r="404" spans="5:11">
      <c r="E404" s="1"/>
      <c r="F404" s="1"/>
      <c r="G404" s="1"/>
      <c r="H404" s="1"/>
      <c r="I404" s="1"/>
      <c r="J404" s="1"/>
      <c r="K404" s="1"/>
    </row>
    <row r="405" spans="5:11">
      <c r="E405" s="1"/>
      <c r="F405" s="1"/>
      <c r="G405" s="1"/>
      <c r="H405" s="1"/>
      <c r="I405" s="1"/>
      <c r="J405" s="1"/>
      <c r="K405" s="1"/>
    </row>
    <row r="406" spans="5:11">
      <c r="E406" s="1"/>
      <c r="F406" s="1"/>
      <c r="G406" s="1"/>
      <c r="H406" s="1"/>
      <c r="I406" s="1"/>
      <c r="J406" s="1"/>
      <c r="K406" s="1"/>
    </row>
    <row r="407" spans="5:11">
      <c r="E407" s="1"/>
      <c r="F407" s="1"/>
      <c r="G407" s="1"/>
      <c r="H407" s="1"/>
      <c r="I407" s="1"/>
      <c r="J407" s="1"/>
      <c r="K407" s="1"/>
    </row>
    <row r="408" spans="5:11">
      <c r="E408" s="1"/>
      <c r="F408" s="1"/>
      <c r="G408" s="1"/>
      <c r="H408" s="1"/>
      <c r="I408" s="1"/>
      <c r="J408" s="1"/>
      <c r="K408" s="1"/>
    </row>
    <row r="409" spans="5:11">
      <c r="E409" s="1"/>
      <c r="F409" s="1"/>
      <c r="G409" s="1"/>
      <c r="H409" s="1"/>
      <c r="I409" s="1"/>
      <c r="J409" s="1"/>
      <c r="K409" s="1"/>
    </row>
    <row r="410" spans="5:11">
      <c r="E410" s="1"/>
      <c r="F410" s="1"/>
      <c r="G410" s="1"/>
      <c r="H410" s="1"/>
      <c r="I410" s="1"/>
      <c r="J410" s="1"/>
      <c r="K410" s="1"/>
    </row>
    <row r="411" spans="5:11">
      <c r="E411" s="1"/>
      <c r="F411" s="1"/>
      <c r="G411" s="1"/>
      <c r="H411" s="1"/>
      <c r="I411" s="1"/>
      <c r="J411" s="1"/>
      <c r="K411" s="1"/>
    </row>
    <row r="412" spans="5:11">
      <c r="E412" s="1"/>
      <c r="F412" s="1"/>
      <c r="G412" s="1"/>
      <c r="H412" s="1"/>
      <c r="I412" s="1"/>
      <c r="J412" s="1"/>
      <c r="K412" s="1"/>
    </row>
    <row r="413" spans="5:11">
      <c r="E413" s="1"/>
      <c r="F413" s="1"/>
      <c r="G413" s="1"/>
      <c r="H413" s="1"/>
      <c r="I413" s="1"/>
      <c r="J413" s="1"/>
      <c r="K413" s="1"/>
    </row>
    <row r="414" spans="5:11">
      <c r="E414" s="1"/>
      <c r="F414" s="1"/>
      <c r="G414" s="1"/>
      <c r="H414" s="1"/>
      <c r="I414" s="1"/>
      <c r="J414" s="1"/>
      <c r="K414" s="1"/>
    </row>
    <row r="415" spans="5:11">
      <c r="E415" s="1"/>
      <c r="F415" s="1"/>
      <c r="G415" s="1"/>
      <c r="H415" s="1"/>
      <c r="I415" s="1"/>
      <c r="J415" s="1"/>
      <c r="K415" s="1"/>
    </row>
    <row r="416" spans="5:11">
      <c r="E416" s="1"/>
      <c r="F416" s="1"/>
      <c r="G416" s="1"/>
      <c r="H416" s="1"/>
      <c r="I416" s="1"/>
      <c r="J416" s="1"/>
      <c r="K416" s="1"/>
    </row>
    <row r="417" spans="5:11">
      <c r="E417" s="1"/>
      <c r="F417" s="1"/>
      <c r="G417" s="1"/>
      <c r="H417" s="1"/>
      <c r="I417" s="1"/>
      <c r="J417" s="1"/>
      <c r="K417" s="1"/>
    </row>
    <row r="418" spans="5:11">
      <c r="E418" s="1"/>
      <c r="F418" s="1"/>
      <c r="G418" s="1"/>
      <c r="H418" s="1"/>
      <c r="I418" s="1"/>
      <c r="J418" s="1"/>
      <c r="K418" s="1"/>
    </row>
    <row r="419" spans="5:11">
      <c r="E419" s="1"/>
      <c r="F419" s="1"/>
      <c r="G419" s="1"/>
      <c r="H419" s="1"/>
      <c r="I419" s="1"/>
      <c r="J419" s="1"/>
      <c r="K419" s="1"/>
    </row>
    <row r="420" spans="5:11">
      <c r="E420" s="1"/>
      <c r="F420" s="1"/>
      <c r="G420" s="1"/>
      <c r="H420" s="1"/>
      <c r="I420" s="1"/>
      <c r="J420" s="1"/>
      <c r="K420" s="1"/>
    </row>
    <row r="421" spans="5:11">
      <c r="E421" s="1"/>
      <c r="F421" s="1"/>
      <c r="G421" s="1"/>
      <c r="H421" s="1"/>
      <c r="I421" s="1"/>
      <c r="J421" s="1"/>
      <c r="K421" s="1"/>
    </row>
    <row r="422" spans="5:11">
      <c r="E422" s="1"/>
      <c r="F422" s="1"/>
      <c r="G422" s="1"/>
      <c r="H422" s="1"/>
      <c r="I422" s="1"/>
      <c r="J422" s="1"/>
      <c r="K422" s="1"/>
    </row>
    <row r="423" spans="5:11">
      <c r="E423" s="1"/>
      <c r="F423" s="1"/>
      <c r="G423" s="1"/>
      <c r="H423" s="1"/>
      <c r="I423" s="1"/>
      <c r="J423" s="1"/>
      <c r="K423" s="1"/>
    </row>
    <row r="424" spans="5:11">
      <c r="E424" s="1"/>
      <c r="F424" s="1"/>
      <c r="G424" s="1"/>
      <c r="H424" s="1"/>
      <c r="I424" s="1"/>
      <c r="J424" s="1"/>
      <c r="K424" s="1"/>
    </row>
    <row r="425" spans="5:11">
      <c r="E425" s="1"/>
      <c r="F425" s="1"/>
      <c r="G425" s="1"/>
      <c r="H425" s="1"/>
      <c r="I425" s="1"/>
      <c r="J425" s="1"/>
      <c r="K425" s="1"/>
    </row>
    <row r="426" spans="5:11">
      <c r="E426" s="1"/>
      <c r="F426" s="1"/>
      <c r="G426" s="1"/>
      <c r="H426" s="1"/>
      <c r="I426" s="1"/>
      <c r="J426" s="1"/>
      <c r="K426" s="1"/>
    </row>
    <row r="427" spans="5:11">
      <c r="E427" s="1"/>
      <c r="F427" s="1"/>
      <c r="G427" s="1"/>
      <c r="H427" s="1"/>
      <c r="I427" s="1"/>
      <c r="J427" s="1"/>
      <c r="K427" s="1"/>
    </row>
    <row r="428" spans="5:11">
      <c r="E428" s="1"/>
      <c r="F428" s="1"/>
      <c r="G428" s="1"/>
      <c r="H428" s="1"/>
      <c r="I428" s="1"/>
      <c r="J428" s="1"/>
      <c r="K428" s="1"/>
    </row>
    <row r="429" spans="5:11">
      <c r="E429" s="1"/>
      <c r="F429" s="1"/>
      <c r="G429" s="1"/>
      <c r="H429" s="1"/>
      <c r="I429" s="1"/>
      <c r="J429" s="1"/>
      <c r="K429" s="1"/>
    </row>
    <row r="430" spans="5:11">
      <c r="E430" s="1"/>
      <c r="F430" s="1"/>
      <c r="G430" s="1"/>
      <c r="H430" s="1"/>
      <c r="I430" s="1"/>
      <c r="J430" s="1"/>
      <c r="K430" s="1"/>
    </row>
    <row r="431" spans="5:11">
      <c r="E431" s="1"/>
      <c r="F431" s="1"/>
      <c r="G431" s="1"/>
      <c r="H431" s="1"/>
      <c r="I431" s="1"/>
      <c r="J431" s="1"/>
      <c r="K431" s="1"/>
    </row>
    <row r="432" spans="5:11">
      <c r="E432" s="1"/>
      <c r="F432" s="1"/>
      <c r="G432" s="1"/>
      <c r="H432" s="1"/>
      <c r="I432" s="1"/>
      <c r="J432" s="1"/>
      <c r="K432" s="1"/>
    </row>
    <row r="433" spans="5:11">
      <c r="E433" s="1"/>
      <c r="F433" s="1"/>
      <c r="G433" s="1"/>
      <c r="H433" s="1"/>
      <c r="I433" s="1"/>
      <c r="J433" s="1"/>
      <c r="K433" s="1"/>
    </row>
    <row r="434" spans="5:11">
      <c r="E434" s="1"/>
      <c r="F434" s="1"/>
      <c r="G434" s="1"/>
      <c r="H434" s="1"/>
      <c r="I434" s="1"/>
      <c r="J434" s="1"/>
      <c r="K434" s="1"/>
    </row>
    <row r="435" spans="5:11">
      <c r="E435" s="1"/>
      <c r="F435" s="1"/>
      <c r="G435" s="1"/>
      <c r="H435" s="1"/>
      <c r="I435" s="1"/>
      <c r="J435" s="1"/>
      <c r="K435" s="1"/>
    </row>
    <row r="436" spans="5:11">
      <c r="E436" s="1"/>
      <c r="F436" s="1"/>
      <c r="G436" s="1"/>
      <c r="H436" s="1"/>
      <c r="I436" s="1"/>
      <c r="J436" s="1"/>
      <c r="K436" s="1"/>
    </row>
    <row r="437" spans="5:11">
      <c r="E437" s="1"/>
      <c r="F437" s="1"/>
      <c r="G437" s="1"/>
      <c r="H437" s="1"/>
      <c r="I437" s="1"/>
      <c r="J437" s="1"/>
      <c r="K437" s="1"/>
    </row>
    <row r="438" spans="5:11">
      <c r="E438" s="1"/>
      <c r="F438" s="1"/>
      <c r="G438" s="1"/>
      <c r="H438" s="1"/>
      <c r="I438" s="1"/>
      <c r="J438" s="1"/>
      <c r="K438" s="1"/>
    </row>
    <row r="439" spans="5:11">
      <c r="E439" s="1"/>
      <c r="F439" s="1"/>
      <c r="G439" s="1"/>
      <c r="H439" s="1"/>
      <c r="I439" s="1"/>
      <c r="J439" s="1"/>
      <c r="K439" s="1"/>
    </row>
    <row r="440" spans="5:11">
      <c r="E440" s="1"/>
      <c r="F440" s="1"/>
      <c r="G440" s="1"/>
      <c r="H440" s="1"/>
      <c r="I440" s="1"/>
      <c r="J440" s="1"/>
      <c r="K440" s="1"/>
    </row>
    <row r="441" spans="5:11">
      <c r="E441" s="1"/>
      <c r="F441" s="1"/>
      <c r="G441" s="1"/>
      <c r="H441" s="1"/>
      <c r="I441" s="1"/>
      <c r="J441" s="1"/>
      <c r="K441" s="1"/>
    </row>
    <row r="442" spans="5:11">
      <c r="E442" s="1"/>
      <c r="F442" s="1"/>
      <c r="G442" s="1"/>
      <c r="H442" s="1"/>
      <c r="I442" s="1"/>
      <c r="J442" s="1"/>
      <c r="K442" s="1"/>
    </row>
    <row r="443" spans="5:11">
      <c r="E443" s="1"/>
      <c r="F443" s="1"/>
      <c r="G443" s="1"/>
      <c r="H443" s="1"/>
      <c r="I443" s="1"/>
      <c r="J443" s="1"/>
      <c r="K443" s="1"/>
    </row>
    <row r="444" spans="5:11">
      <c r="E444" s="1"/>
      <c r="F444" s="1"/>
      <c r="G444" s="1"/>
      <c r="H444" s="1"/>
      <c r="I444" s="1"/>
      <c r="J444" s="1"/>
      <c r="K444" s="1"/>
    </row>
    <row r="445" spans="5:11">
      <c r="E445" s="1"/>
      <c r="F445" s="1"/>
      <c r="G445" s="1"/>
      <c r="H445" s="1"/>
      <c r="I445" s="1"/>
      <c r="J445" s="1"/>
      <c r="K445" s="1"/>
    </row>
    <row r="446" spans="5:11">
      <c r="E446" s="1"/>
      <c r="F446" s="1"/>
      <c r="G446" s="1"/>
      <c r="H446" s="1"/>
      <c r="I446" s="1"/>
      <c r="J446" s="1"/>
      <c r="K446" s="1"/>
    </row>
    <row r="447" spans="5:11">
      <c r="E447" s="1"/>
      <c r="F447" s="1"/>
      <c r="G447" s="1"/>
      <c r="H447" s="1"/>
      <c r="I447" s="1"/>
      <c r="J447" s="1"/>
      <c r="K447" s="1"/>
    </row>
    <row r="448" spans="5:11">
      <c r="E448" s="1"/>
      <c r="F448" s="1"/>
      <c r="G448" s="1"/>
      <c r="H448" s="1"/>
      <c r="I448" s="1"/>
      <c r="J448" s="1"/>
      <c r="K448" s="1"/>
    </row>
    <row r="449" spans="5:11">
      <c r="E449" s="1"/>
      <c r="F449" s="1"/>
      <c r="G449" s="1"/>
      <c r="H449" s="1"/>
      <c r="I449" s="1"/>
      <c r="J449" s="1"/>
      <c r="K449" s="1"/>
    </row>
    <row r="450" spans="5:11">
      <c r="E450" s="1"/>
      <c r="F450" s="1"/>
      <c r="G450" s="1"/>
      <c r="H450" s="1"/>
      <c r="I450" s="1"/>
      <c r="J450" s="1"/>
      <c r="K450" s="1"/>
    </row>
    <row r="451" spans="5:11">
      <c r="E451" s="1"/>
      <c r="F451" s="1"/>
      <c r="G451" s="1"/>
      <c r="H451" s="1"/>
      <c r="I451" s="1"/>
      <c r="J451" s="1"/>
      <c r="K451" s="1"/>
    </row>
    <row r="452" spans="5:11">
      <c r="E452" s="1"/>
      <c r="F452" s="1"/>
      <c r="G452" s="1"/>
      <c r="H452" s="1"/>
      <c r="I452" s="1"/>
      <c r="J452" s="1"/>
      <c r="K452" s="1"/>
    </row>
    <row r="453" spans="5:11">
      <c r="E453" s="1"/>
      <c r="F453" s="1"/>
      <c r="G453" s="1"/>
      <c r="H453" s="1"/>
      <c r="I453" s="1"/>
      <c r="J453" s="1"/>
      <c r="K453" s="1"/>
    </row>
    <row r="454" spans="5:11">
      <c r="E454" s="1"/>
      <c r="F454" s="1"/>
      <c r="G454" s="1"/>
      <c r="H454" s="1"/>
      <c r="I454" s="1"/>
      <c r="J454" s="1"/>
      <c r="K454" s="1"/>
    </row>
    <row r="455" spans="5:11">
      <c r="E455" s="1"/>
      <c r="F455" s="1"/>
      <c r="G455" s="1"/>
      <c r="H455" s="1"/>
      <c r="I455" s="1"/>
      <c r="J455" s="1"/>
      <c r="K455" s="1"/>
    </row>
    <row r="456" spans="5:11">
      <c r="E456" s="1"/>
      <c r="F456" s="1"/>
      <c r="G456" s="1"/>
      <c r="H456" s="1"/>
      <c r="I456" s="1"/>
      <c r="J456" s="1"/>
      <c r="K456" s="1"/>
    </row>
    <row r="457" spans="5:11">
      <c r="E457" s="1"/>
      <c r="F457" s="1"/>
      <c r="G457" s="1"/>
      <c r="H457" s="1"/>
      <c r="I457" s="1"/>
      <c r="J457" s="1"/>
      <c r="K457" s="1"/>
    </row>
    <row r="458" spans="5:11">
      <c r="E458" s="1"/>
      <c r="F458" s="1"/>
      <c r="G458" s="1"/>
      <c r="H458" s="1"/>
      <c r="I458" s="1"/>
      <c r="J458" s="1"/>
      <c r="K458" s="1"/>
    </row>
    <row r="459" spans="5:11">
      <c r="E459" s="1"/>
      <c r="F459" s="1"/>
      <c r="G459" s="1"/>
      <c r="H459" s="1"/>
      <c r="I459" s="1"/>
      <c r="J459" s="1"/>
      <c r="K459" s="1"/>
    </row>
    <row r="460" spans="5:11">
      <c r="E460" s="1"/>
      <c r="F460" s="1"/>
      <c r="G460" s="1"/>
      <c r="H460" s="1"/>
      <c r="I460" s="1"/>
      <c r="J460" s="1"/>
      <c r="K460" s="1"/>
    </row>
    <row r="461" spans="5:11">
      <c r="E461" s="1"/>
      <c r="F461" s="1"/>
      <c r="G461" s="1"/>
      <c r="H461" s="1"/>
      <c r="I461" s="1"/>
      <c r="J461" s="1"/>
      <c r="K461" s="1"/>
    </row>
    <row r="462" spans="5:11">
      <c r="E462" s="1"/>
      <c r="F462" s="1"/>
      <c r="G462" s="1"/>
      <c r="H462" s="1"/>
      <c r="I462" s="1"/>
      <c r="J462" s="1"/>
      <c r="K462" s="1"/>
    </row>
    <row r="463" spans="5:11">
      <c r="E463" s="1"/>
      <c r="F463" s="1"/>
      <c r="G463" s="1"/>
      <c r="H463" s="1"/>
      <c r="I463" s="1"/>
      <c r="J463" s="1"/>
      <c r="K463" s="1"/>
    </row>
    <row r="464" spans="5:11">
      <c r="E464" s="1"/>
      <c r="F464" s="1"/>
      <c r="G464" s="1"/>
      <c r="H464" s="1"/>
      <c r="I464" s="1"/>
      <c r="J464" s="1"/>
      <c r="K464" s="1"/>
    </row>
    <row r="465" spans="5:11">
      <c r="E465" s="1"/>
      <c r="F465" s="1"/>
      <c r="G465" s="1"/>
      <c r="H465" s="1"/>
      <c r="I465" s="1"/>
      <c r="J465" s="1"/>
      <c r="K465" s="1"/>
    </row>
    <row r="466" spans="5:11">
      <c r="E466" s="1"/>
      <c r="F466" s="1"/>
      <c r="G466" s="1"/>
      <c r="H466" s="1"/>
      <c r="I466" s="1"/>
      <c r="J466" s="1"/>
      <c r="K466" s="1"/>
    </row>
    <row r="467" spans="5:11">
      <c r="E467" s="1"/>
      <c r="F467" s="1"/>
      <c r="G467" s="1"/>
      <c r="H467" s="1"/>
      <c r="I467" s="1"/>
      <c r="J467" s="1"/>
      <c r="K467" s="1"/>
    </row>
    <row r="468" spans="5:11">
      <c r="E468" s="1"/>
      <c r="F468" s="1"/>
      <c r="G468" s="1"/>
      <c r="H468" s="1"/>
      <c r="I468" s="1"/>
      <c r="J468" s="1"/>
      <c r="K468" s="1"/>
    </row>
    <row r="469" spans="5:11">
      <c r="E469" s="1"/>
      <c r="F469" s="1"/>
      <c r="G469" s="1"/>
      <c r="H469" s="1"/>
      <c r="I469" s="1"/>
      <c r="J469" s="1"/>
      <c r="K469" s="1"/>
    </row>
    <row r="470" spans="5:11">
      <c r="E470" s="1"/>
      <c r="F470" s="1"/>
      <c r="G470" s="1"/>
      <c r="H470" s="1"/>
      <c r="I470" s="1"/>
      <c r="J470" s="1"/>
      <c r="K470" s="1"/>
    </row>
    <row r="471" spans="5:11">
      <c r="E471" s="1"/>
      <c r="F471" s="1"/>
      <c r="G471" s="1"/>
      <c r="H471" s="1"/>
      <c r="I471" s="1"/>
      <c r="J471" s="1"/>
      <c r="K471" s="1"/>
    </row>
    <row r="472" spans="5:11">
      <c r="E472" s="1"/>
      <c r="F472" s="1"/>
      <c r="G472" s="1"/>
      <c r="H472" s="1"/>
      <c r="I472" s="1"/>
      <c r="J472" s="1"/>
      <c r="K472" s="1"/>
    </row>
    <row r="473" spans="5:11">
      <c r="E473" s="1"/>
      <c r="F473" s="1"/>
      <c r="G473" s="1"/>
      <c r="H473" s="1"/>
      <c r="I473" s="1"/>
      <c r="J473" s="1"/>
      <c r="K473" s="1"/>
    </row>
    <row r="474" spans="5:11">
      <c r="E474" s="1"/>
      <c r="F474" s="1"/>
      <c r="G474" s="1"/>
      <c r="H474" s="1"/>
      <c r="I474" s="1"/>
      <c r="J474" s="1"/>
      <c r="K474" s="1"/>
    </row>
    <row r="475" spans="5:11">
      <c r="E475" s="1"/>
      <c r="F475" s="1"/>
      <c r="G475" s="1"/>
      <c r="H475" s="1"/>
      <c r="I475" s="1"/>
      <c r="J475" s="1"/>
      <c r="K475" s="1"/>
    </row>
    <row r="476" spans="5:11">
      <c r="E476" s="1"/>
      <c r="F476" s="1"/>
      <c r="G476" s="1"/>
      <c r="H476" s="1"/>
      <c r="I476" s="1"/>
      <c r="J476" s="1"/>
      <c r="K476" s="1"/>
    </row>
    <row r="477" spans="5:11">
      <c r="E477" s="1"/>
      <c r="F477" s="1"/>
      <c r="G477" s="1"/>
      <c r="H477" s="1"/>
      <c r="I477" s="1"/>
      <c r="J477" s="1"/>
      <c r="K477" s="1"/>
    </row>
    <row r="478" spans="5:11">
      <c r="E478" s="1"/>
      <c r="F478" s="1"/>
      <c r="G478" s="1"/>
      <c r="H478" s="1"/>
      <c r="I478" s="1"/>
      <c r="J478" s="1"/>
      <c r="K478" s="1"/>
    </row>
    <row r="479" spans="5:11">
      <c r="E479" s="1"/>
      <c r="F479" s="1"/>
      <c r="G479" s="1"/>
      <c r="H479" s="1"/>
      <c r="I479" s="1"/>
      <c r="J479" s="1"/>
      <c r="K479" s="1"/>
    </row>
    <row r="480" spans="5:11">
      <c r="E480" s="1"/>
      <c r="F480" s="1"/>
      <c r="G480" s="1"/>
      <c r="H480" s="1"/>
      <c r="I480" s="1"/>
      <c r="J480" s="1"/>
      <c r="K480" s="1"/>
    </row>
    <row r="481" spans="5:11">
      <c r="E481" s="1"/>
      <c r="F481" s="1"/>
      <c r="G481" s="1"/>
      <c r="H481" s="1"/>
      <c r="I481" s="1"/>
      <c r="J481" s="1"/>
      <c r="K481" s="1"/>
    </row>
    <row r="482" spans="5:11">
      <c r="E482" s="1"/>
      <c r="F482" s="1"/>
      <c r="G482" s="1"/>
      <c r="H482" s="1"/>
      <c r="I482" s="1"/>
      <c r="J482" s="1"/>
      <c r="K482" s="1"/>
    </row>
    <row r="483" spans="5:11">
      <c r="E483" s="1"/>
      <c r="F483" s="1"/>
      <c r="G483" s="1"/>
      <c r="H483" s="1"/>
      <c r="I483" s="1"/>
      <c r="J483" s="1"/>
      <c r="K483" s="1"/>
    </row>
    <row r="484" spans="5:11">
      <c r="E484" s="1"/>
      <c r="F484" s="1"/>
      <c r="G484" s="1"/>
      <c r="H484" s="1"/>
      <c r="I484" s="1"/>
      <c r="J484" s="1"/>
      <c r="K484" s="1"/>
    </row>
    <row r="485" spans="5:11">
      <c r="E485" s="1"/>
      <c r="F485" s="1"/>
      <c r="G485" s="1"/>
      <c r="H485" s="1"/>
      <c r="I485" s="1"/>
      <c r="J485" s="1"/>
      <c r="K485" s="1"/>
    </row>
    <row r="486" spans="5:11">
      <c r="E486" s="1"/>
      <c r="F486" s="1"/>
      <c r="G486" s="1"/>
      <c r="H486" s="1"/>
      <c r="I486" s="1"/>
      <c r="J486" s="1"/>
      <c r="K486" s="1"/>
    </row>
    <row r="487" spans="5:11">
      <c r="E487" s="1"/>
      <c r="F487" s="1"/>
      <c r="G487" s="1"/>
      <c r="H487" s="1"/>
      <c r="I487" s="1"/>
      <c r="J487" s="1"/>
      <c r="K487" s="1"/>
    </row>
    <row r="488" spans="5:11">
      <c r="E488" s="1"/>
      <c r="F488" s="1"/>
      <c r="G488" s="1"/>
      <c r="H488" s="1"/>
      <c r="I488" s="1"/>
      <c r="J488" s="1"/>
      <c r="K488" s="1"/>
    </row>
    <row r="489" spans="5:11">
      <c r="E489" s="1"/>
      <c r="F489" s="1"/>
      <c r="G489" s="1"/>
      <c r="H489" s="1"/>
      <c r="I489" s="1"/>
      <c r="J489" s="1"/>
      <c r="K489" s="1"/>
    </row>
    <row r="490" spans="5:11">
      <c r="E490" s="1"/>
      <c r="F490" s="1"/>
      <c r="G490" s="1"/>
      <c r="H490" s="1"/>
      <c r="I490" s="1"/>
      <c r="J490" s="1"/>
      <c r="K490" s="1"/>
    </row>
    <row r="491" spans="5:11">
      <c r="E491" s="1"/>
      <c r="F491" s="1"/>
      <c r="G491" s="1"/>
      <c r="H491" s="1"/>
      <c r="I491" s="1"/>
      <c r="J491" s="1"/>
      <c r="K491" s="1"/>
    </row>
    <row r="492" spans="5:11">
      <c r="E492" s="1"/>
      <c r="F492" s="1"/>
      <c r="G492" s="1"/>
      <c r="H492" s="1"/>
      <c r="I492" s="1"/>
      <c r="J492" s="1"/>
      <c r="K492" s="1"/>
    </row>
    <row r="493" spans="5:11">
      <c r="E493" s="1"/>
      <c r="F493" s="1"/>
      <c r="G493" s="1"/>
      <c r="H493" s="1"/>
      <c r="I493" s="1"/>
      <c r="J493" s="1"/>
      <c r="K493" s="1"/>
    </row>
    <row r="494" spans="5:11">
      <c r="E494" s="1"/>
      <c r="F494" s="1"/>
      <c r="G494" s="1"/>
      <c r="H494" s="1"/>
      <c r="I494" s="1"/>
      <c r="J494" s="1"/>
      <c r="K494" s="1"/>
    </row>
    <row r="495" spans="5:11">
      <c r="E495" s="1"/>
      <c r="F495" s="1"/>
      <c r="G495" s="1"/>
      <c r="H495" s="1"/>
      <c r="I495" s="1"/>
      <c r="J495" s="1"/>
      <c r="K495" s="1"/>
    </row>
    <row r="496" spans="5:11">
      <c r="E496" s="1"/>
      <c r="F496" s="1"/>
      <c r="G496" s="1"/>
      <c r="H496" s="1"/>
      <c r="I496" s="1"/>
      <c r="J496" s="1"/>
      <c r="K496" s="1"/>
    </row>
    <row r="497" spans="5:11">
      <c r="E497" s="1"/>
      <c r="F497" s="1"/>
      <c r="G497" s="1"/>
      <c r="H497" s="1"/>
      <c r="I497" s="1"/>
      <c r="J497" s="1"/>
      <c r="K497" s="1"/>
    </row>
    <row r="498" spans="5:11">
      <c r="E498" s="1"/>
      <c r="F498" s="1"/>
      <c r="G498" s="1"/>
      <c r="H498" s="1"/>
      <c r="I498" s="1"/>
      <c r="J498" s="1"/>
      <c r="K498" s="1"/>
    </row>
    <row r="499" spans="5:11">
      <c r="E499" s="1"/>
      <c r="F499" s="1"/>
      <c r="G499" s="1"/>
      <c r="H499" s="1"/>
      <c r="I499" s="1"/>
      <c r="J499" s="1"/>
      <c r="K499" s="1"/>
    </row>
    <row r="500" spans="5:11">
      <c r="E500" s="1"/>
      <c r="F500" s="1"/>
      <c r="G500" s="1"/>
      <c r="H500" s="1"/>
      <c r="I500" s="1"/>
      <c r="J500" s="1"/>
      <c r="K500" s="1"/>
    </row>
    <row r="501" spans="5:11">
      <c r="E501" s="1"/>
      <c r="F501" s="1"/>
      <c r="G501" s="1"/>
      <c r="H501" s="1"/>
      <c r="I501" s="1"/>
      <c r="J501" s="1"/>
      <c r="K501" s="1"/>
    </row>
    <row r="502" spans="5:11">
      <c r="E502" s="1"/>
      <c r="F502" s="1"/>
      <c r="G502" s="1"/>
      <c r="H502" s="1"/>
      <c r="I502" s="1"/>
      <c r="J502" s="1"/>
      <c r="K502" s="1"/>
    </row>
    <row r="503" spans="5:11">
      <c r="E503" s="1"/>
      <c r="F503" s="1"/>
      <c r="G503" s="1"/>
      <c r="H503" s="1"/>
      <c r="I503" s="1"/>
      <c r="J503" s="1"/>
      <c r="K503" s="1"/>
    </row>
    <row r="504" spans="5:11">
      <c r="E504" s="1"/>
      <c r="F504" s="1"/>
      <c r="G504" s="1"/>
      <c r="H504" s="1"/>
      <c r="I504" s="1"/>
      <c r="J504" s="1"/>
      <c r="K504" s="1"/>
    </row>
    <row r="505" spans="5:11">
      <c r="E505" s="1"/>
      <c r="F505" s="1"/>
      <c r="G505" s="1"/>
      <c r="H505" s="1"/>
      <c r="I505" s="1"/>
      <c r="J505" s="1"/>
      <c r="K505" s="1"/>
    </row>
    <row r="506" spans="5:11">
      <c r="E506" s="1"/>
      <c r="F506" s="1"/>
      <c r="G506" s="1"/>
      <c r="H506" s="1"/>
      <c r="I506" s="1"/>
      <c r="J506" s="1"/>
      <c r="K506" s="1"/>
    </row>
    <row r="507" spans="5:11">
      <c r="E507" s="1"/>
      <c r="F507" s="1"/>
      <c r="G507" s="1"/>
      <c r="H507" s="1"/>
      <c r="I507" s="1"/>
      <c r="J507" s="1"/>
      <c r="K507" s="1"/>
    </row>
    <row r="508" spans="5:11">
      <c r="E508" s="1"/>
      <c r="F508" s="1"/>
      <c r="G508" s="1"/>
      <c r="H508" s="1"/>
      <c r="I508" s="1"/>
      <c r="J508" s="1"/>
      <c r="K508" s="1"/>
    </row>
    <row r="509" spans="5:11">
      <c r="E509" s="1"/>
      <c r="F509" s="1"/>
      <c r="G509" s="1"/>
      <c r="H509" s="1"/>
      <c r="I509" s="1"/>
      <c r="J509" s="1"/>
      <c r="K509" s="1"/>
    </row>
    <row r="510" spans="5:11">
      <c r="E510" s="1"/>
      <c r="F510" s="1"/>
      <c r="G510" s="1"/>
      <c r="H510" s="1"/>
      <c r="I510" s="1"/>
      <c r="J510" s="1"/>
      <c r="K510" s="1"/>
    </row>
    <row r="511" spans="5:11">
      <c r="E511" s="1"/>
      <c r="F511" s="1"/>
      <c r="G511" s="1"/>
      <c r="H511" s="1"/>
      <c r="I511" s="1"/>
      <c r="J511" s="1"/>
      <c r="K511" s="1"/>
    </row>
    <row r="512" spans="5:11">
      <c r="E512" s="1"/>
      <c r="F512" s="1"/>
      <c r="G512" s="1"/>
      <c r="H512" s="1"/>
      <c r="I512" s="1"/>
      <c r="J512" s="1"/>
      <c r="K512" s="1"/>
    </row>
    <row r="513" spans="5:11">
      <c r="E513" s="1"/>
      <c r="F513" s="1"/>
      <c r="G513" s="1"/>
      <c r="H513" s="1"/>
      <c r="I513" s="1"/>
      <c r="J513" s="1"/>
      <c r="K513" s="1"/>
    </row>
    <row r="514" spans="5:11">
      <c r="E514" s="1"/>
      <c r="F514" s="1"/>
      <c r="G514" s="1"/>
      <c r="H514" s="1"/>
      <c r="I514" s="1"/>
      <c r="J514" s="1"/>
      <c r="K514" s="1"/>
    </row>
    <row r="515" spans="5:11">
      <c r="E515" s="1"/>
      <c r="F515" s="1"/>
      <c r="G515" s="1"/>
      <c r="H515" s="1"/>
      <c r="I515" s="1"/>
      <c r="J515" s="1"/>
      <c r="K515" s="1"/>
    </row>
    <row r="516" spans="5:11">
      <c r="E516" s="1"/>
      <c r="F516" s="1"/>
      <c r="G516" s="1"/>
      <c r="H516" s="1"/>
      <c r="I516" s="1"/>
      <c r="J516" s="1"/>
      <c r="K516" s="1"/>
    </row>
    <row r="517" spans="5:11">
      <c r="E517" s="1"/>
      <c r="F517" s="1"/>
      <c r="G517" s="1"/>
      <c r="H517" s="1"/>
      <c r="I517" s="1"/>
      <c r="J517" s="1"/>
      <c r="K517" s="1"/>
    </row>
    <row r="518" spans="5:11">
      <c r="E518" s="1"/>
      <c r="F518" s="1"/>
      <c r="G518" s="1"/>
      <c r="H518" s="1"/>
      <c r="I518" s="1"/>
      <c r="J518" s="1"/>
      <c r="K518" s="1"/>
    </row>
    <row r="519" spans="5:11">
      <c r="E519" s="1"/>
      <c r="F519" s="1"/>
      <c r="G519" s="1"/>
      <c r="H519" s="1"/>
      <c r="I519" s="1"/>
      <c r="J519" s="1"/>
      <c r="K519" s="1"/>
    </row>
    <row r="520" spans="5:11">
      <c r="E520" s="1"/>
      <c r="F520" s="1"/>
      <c r="G520" s="1"/>
      <c r="H520" s="1"/>
      <c r="I520" s="1"/>
      <c r="J520" s="1"/>
      <c r="K520" s="1"/>
    </row>
    <row r="521" spans="5:11">
      <c r="E521" s="1"/>
      <c r="F521" s="1"/>
      <c r="G521" s="1"/>
      <c r="H521" s="1"/>
      <c r="I521" s="1"/>
      <c r="J521" s="1"/>
      <c r="K521" s="1"/>
    </row>
    <row r="522" spans="5:11">
      <c r="E522" s="1"/>
      <c r="F522" s="1"/>
      <c r="G522" s="1"/>
      <c r="H522" s="1"/>
      <c r="I522" s="1"/>
      <c r="J522" s="1"/>
      <c r="K522" s="1"/>
    </row>
    <row r="523" spans="5:11">
      <c r="E523" s="1"/>
      <c r="F523" s="1"/>
      <c r="G523" s="1"/>
      <c r="H523" s="1"/>
      <c r="I523" s="1"/>
      <c r="J523" s="1"/>
      <c r="K523" s="1"/>
    </row>
    <row r="524" spans="5:11">
      <c r="E524" s="1"/>
      <c r="F524" s="1"/>
      <c r="G524" s="1"/>
      <c r="H524" s="1"/>
      <c r="I524" s="1"/>
      <c r="J524" s="1"/>
      <c r="K524" s="1"/>
    </row>
    <row r="525" spans="5:11">
      <c r="E525" s="1"/>
      <c r="F525" s="1"/>
      <c r="G525" s="1"/>
      <c r="H525" s="1"/>
      <c r="I525" s="1"/>
      <c r="J525" s="1"/>
      <c r="K525" s="1"/>
    </row>
    <row r="526" spans="5:11">
      <c r="E526" s="1"/>
      <c r="F526" s="1"/>
      <c r="G526" s="1"/>
      <c r="H526" s="1"/>
      <c r="I526" s="1"/>
      <c r="J526" s="1"/>
      <c r="K526" s="1"/>
    </row>
    <row r="527" spans="5:11">
      <c r="E527" s="1"/>
      <c r="F527" s="1"/>
      <c r="G527" s="1"/>
      <c r="H527" s="1"/>
      <c r="I527" s="1"/>
      <c r="J527" s="1"/>
      <c r="K527" s="1"/>
    </row>
    <row r="528" spans="5:11">
      <c r="E528" s="1"/>
      <c r="F528" s="1"/>
      <c r="G528" s="1"/>
      <c r="H528" s="1"/>
      <c r="I528" s="1"/>
      <c r="J528" s="1"/>
      <c r="K528" s="1"/>
    </row>
    <row r="529" spans="5:11">
      <c r="E529" s="1"/>
      <c r="F529" s="1"/>
      <c r="G529" s="1"/>
      <c r="H529" s="1"/>
      <c r="I529" s="1"/>
      <c r="J529" s="1"/>
      <c r="K529" s="1"/>
    </row>
    <row r="530" spans="5:11">
      <c r="E530" s="1"/>
      <c r="F530" s="1"/>
      <c r="G530" s="1"/>
      <c r="H530" s="1"/>
      <c r="I530" s="1"/>
      <c r="J530" s="1"/>
      <c r="K530" s="1"/>
    </row>
    <row r="531" spans="5:11">
      <c r="E531" s="1"/>
      <c r="F531" s="1"/>
      <c r="G531" s="1"/>
      <c r="H531" s="1"/>
      <c r="I531" s="1"/>
      <c r="J531" s="1"/>
      <c r="K531" s="1"/>
    </row>
    <row r="532" spans="5:11">
      <c r="E532" s="1"/>
      <c r="F532" s="1"/>
      <c r="G532" s="1"/>
      <c r="H532" s="1"/>
      <c r="I532" s="1"/>
      <c r="J532" s="1"/>
      <c r="K532" s="1"/>
    </row>
    <row r="533" spans="5:11">
      <c r="E533" s="1"/>
      <c r="F533" s="1"/>
      <c r="G533" s="1"/>
      <c r="H533" s="1"/>
      <c r="I533" s="1"/>
      <c r="J533" s="1"/>
      <c r="K533" s="1"/>
    </row>
    <row r="534" spans="5:11">
      <c r="E534" s="1"/>
      <c r="F534" s="1"/>
      <c r="G534" s="1"/>
      <c r="H534" s="1"/>
      <c r="I534" s="1"/>
      <c r="J534" s="1"/>
      <c r="K534" s="1"/>
    </row>
    <row r="535" spans="5:11">
      <c r="E535" s="1"/>
      <c r="F535" s="1"/>
      <c r="G535" s="1"/>
      <c r="H535" s="1"/>
      <c r="I535" s="1"/>
      <c r="J535" s="1"/>
      <c r="K535" s="1"/>
    </row>
    <row r="536" spans="5:11">
      <c r="E536" s="1"/>
      <c r="F536" s="1"/>
      <c r="G536" s="1"/>
      <c r="H536" s="1"/>
      <c r="I536" s="1"/>
      <c r="J536" s="1"/>
      <c r="K536" s="1"/>
    </row>
    <row r="537" spans="5:11">
      <c r="E537" s="1"/>
      <c r="F537" s="1"/>
      <c r="G537" s="1"/>
      <c r="H537" s="1"/>
      <c r="I537" s="1"/>
      <c r="J537" s="1"/>
      <c r="K537" s="1"/>
    </row>
    <row r="538" spans="5:11">
      <c r="E538" s="1"/>
      <c r="F538" s="1"/>
      <c r="G538" s="1"/>
      <c r="H538" s="1"/>
      <c r="I538" s="1"/>
      <c r="J538" s="1"/>
      <c r="K538" s="1"/>
    </row>
    <row r="539" spans="5:11">
      <c r="E539" s="1"/>
      <c r="F539" s="1"/>
      <c r="G539" s="1"/>
      <c r="H539" s="1"/>
      <c r="I539" s="1"/>
      <c r="J539" s="1"/>
      <c r="K539" s="1"/>
    </row>
    <row r="540" spans="5:11">
      <c r="E540" s="1"/>
      <c r="F540" s="1"/>
      <c r="G540" s="1"/>
      <c r="H540" s="1"/>
      <c r="I540" s="1"/>
      <c r="J540" s="1"/>
      <c r="K540" s="1"/>
    </row>
    <row r="541" spans="5:11">
      <c r="E541" s="1"/>
      <c r="F541" s="1"/>
      <c r="G541" s="1"/>
      <c r="H541" s="1"/>
      <c r="I541" s="1"/>
      <c r="J541" s="1"/>
      <c r="K541" s="1"/>
    </row>
    <row r="542" spans="5:11">
      <c r="E542" s="1"/>
      <c r="F542" s="1"/>
      <c r="G542" s="1"/>
      <c r="H542" s="1"/>
      <c r="I542" s="1"/>
      <c r="J542" s="1"/>
      <c r="K542" s="1"/>
    </row>
    <row r="543" spans="5:11">
      <c r="E543" s="1"/>
      <c r="F543" s="1"/>
      <c r="G543" s="1"/>
      <c r="H543" s="1"/>
      <c r="I543" s="1"/>
      <c r="J543" s="1"/>
      <c r="K543" s="1"/>
    </row>
    <row r="544" spans="5:11">
      <c r="E544" s="1"/>
      <c r="F544" s="1"/>
      <c r="G544" s="1"/>
      <c r="H544" s="1"/>
      <c r="I544" s="1"/>
      <c r="J544" s="1"/>
      <c r="K544" s="1"/>
    </row>
    <row r="545" spans="5:11">
      <c r="E545" s="1"/>
      <c r="F545" s="1"/>
      <c r="G545" s="1"/>
      <c r="H545" s="1"/>
      <c r="I545" s="1"/>
      <c r="J545" s="1"/>
      <c r="K545" s="1"/>
    </row>
    <row r="546" spans="5:11">
      <c r="E546" s="1"/>
      <c r="F546" s="1"/>
      <c r="G546" s="1"/>
      <c r="H546" s="1"/>
      <c r="I546" s="1"/>
      <c r="J546" s="1"/>
      <c r="K546" s="1"/>
    </row>
    <row r="547" spans="5:11">
      <c r="E547" s="1"/>
      <c r="F547" s="1"/>
      <c r="G547" s="1"/>
      <c r="H547" s="1"/>
      <c r="I547" s="1"/>
      <c r="J547" s="1"/>
      <c r="K547" s="1"/>
    </row>
    <row r="548" spans="5:11">
      <c r="E548" s="1"/>
      <c r="F548" s="1"/>
      <c r="G548" s="1"/>
      <c r="H548" s="1"/>
      <c r="I548" s="1"/>
      <c r="J548" s="1"/>
      <c r="K548" s="1"/>
    </row>
    <row r="549" spans="5:11">
      <c r="E549" s="1"/>
      <c r="F549" s="1"/>
      <c r="G549" s="1"/>
      <c r="H549" s="1"/>
      <c r="I549" s="1"/>
      <c r="J549" s="1"/>
      <c r="K549" s="1"/>
    </row>
    <row r="550" spans="5:11">
      <c r="E550" s="1"/>
      <c r="F550" s="1"/>
      <c r="G550" s="1"/>
      <c r="H550" s="1"/>
      <c r="I550" s="1"/>
      <c r="J550" s="1"/>
      <c r="K550" s="1"/>
    </row>
    <row r="551" spans="5:11">
      <c r="E551" s="1"/>
      <c r="F551" s="1"/>
      <c r="G551" s="1"/>
      <c r="H551" s="1"/>
      <c r="I551" s="1"/>
      <c r="J551" s="1"/>
      <c r="K551" s="1"/>
    </row>
    <row r="552" spans="5:11">
      <c r="E552" s="1"/>
      <c r="F552" s="1"/>
      <c r="G552" s="1"/>
      <c r="H552" s="1"/>
      <c r="I552" s="1"/>
      <c r="J552" s="1"/>
      <c r="K552" s="1"/>
    </row>
    <row r="553" spans="5:11">
      <c r="E553" s="1"/>
      <c r="F553" s="1"/>
      <c r="G553" s="1"/>
      <c r="H553" s="1"/>
      <c r="I553" s="1"/>
      <c r="J553" s="1"/>
      <c r="K553" s="1"/>
    </row>
    <row r="554" spans="5:11">
      <c r="E554" s="1"/>
      <c r="F554" s="1"/>
      <c r="G554" s="1"/>
      <c r="H554" s="1"/>
      <c r="I554" s="1"/>
      <c r="J554" s="1"/>
      <c r="K554" s="1"/>
    </row>
    <row r="555" spans="5:11">
      <c r="E555" s="1"/>
      <c r="F555" s="1"/>
      <c r="G555" s="1"/>
      <c r="H555" s="1"/>
      <c r="I555" s="1"/>
      <c r="J555" s="1"/>
      <c r="K555" s="1"/>
    </row>
    <row r="556" spans="5:11">
      <c r="E556" s="1"/>
      <c r="F556" s="1"/>
      <c r="G556" s="1"/>
      <c r="H556" s="1"/>
      <c r="I556" s="1"/>
      <c r="J556" s="1"/>
      <c r="K556" s="1"/>
    </row>
    <row r="557" spans="5:11">
      <c r="E557" s="1"/>
      <c r="F557" s="1"/>
      <c r="G557" s="1"/>
      <c r="H557" s="1"/>
      <c r="I557" s="1"/>
      <c r="J557" s="1"/>
      <c r="K557" s="1"/>
    </row>
    <row r="558" spans="5:11">
      <c r="E558" s="1"/>
      <c r="F558" s="1"/>
      <c r="G558" s="1"/>
      <c r="H558" s="1"/>
      <c r="I558" s="1"/>
      <c r="J558" s="1"/>
      <c r="K558" s="1"/>
    </row>
    <row r="559" spans="5:11">
      <c r="E559" s="1"/>
      <c r="F559" s="1"/>
      <c r="G559" s="1"/>
      <c r="H559" s="1"/>
      <c r="I559" s="1"/>
      <c r="J559" s="1"/>
      <c r="K559" s="1"/>
    </row>
    <row r="560" spans="5:11">
      <c r="E560" s="1"/>
      <c r="F560" s="1"/>
      <c r="G560" s="1"/>
      <c r="H560" s="1"/>
      <c r="I560" s="1"/>
      <c r="J560" s="1"/>
      <c r="K560" s="1"/>
    </row>
    <row r="561" spans="5:11">
      <c r="E561" s="1"/>
      <c r="F561" s="1"/>
      <c r="G561" s="1"/>
      <c r="H561" s="1"/>
      <c r="I561" s="1"/>
      <c r="J561" s="1"/>
      <c r="K561" s="1"/>
    </row>
    <row r="562" spans="5:11">
      <c r="E562" s="1"/>
      <c r="F562" s="1"/>
      <c r="G562" s="1"/>
      <c r="H562" s="1"/>
      <c r="I562" s="1"/>
      <c r="J562" s="1"/>
      <c r="K562" s="1"/>
    </row>
    <row r="563" spans="5:11">
      <c r="E563" s="1"/>
      <c r="F563" s="1"/>
      <c r="G563" s="1"/>
      <c r="H563" s="1"/>
      <c r="I563" s="1"/>
      <c r="J563" s="1"/>
      <c r="K563" s="1"/>
    </row>
    <row r="564" spans="5:11">
      <c r="E564" s="1"/>
      <c r="F564" s="1"/>
      <c r="G564" s="1"/>
      <c r="H564" s="1"/>
      <c r="I564" s="1"/>
      <c r="J564" s="1"/>
      <c r="K564" s="1"/>
    </row>
    <row r="565" spans="5:11">
      <c r="E565" s="1"/>
      <c r="F565" s="1"/>
      <c r="G565" s="1"/>
      <c r="H565" s="1"/>
      <c r="I565" s="1"/>
      <c r="J565" s="1"/>
      <c r="K565" s="1"/>
    </row>
    <row r="566" spans="5:11">
      <c r="E566" s="1"/>
      <c r="F566" s="1"/>
      <c r="G566" s="1"/>
      <c r="H566" s="1"/>
      <c r="I566" s="1"/>
      <c r="J566" s="1"/>
      <c r="K566" s="1"/>
    </row>
    <row r="567" spans="5:11">
      <c r="E567" s="1"/>
      <c r="F567" s="1"/>
      <c r="G567" s="1"/>
      <c r="H567" s="1"/>
      <c r="I567" s="1"/>
      <c r="J567" s="1"/>
      <c r="K567" s="1"/>
    </row>
    <row r="568" spans="5:11">
      <c r="E568" s="1"/>
      <c r="F568" s="1"/>
      <c r="G568" s="1"/>
      <c r="H568" s="1"/>
      <c r="I568" s="1"/>
      <c r="J568" s="1"/>
      <c r="K568" s="1"/>
    </row>
    <row r="569" spans="5:11">
      <c r="E569" s="1"/>
      <c r="F569" s="1"/>
      <c r="G569" s="1"/>
      <c r="H569" s="1"/>
      <c r="I569" s="1"/>
      <c r="J569" s="1"/>
      <c r="K569" s="1"/>
    </row>
    <row r="570" spans="5:11">
      <c r="E570" s="1"/>
      <c r="F570" s="1"/>
      <c r="G570" s="1"/>
      <c r="H570" s="1"/>
      <c r="I570" s="1"/>
      <c r="J570" s="1"/>
      <c r="K570" s="1"/>
    </row>
    <row r="571" spans="5:11">
      <c r="E571" s="1"/>
      <c r="F571" s="1"/>
      <c r="G571" s="1"/>
      <c r="H571" s="1"/>
      <c r="I571" s="1"/>
      <c r="J571" s="1"/>
      <c r="K571" s="1"/>
    </row>
    <row r="572" spans="5:11">
      <c r="E572" s="1"/>
      <c r="F572" s="1"/>
      <c r="G572" s="1"/>
      <c r="H572" s="1"/>
      <c r="I572" s="1"/>
      <c r="J572" s="1"/>
      <c r="K572" s="1"/>
    </row>
    <row r="573" spans="5:11">
      <c r="E573" s="1"/>
      <c r="F573" s="1"/>
      <c r="G573" s="1"/>
      <c r="H573" s="1"/>
      <c r="I573" s="1"/>
      <c r="J573" s="1"/>
      <c r="K573" s="1"/>
    </row>
    <row r="574" spans="5:11">
      <c r="E574" s="1"/>
      <c r="F574" s="1"/>
      <c r="G574" s="1"/>
      <c r="H574" s="1"/>
      <c r="I574" s="1"/>
      <c r="J574" s="1"/>
      <c r="K574" s="1"/>
    </row>
    <row r="575" spans="5:11">
      <c r="E575" s="1"/>
      <c r="F575" s="1"/>
      <c r="G575" s="1"/>
      <c r="H575" s="1"/>
      <c r="I575" s="1"/>
      <c r="J575" s="1"/>
      <c r="K575" s="1"/>
    </row>
    <row r="576" spans="5:11">
      <c r="E576" s="1"/>
      <c r="F576" s="1"/>
      <c r="G576" s="1"/>
      <c r="H576" s="1"/>
      <c r="I576" s="1"/>
      <c r="J576" s="1"/>
      <c r="K576" s="1"/>
    </row>
    <row r="577" spans="5:11">
      <c r="E577" s="1"/>
      <c r="F577" s="1"/>
      <c r="G577" s="1"/>
      <c r="H577" s="1"/>
      <c r="I577" s="1"/>
      <c r="J577" s="1"/>
      <c r="K577" s="1"/>
    </row>
    <row r="578" spans="5:11">
      <c r="E578" s="1"/>
      <c r="F578" s="1"/>
      <c r="G578" s="1"/>
      <c r="H578" s="1"/>
      <c r="I578" s="1"/>
      <c r="J578" s="1"/>
      <c r="K578" s="1"/>
    </row>
    <row r="579" spans="5:11">
      <c r="E579" s="1"/>
      <c r="F579" s="1"/>
      <c r="G579" s="1"/>
      <c r="H579" s="1"/>
      <c r="I579" s="1"/>
      <c r="J579" s="1"/>
      <c r="K579" s="1"/>
    </row>
    <row r="580" spans="5:11">
      <c r="E580" s="1"/>
      <c r="F580" s="1"/>
      <c r="G580" s="1"/>
      <c r="H580" s="1"/>
      <c r="I580" s="1"/>
      <c r="J580" s="1"/>
      <c r="K580" s="1"/>
    </row>
    <row r="581" spans="5:11">
      <c r="E581" s="1"/>
      <c r="F581" s="1"/>
      <c r="G581" s="1"/>
      <c r="H581" s="1"/>
      <c r="I581" s="1"/>
      <c r="J581" s="1"/>
      <c r="K581" s="1"/>
    </row>
    <row r="582" spans="5:11">
      <c r="E582" s="1"/>
      <c r="F582" s="1"/>
      <c r="G582" s="1"/>
      <c r="H582" s="1"/>
      <c r="I582" s="1"/>
      <c r="J582" s="1"/>
      <c r="K582" s="1"/>
    </row>
    <row r="583" spans="5:11">
      <c r="E583" s="1"/>
      <c r="F583" s="1"/>
      <c r="G583" s="1"/>
      <c r="H583" s="1"/>
      <c r="I583" s="1"/>
      <c r="J583" s="1"/>
      <c r="K583" s="1"/>
    </row>
    <row r="584" spans="5:11">
      <c r="E584" s="1"/>
      <c r="F584" s="1"/>
      <c r="G584" s="1"/>
      <c r="H584" s="1"/>
      <c r="I584" s="1"/>
      <c r="J584" s="1"/>
      <c r="K584" s="1"/>
    </row>
    <row r="585" spans="5:11">
      <c r="E585" s="1"/>
      <c r="F585" s="1"/>
      <c r="G585" s="1"/>
      <c r="H585" s="1"/>
      <c r="I585" s="1"/>
      <c r="J585" s="1"/>
      <c r="K585" s="1"/>
    </row>
    <row r="586" spans="5:11">
      <c r="E586" s="1"/>
      <c r="F586" s="1"/>
      <c r="G586" s="1"/>
      <c r="H586" s="1"/>
      <c r="I586" s="1"/>
      <c r="J586" s="1"/>
      <c r="K586" s="1"/>
    </row>
    <row r="587" spans="5:11">
      <c r="E587" s="1"/>
      <c r="F587" s="1"/>
      <c r="G587" s="1"/>
      <c r="H587" s="1"/>
      <c r="I587" s="1"/>
      <c r="J587" s="1"/>
      <c r="K587" s="1"/>
    </row>
    <row r="588" spans="5:11">
      <c r="E588" s="1"/>
      <c r="F588" s="1"/>
      <c r="G588" s="1"/>
      <c r="H588" s="1"/>
      <c r="I588" s="1"/>
      <c r="J588" s="1"/>
      <c r="K588" s="1"/>
    </row>
    <row r="589" spans="5:11">
      <c r="E589" s="1"/>
      <c r="F589" s="1"/>
      <c r="G589" s="1"/>
      <c r="H589" s="1"/>
      <c r="I589" s="1"/>
      <c r="J589" s="1"/>
      <c r="K589" s="1"/>
    </row>
    <row r="590" spans="5:11">
      <c r="E590" s="1"/>
      <c r="F590" s="1"/>
      <c r="G590" s="1"/>
      <c r="H590" s="1"/>
      <c r="I590" s="1"/>
      <c r="J590" s="1"/>
      <c r="K590" s="1"/>
    </row>
    <row r="591" spans="5:11">
      <c r="E591" s="1"/>
      <c r="F591" s="1"/>
      <c r="G591" s="1"/>
      <c r="H591" s="1"/>
      <c r="I591" s="1"/>
      <c r="J591" s="1"/>
      <c r="K591" s="1"/>
    </row>
    <row r="592" spans="5:11">
      <c r="E592" s="1"/>
      <c r="F592" s="1"/>
      <c r="G592" s="1"/>
      <c r="H592" s="1"/>
      <c r="I592" s="1"/>
      <c r="J592" s="1"/>
      <c r="K592" s="1"/>
    </row>
    <row r="593" spans="5:11">
      <c r="E593" s="1"/>
      <c r="F593" s="1"/>
      <c r="G593" s="1"/>
      <c r="H593" s="1"/>
      <c r="I593" s="1"/>
      <c r="J593" s="1"/>
      <c r="K593" s="1"/>
    </row>
    <row r="594" spans="5:11">
      <c r="E594" s="1"/>
      <c r="F594" s="1"/>
      <c r="G594" s="1"/>
      <c r="H594" s="1"/>
      <c r="I594" s="1"/>
      <c r="J594" s="1"/>
      <c r="K594" s="1"/>
    </row>
    <row r="595" spans="5:11">
      <c r="E595" s="1"/>
      <c r="F595" s="1"/>
      <c r="G595" s="1"/>
      <c r="H595" s="1"/>
      <c r="I595" s="1"/>
      <c r="J595" s="1"/>
      <c r="K595" s="1"/>
    </row>
    <row r="596" spans="5:11">
      <c r="E596" s="1"/>
      <c r="F596" s="1"/>
      <c r="G596" s="1"/>
      <c r="H596" s="1"/>
      <c r="I596" s="1"/>
      <c r="J596" s="1"/>
      <c r="K596" s="1"/>
    </row>
    <row r="597" spans="5:11">
      <c r="E597" s="1"/>
      <c r="F597" s="1"/>
      <c r="G597" s="1"/>
      <c r="H597" s="1"/>
      <c r="I597" s="1"/>
      <c r="J597" s="1"/>
      <c r="K597" s="1"/>
    </row>
    <row r="598" spans="5:11">
      <c r="E598" s="1"/>
      <c r="F598" s="1"/>
      <c r="G598" s="1"/>
      <c r="H598" s="1"/>
      <c r="I598" s="1"/>
      <c r="J598" s="1"/>
      <c r="K598" s="1"/>
    </row>
    <row r="599" spans="5:11">
      <c r="E599" s="1"/>
      <c r="F599" s="1"/>
      <c r="G599" s="1"/>
      <c r="H599" s="1"/>
      <c r="I599" s="1"/>
      <c r="J599" s="1"/>
      <c r="K599" s="1"/>
    </row>
    <row r="600" spans="5:11">
      <c r="E600" s="1"/>
      <c r="F600" s="1"/>
      <c r="G600" s="1"/>
      <c r="H600" s="1"/>
      <c r="I600" s="1"/>
      <c r="J600" s="1"/>
      <c r="K600" s="1"/>
    </row>
    <row r="601" spans="5:11">
      <c r="E601" s="1"/>
      <c r="F601" s="1"/>
      <c r="G601" s="1"/>
      <c r="H601" s="1"/>
      <c r="I601" s="1"/>
      <c r="J601" s="1"/>
      <c r="K601" s="1"/>
    </row>
    <row r="602" spans="5:11">
      <c r="E602" s="1"/>
      <c r="F602" s="1"/>
      <c r="G602" s="1"/>
      <c r="H602" s="1"/>
      <c r="I602" s="1"/>
      <c r="J602" s="1"/>
      <c r="K602" s="1"/>
    </row>
    <row r="603" spans="5:11">
      <c r="E603" s="1"/>
      <c r="F603" s="1"/>
      <c r="G603" s="1"/>
      <c r="H603" s="1"/>
      <c r="I603" s="1"/>
      <c r="J603" s="1"/>
      <c r="K603" s="1"/>
    </row>
    <row r="604" spans="5:11">
      <c r="E604" s="1"/>
      <c r="F604" s="1"/>
      <c r="G604" s="1"/>
      <c r="H604" s="1"/>
      <c r="I604" s="1"/>
      <c r="J604" s="1"/>
      <c r="K604" s="1"/>
    </row>
    <row r="605" spans="5:11">
      <c r="E605" s="1"/>
      <c r="F605" s="1"/>
      <c r="G605" s="1"/>
      <c r="H605" s="1"/>
      <c r="I605" s="1"/>
      <c r="J605" s="1"/>
      <c r="K605" s="1"/>
    </row>
    <row r="606" spans="5:11">
      <c r="E606" s="1"/>
      <c r="F606" s="1"/>
      <c r="G606" s="1"/>
      <c r="H606" s="1"/>
      <c r="I606" s="1"/>
      <c r="J606" s="1"/>
      <c r="K606" s="1"/>
    </row>
    <row r="607" spans="5:11">
      <c r="E607" s="1"/>
      <c r="F607" s="1"/>
      <c r="G607" s="1"/>
      <c r="H607" s="1"/>
      <c r="I607" s="1"/>
      <c r="J607" s="1"/>
      <c r="K607" s="1"/>
    </row>
    <row r="608" spans="5:11">
      <c r="E608" s="1"/>
      <c r="F608" s="1"/>
      <c r="G608" s="1"/>
      <c r="H608" s="1"/>
      <c r="I608" s="1"/>
      <c r="J608" s="1"/>
      <c r="K608" s="1"/>
    </row>
    <row r="609" spans="5:11">
      <c r="E609" s="1"/>
      <c r="F609" s="1"/>
      <c r="G609" s="1"/>
      <c r="H609" s="1"/>
      <c r="I609" s="1"/>
      <c r="J609" s="1"/>
      <c r="K609" s="1"/>
    </row>
    <row r="610" spans="5:11">
      <c r="E610" s="1"/>
      <c r="F610" s="1"/>
      <c r="G610" s="1"/>
      <c r="H610" s="1"/>
      <c r="I610" s="1"/>
      <c r="J610" s="1"/>
      <c r="K610" s="1"/>
    </row>
    <row r="611" spans="5:11">
      <c r="E611" s="1"/>
      <c r="F611" s="1"/>
      <c r="G611" s="1"/>
      <c r="H611" s="1"/>
      <c r="I611" s="1"/>
      <c r="J611" s="1"/>
      <c r="K611" s="1"/>
    </row>
    <row r="612" spans="5:11">
      <c r="E612" s="1"/>
      <c r="F612" s="1"/>
      <c r="G612" s="1"/>
      <c r="H612" s="1"/>
      <c r="I612" s="1"/>
      <c r="J612" s="1"/>
      <c r="K612" s="1"/>
    </row>
    <row r="613" spans="5:11">
      <c r="E613" s="1"/>
      <c r="F613" s="1"/>
      <c r="G613" s="1"/>
      <c r="H613" s="1"/>
      <c r="I613" s="1"/>
      <c r="J613" s="1"/>
      <c r="K613" s="1"/>
    </row>
    <row r="614" spans="5:11">
      <c r="E614" s="1"/>
      <c r="F614" s="1"/>
      <c r="G614" s="1"/>
      <c r="H614" s="1"/>
      <c r="I614" s="1"/>
      <c r="J614" s="1"/>
      <c r="K614" s="1"/>
    </row>
    <row r="615" spans="5:11">
      <c r="E615" s="1"/>
      <c r="F615" s="1"/>
      <c r="G615" s="1"/>
      <c r="H615" s="1"/>
      <c r="I615" s="1"/>
      <c r="J615" s="1"/>
      <c r="K615" s="1"/>
    </row>
    <row r="616" spans="5:11">
      <c r="E616" s="1"/>
      <c r="F616" s="1"/>
      <c r="G616" s="1"/>
      <c r="H616" s="1"/>
      <c r="I616" s="1"/>
      <c r="J616" s="1"/>
      <c r="K616" s="1"/>
    </row>
    <row r="617" spans="5:11">
      <c r="E617" s="1"/>
      <c r="F617" s="1"/>
      <c r="G617" s="1"/>
      <c r="H617" s="1"/>
      <c r="I617" s="1"/>
      <c r="J617" s="1"/>
      <c r="K617" s="1"/>
    </row>
    <row r="618" spans="5:11">
      <c r="E618" s="1"/>
      <c r="F618" s="1"/>
      <c r="G618" s="1"/>
      <c r="H618" s="1"/>
      <c r="I618" s="1"/>
      <c r="J618" s="1"/>
      <c r="K618" s="1"/>
    </row>
    <row r="619" spans="5:11">
      <c r="E619" s="1"/>
      <c r="F619" s="1"/>
      <c r="G619" s="1"/>
      <c r="H619" s="1"/>
      <c r="I619" s="1"/>
      <c r="J619" s="1"/>
      <c r="K619" s="1"/>
    </row>
    <row r="620" spans="5:11">
      <c r="E620" s="1"/>
      <c r="F620" s="1"/>
      <c r="G620" s="1"/>
      <c r="H620" s="1"/>
      <c r="I620" s="1"/>
      <c r="J620" s="1"/>
      <c r="K620" s="1"/>
    </row>
    <row r="621" spans="5:11">
      <c r="E621" s="1"/>
      <c r="F621" s="1"/>
      <c r="G621" s="1"/>
      <c r="H621" s="1"/>
      <c r="I621" s="1"/>
      <c r="J621" s="1"/>
      <c r="K621" s="1"/>
    </row>
    <row r="622" spans="5:11">
      <c r="E622" s="1"/>
      <c r="F622" s="1"/>
      <c r="G622" s="1"/>
      <c r="H622" s="1"/>
      <c r="I622" s="1"/>
      <c r="J622" s="1"/>
      <c r="K622" s="1"/>
    </row>
    <row r="623" spans="5:11">
      <c r="E623" s="1"/>
      <c r="F623" s="1"/>
      <c r="G623" s="1"/>
      <c r="H623" s="1"/>
      <c r="I623" s="1"/>
      <c r="J623" s="1"/>
      <c r="K623" s="1"/>
    </row>
    <row r="624" spans="5:11">
      <c r="E624" s="1"/>
      <c r="F624" s="1"/>
      <c r="G624" s="1"/>
      <c r="H624" s="1"/>
      <c r="I624" s="1"/>
      <c r="J624" s="1"/>
      <c r="K624" s="1"/>
    </row>
    <row r="625" spans="5:11">
      <c r="E625" s="1"/>
      <c r="F625" s="1"/>
      <c r="G625" s="1"/>
      <c r="H625" s="1"/>
      <c r="I625" s="1"/>
      <c r="J625" s="1"/>
      <c r="K625" s="1"/>
    </row>
    <row r="626" spans="5:11">
      <c r="E626" s="1"/>
      <c r="F626" s="1"/>
      <c r="G626" s="1"/>
      <c r="H626" s="1"/>
      <c r="I626" s="1"/>
      <c r="J626" s="1"/>
      <c r="K626" s="1"/>
    </row>
    <row r="627" spans="5:11">
      <c r="E627" s="1"/>
      <c r="F627" s="1"/>
      <c r="G627" s="1"/>
      <c r="H627" s="1"/>
      <c r="I627" s="1"/>
      <c r="J627" s="1"/>
      <c r="K627" s="1"/>
    </row>
    <row r="628" spans="5:11">
      <c r="E628" s="1"/>
      <c r="F628" s="1"/>
      <c r="G628" s="1"/>
      <c r="H628" s="1"/>
      <c r="I628" s="1"/>
      <c r="J628" s="1"/>
      <c r="K628" s="1"/>
    </row>
    <row r="629" spans="5:11">
      <c r="E629" s="1"/>
      <c r="F629" s="1"/>
      <c r="G629" s="1"/>
      <c r="H629" s="1"/>
      <c r="I629" s="1"/>
      <c r="J629" s="1"/>
      <c r="K629" s="1"/>
    </row>
    <row r="630" spans="5:11">
      <c r="E630" s="1"/>
      <c r="F630" s="1"/>
      <c r="G630" s="1"/>
      <c r="H630" s="1"/>
      <c r="I630" s="1"/>
      <c r="J630" s="1"/>
      <c r="K630" s="1"/>
    </row>
    <row r="631" spans="5:11">
      <c r="E631" s="1"/>
      <c r="F631" s="1"/>
      <c r="G631" s="1"/>
      <c r="H631" s="1"/>
      <c r="I631" s="1"/>
      <c r="J631" s="1"/>
      <c r="K631" s="1"/>
    </row>
    <row r="632" spans="5:11">
      <c r="E632" s="1"/>
      <c r="F632" s="1"/>
      <c r="G632" s="1"/>
      <c r="H632" s="1"/>
      <c r="I632" s="1"/>
      <c r="J632" s="1"/>
      <c r="K632" s="1"/>
    </row>
    <row r="633" spans="5:11">
      <c r="E633" s="1"/>
      <c r="F633" s="1"/>
      <c r="G633" s="1"/>
      <c r="H633" s="1"/>
      <c r="I633" s="1"/>
      <c r="J633" s="1"/>
      <c r="K633" s="1"/>
    </row>
    <row r="634" spans="5:11">
      <c r="E634" s="1"/>
      <c r="F634" s="1"/>
      <c r="G634" s="1"/>
      <c r="H634" s="1"/>
      <c r="I634" s="1"/>
      <c r="J634" s="1"/>
      <c r="K634" s="1"/>
    </row>
    <row r="635" spans="5:11">
      <c r="E635" s="1"/>
      <c r="F635" s="1"/>
      <c r="G635" s="1"/>
      <c r="H635" s="1"/>
      <c r="I635" s="1"/>
      <c r="J635" s="1"/>
      <c r="K635" s="1"/>
    </row>
    <row r="636" spans="5:11">
      <c r="E636" s="1"/>
      <c r="F636" s="1"/>
      <c r="G636" s="1"/>
      <c r="H636" s="1"/>
      <c r="I636" s="1"/>
      <c r="J636" s="1"/>
      <c r="K636" s="1"/>
    </row>
    <row r="637" spans="5:11">
      <c r="E637" s="1"/>
      <c r="F637" s="1"/>
      <c r="G637" s="1"/>
      <c r="H637" s="1"/>
      <c r="I637" s="1"/>
      <c r="J637" s="1"/>
      <c r="K637" s="1"/>
    </row>
    <row r="638" spans="5:11">
      <c r="E638" s="1"/>
      <c r="F638" s="1"/>
      <c r="G638" s="1"/>
      <c r="H638" s="1"/>
      <c r="I638" s="1"/>
      <c r="J638" s="1"/>
      <c r="K638" s="1"/>
    </row>
    <row r="639" spans="5:11">
      <c r="E639" s="1"/>
      <c r="F639" s="1"/>
      <c r="G639" s="1"/>
      <c r="H639" s="1"/>
      <c r="I639" s="1"/>
      <c r="J639" s="1"/>
      <c r="K639" s="1"/>
    </row>
    <row r="640" spans="5:11">
      <c r="E640" s="1"/>
      <c r="F640" s="1"/>
      <c r="G640" s="1"/>
      <c r="H640" s="1"/>
      <c r="I640" s="1"/>
      <c r="J640" s="1"/>
      <c r="K640" s="1"/>
    </row>
    <row r="641" spans="5:11">
      <c r="E641" s="1"/>
      <c r="F641" s="1"/>
      <c r="G641" s="1"/>
      <c r="H641" s="1"/>
      <c r="I641" s="1"/>
      <c r="J641" s="1"/>
      <c r="K641" s="1"/>
    </row>
    <row r="642" spans="5:11">
      <c r="E642" s="1"/>
      <c r="F642" s="1"/>
      <c r="G642" s="1"/>
      <c r="H642" s="1"/>
      <c r="I642" s="1"/>
      <c r="J642" s="1"/>
      <c r="K642" s="1"/>
    </row>
    <row r="643" spans="5:11">
      <c r="E643" s="1"/>
      <c r="F643" s="1"/>
      <c r="G643" s="1"/>
      <c r="H643" s="1"/>
      <c r="I643" s="1"/>
      <c r="J643" s="1"/>
      <c r="K643" s="1"/>
    </row>
    <row r="644" spans="5:11">
      <c r="E644" s="1"/>
      <c r="F644" s="1"/>
      <c r="G644" s="1"/>
      <c r="H644" s="1"/>
      <c r="I644" s="1"/>
      <c r="J644" s="1"/>
      <c r="K644" s="1"/>
    </row>
    <row r="645" spans="5:11">
      <c r="E645" s="1"/>
      <c r="F645" s="1"/>
      <c r="G645" s="1"/>
      <c r="H645" s="1"/>
      <c r="I645" s="1"/>
      <c r="J645" s="1"/>
      <c r="K645" s="1"/>
    </row>
    <row r="646" spans="5:11">
      <c r="E646" s="1"/>
      <c r="F646" s="1"/>
      <c r="G646" s="1"/>
      <c r="H646" s="1"/>
      <c r="I646" s="1"/>
      <c r="J646" s="1"/>
      <c r="K646" s="1"/>
    </row>
    <row r="647" spans="5:11">
      <c r="E647" s="1"/>
      <c r="F647" s="1"/>
      <c r="G647" s="1"/>
      <c r="H647" s="1"/>
      <c r="I647" s="1"/>
      <c r="J647" s="1"/>
      <c r="K647" s="1"/>
    </row>
    <row r="648" spans="5:11">
      <c r="E648" s="1"/>
      <c r="F648" s="1"/>
      <c r="G648" s="1"/>
      <c r="H648" s="1"/>
      <c r="I648" s="1"/>
      <c r="J648" s="1"/>
      <c r="K648" s="1"/>
    </row>
    <row r="649" spans="5:11">
      <c r="E649" s="1"/>
      <c r="F649" s="1"/>
      <c r="G649" s="1"/>
      <c r="H649" s="1"/>
      <c r="I649" s="1"/>
      <c r="J649" s="1"/>
      <c r="K649" s="1"/>
    </row>
    <row r="650" spans="5:11">
      <c r="E650" s="1"/>
      <c r="F650" s="1"/>
      <c r="G650" s="1"/>
      <c r="H650" s="1"/>
      <c r="I650" s="1"/>
      <c r="J650" s="1"/>
      <c r="K650" s="1"/>
    </row>
    <row r="651" spans="5:11">
      <c r="E651" s="1"/>
      <c r="F651" s="1"/>
      <c r="G651" s="1"/>
      <c r="H651" s="1"/>
      <c r="I651" s="1"/>
      <c r="J651" s="1"/>
      <c r="K651" s="1"/>
    </row>
    <row r="652" spans="5:11">
      <c r="E652" s="1"/>
      <c r="F652" s="1"/>
      <c r="G652" s="1"/>
      <c r="H652" s="1"/>
      <c r="I652" s="1"/>
      <c r="J652" s="1"/>
      <c r="K652" s="1"/>
    </row>
    <row r="653" spans="5:11">
      <c r="E653" s="1"/>
      <c r="F653" s="1"/>
      <c r="G653" s="1"/>
      <c r="H653" s="1"/>
      <c r="I653" s="1"/>
      <c r="J653" s="1"/>
      <c r="K653" s="1"/>
    </row>
    <row r="654" spans="5:11">
      <c r="E654" s="1"/>
      <c r="F654" s="1"/>
      <c r="G654" s="1"/>
      <c r="H654" s="1"/>
      <c r="I654" s="1"/>
      <c r="J654" s="1"/>
      <c r="K654" s="1"/>
    </row>
    <row r="655" spans="5:11">
      <c r="E655" s="1"/>
      <c r="F655" s="1"/>
      <c r="G655" s="1"/>
      <c r="H655" s="1"/>
      <c r="I655" s="1"/>
      <c r="J655" s="1"/>
      <c r="K655" s="1"/>
    </row>
    <row r="656" spans="5:11">
      <c r="E656" s="1"/>
      <c r="F656" s="1"/>
      <c r="G656" s="1"/>
      <c r="H656" s="1"/>
      <c r="I656" s="1"/>
      <c r="J656" s="1"/>
      <c r="K656" s="1"/>
    </row>
    <row r="657" spans="5:11">
      <c r="E657" s="1"/>
      <c r="F657" s="1"/>
      <c r="G657" s="1"/>
      <c r="H657" s="1"/>
      <c r="I657" s="1"/>
      <c r="J657" s="1"/>
      <c r="K657" s="1"/>
    </row>
    <row r="658" spans="5:11">
      <c r="E658" s="1"/>
      <c r="F658" s="1"/>
      <c r="G658" s="1"/>
      <c r="H658" s="1"/>
      <c r="I658" s="1"/>
      <c r="J658" s="1"/>
      <c r="K658" s="1"/>
    </row>
    <row r="659" spans="5:11">
      <c r="E659" s="1"/>
      <c r="F659" s="1"/>
      <c r="G659" s="1"/>
      <c r="H659" s="1"/>
      <c r="I659" s="1"/>
      <c r="J659" s="1"/>
      <c r="K659" s="1"/>
    </row>
    <row r="660" spans="5:11">
      <c r="E660" s="1"/>
      <c r="F660" s="1"/>
      <c r="G660" s="1"/>
      <c r="H660" s="1"/>
      <c r="I660" s="1"/>
      <c r="J660" s="1"/>
      <c r="K660" s="1"/>
    </row>
    <row r="661" spans="5:11">
      <c r="E661" s="1"/>
      <c r="F661" s="1"/>
      <c r="G661" s="1"/>
      <c r="H661" s="1"/>
      <c r="I661" s="1"/>
      <c r="J661" s="1"/>
      <c r="K661" s="1"/>
    </row>
    <row r="662" spans="5:11">
      <c r="E662" s="1"/>
      <c r="F662" s="1"/>
      <c r="G662" s="1"/>
      <c r="H662" s="1"/>
      <c r="I662" s="1"/>
      <c r="J662" s="1"/>
      <c r="K662" s="1"/>
    </row>
    <row r="663" spans="5:11">
      <c r="E663" s="1"/>
      <c r="F663" s="1"/>
      <c r="G663" s="1"/>
      <c r="H663" s="1"/>
      <c r="I663" s="1"/>
      <c r="J663" s="1"/>
      <c r="K663" s="1"/>
    </row>
    <row r="664" spans="5:11">
      <c r="E664" s="1"/>
      <c r="F664" s="1"/>
      <c r="G664" s="1"/>
      <c r="H664" s="1"/>
      <c r="I664" s="1"/>
      <c r="J664" s="1"/>
      <c r="K664" s="1"/>
    </row>
    <row r="665" spans="5:11">
      <c r="E665" s="1"/>
      <c r="F665" s="1"/>
      <c r="G665" s="1"/>
      <c r="H665" s="1"/>
      <c r="I665" s="1"/>
      <c r="J665" s="1"/>
      <c r="K665" s="1"/>
    </row>
    <row r="666" spans="5:11">
      <c r="E666" s="1"/>
      <c r="F666" s="1"/>
      <c r="G666" s="1"/>
      <c r="H666" s="1"/>
      <c r="I666" s="1"/>
      <c r="J666" s="1"/>
      <c r="K666" s="1"/>
    </row>
    <row r="667" spans="5:11">
      <c r="E667" s="1"/>
      <c r="F667" s="1"/>
      <c r="G667" s="1"/>
      <c r="H667" s="1"/>
      <c r="I667" s="1"/>
      <c r="J667" s="1"/>
      <c r="K667" s="1"/>
    </row>
    <row r="668" spans="5:11">
      <c r="E668" s="1"/>
      <c r="F668" s="1"/>
      <c r="G668" s="1"/>
      <c r="H668" s="1"/>
      <c r="I668" s="1"/>
      <c r="J668" s="1"/>
      <c r="K668" s="1"/>
    </row>
    <row r="669" spans="5:11">
      <c r="E669" s="1"/>
      <c r="F669" s="1"/>
      <c r="G669" s="1"/>
      <c r="H669" s="1"/>
      <c r="I669" s="1"/>
      <c r="J669" s="1"/>
      <c r="K669" s="1"/>
    </row>
    <row r="670" spans="5:11">
      <c r="E670" s="1"/>
      <c r="F670" s="1"/>
      <c r="G670" s="1"/>
      <c r="H670" s="1"/>
      <c r="I670" s="1"/>
      <c r="J670" s="1"/>
      <c r="K670" s="1"/>
    </row>
    <row r="671" spans="5:11">
      <c r="E671" s="1"/>
      <c r="F671" s="1"/>
      <c r="G671" s="1"/>
      <c r="H671" s="1"/>
      <c r="I671" s="1"/>
      <c r="J671" s="1"/>
      <c r="K671" s="1"/>
    </row>
    <row r="672" spans="5:11">
      <c r="E672" s="1"/>
      <c r="F672" s="1"/>
      <c r="G672" s="1"/>
      <c r="H672" s="1"/>
      <c r="I672" s="1"/>
      <c r="J672" s="1"/>
      <c r="K672" s="1"/>
    </row>
    <row r="673" spans="5:11">
      <c r="E673" s="1"/>
      <c r="F673" s="1"/>
      <c r="G673" s="1"/>
      <c r="H673" s="1"/>
      <c r="I673" s="1"/>
      <c r="J673" s="1"/>
      <c r="K673" s="1"/>
    </row>
    <row r="674" spans="5:11">
      <c r="E674" s="1"/>
      <c r="F674" s="1"/>
      <c r="G674" s="1"/>
      <c r="H674" s="1"/>
      <c r="I674" s="1"/>
      <c r="J674" s="1"/>
      <c r="K674" s="1"/>
    </row>
    <row r="675" spans="5:11">
      <c r="E675" s="1"/>
      <c r="F675" s="1"/>
      <c r="G675" s="1"/>
      <c r="H675" s="1"/>
      <c r="I675" s="1"/>
      <c r="J675" s="1"/>
      <c r="K675" s="1"/>
    </row>
    <row r="676" spans="5:11">
      <c r="E676" s="1"/>
      <c r="F676" s="1"/>
      <c r="G676" s="1"/>
      <c r="H676" s="1"/>
      <c r="I676" s="1"/>
      <c r="J676" s="1"/>
      <c r="K676" s="1"/>
    </row>
    <row r="677" spans="5:11">
      <c r="E677" s="1"/>
      <c r="F677" s="1"/>
      <c r="G677" s="1"/>
      <c r="H677" s="1"/>
      <c r="I677" s="1"/>
      <c r="J677" s="1"/>
      <c r="K677" s="1"/>
    </row>
    <row r="678" spans="5:11">
      <c r="E678" s="1"/>
      <c r="F678" s="1"/>
      <c r="G678" s="1"/>
      <c r="H678" s="1"/>
      <c r="I678" s="1"/>
      <c r="J678" s="1"/>
      <c r="K678" s="1"/>
    </row>
    <row r="679" spans="5:11">
      <c r="E679" s="1"/>
      <c r="F679" s="1"/>
      <c r="G679" s="1"/>
      <c r="H679" s="1"/>
      <c r="I679" s="1"/>
      <c r="J679" s="1"/>
      <c r="K679" s="1"/>
    </row>
    <row r="680" spans="5:11">
      <c r="E680" s="1"/>
      <c r="F680" s="1"/>
      <c r="G680" s="1"/>
      <c r="H680" s="1"/>
      <c r="I680" s="1"/>
      <c r="J680" s="1"/>
      <c r="K680" s="1"/>
    </row>
    <row r="681" spans="5:11">
      <c r="E681" s="1"/>
      <c r="F681" s="1"/>
      <c r="G681" s="1"/>
      <c r="H681" s="1"/>
      <c r="I681" s="1"/>
      <c r="J681" s="1"/>
      <c r="K681" s="1"/>
    </row>
    <row r="682" spans="5:11">
      <c r="E682" s="1"/>
      <c r="F682" s="1"/>
      <c r="G682" s="1"/>
      <c r="H682" s="1"/>
      <c r="I682" s="1"/>
      <c r="J682" s="1"/>
      <c r="K682" s="1"/>
    </row>
    <row r="683" spans="5:11">
      <c r="E683" s="1"/>
      <c r="F683" s="1"/>
      <c r="G683" s="1"/>
      <c r="H683" s="1"/>
      <c r="I683" s="1"/>
      <c r="J683" s="1"/>
      <c r="K683" s="1"/>
    </row>
    <row r="684" spans="5:11">
      <c r="E684" s="1"/>
      <c r="F684" s="1"/>
      <c r="G684" s="1"/>
      <c r="H684" s="1"/>
      <c r="I684" s="1"/>
      <c r="J684" s="1"/>
      <c r="K684" s="1"/>
    </row>
    <row r="685" spans="5:11">
      <c r="E685" s="1"/>
      <c r="F685" s="1"/>
      <c r="G685" s="1"/>
      <c r="H685" s="1"/>
      <c r="I685" s="1"/>
      <c r="J685" s="1"/>
      <c r="K685" s="1"/>
    </row>
    <row r="686" spans="5:11">
      <c r="E686" s="1"/>
      <c r="F686" s="1"/>
      <c r="G686" s="1"/>
      <c r="H686" s="1"/>
      <c r="I686" s="1"/>
      <c r="J686" s="1"/>
      <c r="K686" s="1"/>
    </row>
    <row r="687" spans="5:11">
      <c r="E687" s="1"/>
      <c r="F687" s="1"/>
      <c r="G687" s="1"/>
      <c r="H687" s="1"/>
      <c r="I687" s="1"/>
      <c r="J687" s="1"/>
      <c r="K687" s="1"/>
    </row>
    <row r="688" spans="5:11">
      <c r="E688" s="1"/>
      <c r="F688" s="1"/>
      <c r="G688" s="1"/>
      <c r="H688" s="1"/>
      <c r="I688" s="1"/>
      <c r="J688" s="1"/>
      <c r="K688" s="1"/>
    </row>
    <row r="689" spans="5:11">
      <c r="E689" s="1"/>
      <c r="F689" s="1"/>
      <c r="G689" s="1"/>
      <c r="H689" s="1"/>
      <c r="I689" s="1"/>
      <c r="J689" s="1"/>
      <c r="K689" s="1"/>
    </row>
    <row r="690" spans="5:11">
      <c r="E690" s="1"/>
      <c r="F690" s="1"/>
      <c r="G690" s="1"/>
      <c r="H690" s="1"/>
      <c r="I690" s="1"/>
      <c r="J690" s="1"/>
      <c r="K690" s="1"/>
    </row>
    <row r="691" spans="5:11">
      <c r="E691" s="1"/>
      <c r="F691" s="1"/>
      <c r="G691" s="1"/>
      <c r="H691" s="1"/>
      <c r="I691" s="1"/>
      <c r="J691" s="1"/>
      <c r="K691" s="1"/>
    </row>
    <row r="692" spans="5:11">
      <c r="E692" s="1"/>
      <c r="F692" s="1"/>
      <c r="G692" s="1"/>
      <c r="H692" s="1"/>
      <c r="I692" s="1"/>
      <c r="J692" s="1"/>
      <c r="K692" s="1"/>
    </row>
    <row r="693" spans="5:11">
      <c r="E693" s="1"/>
      <c r="F693" s="1"/>
      <c r="G693" s="1"/>
      <c r="H693" s="1"/>
      <c r="I693" s="1"/>
      <c r="J693" s="1"/>
      <c r="K693" s="1"/>
    </row>
    <row r="694" spans="5:11">
      <c r="E694" s="1"/>
      <c r="F694" s="1"/>
      <c r="G694" s="1"/>
      <c r="H694" s="1"/>
      <c r="I694" s="1"/>
      <c r="J694" s="1"/>
      <c r="K694" s="1"/>
    </row>
    <row r="695" spans="5:11">
      <c r="E695" s="1"/>
      <c r="F695" s="1"/>
      <c r="G695" s="1"/>
      <c r="H695" s="1"/>
      <c r="I695" s="1"/>
      <c r="J695" s="1"/>
      <c r="K695" s="1"/>
    </row>
    <row r="696" spans="5:11">
      <c r="E696" s="1"/>
      <c r="F696" s="1"/>
      <c r="G696" s="1"/>
      <c r="H696" s="1"/>
      <c r="I696" s="1"/>
      <c r="J696" s="1"/>
      <c r="K696" s="1"/>
    </row>
    <row r="697" spans="5:11">
      <c r="E697" s="1"/>
      <c r="F697" s="1"/>
      <c r="G697" s="1"/>
      <c r="H697" s="1"/>
      <c r="I697" s="1"/>
      <c r="J697" s="1"/>
      <c r="K697" s="1"/>
    </row>
    <row r="698" spans="5:11">
      <c r="E698" s="1"/>
      <c r="F698" s="1"/>
      <c r="G698" s="1"/>
      <c r="H698" s="1"/>
      <c r="I698" s="1"/>
      <c r="J698" s="1"/>
      <c r="K698" s="1"/>
    </row>
    <row r="699" spans="5:11">
      <c r="E699" s="1"/>
      <c r="F699" s="1"/>
      <c r="G699" s="1"/>
      <c r="H699" s="1"/>
      <c r="I699" s="1"/>
      <c r="J699" s="1"/>
      <c r="K699" s="1"/>
    </row>
    <row r="700" spans="5:11">
      <c r="E700" s="1"/>
      <c r="F700" s="1"/>
      <c r="G700" s="1"/>
      <c r="H700" s="1"/>
      <c r="I700" s="1"/>
      <c r="J700" s="1"/>
      <c r="K700" s="1"/>
    </row>
    <row r="701" spans="5:11">
      <c r="E701" s="1"/>
      <c r="F701" s="1"/>
      <c r="G701" s="1"/>
      <c r="H701" s="1"/>
      <c r="I701" s="1"/>
      <c r="J701" s="1"/>
      <c r="K701" s="1"/>
    </row>
    <row r="702" spans="5:11">
      <c r="E702" s="1"/>
      <c r="F702" s="1"/>
      <c r="G702" s="1"/>
      <c r="H702" s="1"/>
      <c r="I702" s="1"/>
      <c r="J702" s="1"/>
      <c r="K702" s="1"/>
    </row>
    <row r="703" spans="5:11">
      <c r="E703" s="1"/>
      <c r="F703" s="1"/>
      <c r="G703" s="1"/>
      <c r="H703" s="1"/>
      <c r="I703" s="1"/>
      <c r="J703" s="1"/>
      <c r="K703" s="1"/>
    </row>
    <row r="704" spans="5:11">
      <c r="E704" s="1"/>
      <c r="F704" s="1"/>
      <c r="G704" s="1"/>
      <c r="H704" s="1"/>
      <c r="I704" s="1"/>
      <c r="J704" s="1"/>
      <c r="K704" s="1"/>
    </row>
    <row r="705" spans="5:11">
      <c r="E705" s="1"/>
      <c r="F705" s="1"/>
      <c r="G705" s="1"/>
      <c r="H705" s="1"/>
      <c r="I705" s="1"/>
      <c r="J705" s="1"/>
      <c r="K705" s="1"/>
    </row>
    <row r="706" spans="5:11">
      <c r="E706" s="1"/>
      <c r="F706" s="1"/>
      <c r="G706" s="1"/>
      <c r="H706" s="1"/>
      <c r="I706" s="1"/>
      <c r="J706" s="1"/>
      <c r="K706" s="1"/>
    </row>
    <row r="707" spans="5:11">
      <c r="E707" s="1"/>
      <c r="F707" s="1"/>
      <c r="G707" s="1"/>
      <c r="H707" s="1"/>
      <c r="I707" s="1"/>
      <c r="J707" s="1"/>
      <c r="K707" s="1"/>
    </row>
    <row r="708" spans="5:11">
      <c r="E708" s="1"/>
      <c r="F708" s="1"/>
      <c r="G708" s="1"/>
      <c r="H708" s="1"/>
      <c r="I708" s="1"/>
      <c r="J708" s="1"/>
      <c r="K708" s="1"/>
    </row>
    <row r="709" spans="5:11">
      <c r="E709" s="1"/>
      <c r="F709" s="1"/>
      <c r="G709" s="1"/>
      <c r="H709" s="1"/>
      <c r="I709" s="1"/>
      <c r="J709" s="1"/>
      <c r="K709" s="1"/>
    </row>
    <row r="710" spans="5:11">
      <c r="E710" s="1"/>
      <c r="F710" s="1"/>
      <c r="G710" s="1"/>
      <c r="H710" s="1"/>
      <c r="I710" s="1"/>
      <c r="J710" s="1"/>
      <c r="K710" s="1"/>
    </row>
    <row r="711" spans="5:11">
      <c r="E711" s="1"/>
      <c r="F711" s="1"/>
      <c r="G711" s="1"/>
      <c r="H711" s="1"/>
      <c r="I711" s="1"/>
      <c r="J711" s="1"/>
      <c r="K711" s="1"/>
    </row>
    <row r="712" spans="5:11">
      <c r="E712" s="1"/>
      <c r="F712" s="1"/>
      <c r="G712" s="1"/>
      <c r="H712" s="1"/>
      <c r="I712" s="1"/>
      <c r="J712" s="1"/>
      <c r="K712" s="1"/>
    </row>
    <row r="713" spans="5:11">
      <c r="E713" s="1"/>
      <c r="F713" s="1"/>
      <c r="G713" s="1"/>
      <c r="H713" s="1"/>
      <c r="I713" s="1"/>
      <c r="J713" s="1"/>
      <c r="K713" s="1"/>
    </row>
    <row r="714" spans="5:11">
      <c r="E714" s="1"/>
      <c r="F714" s="1"/>
      <c r="G714" s="1"/>
      <c r="H714" s="1"/>
      <c r="I714" s="1"/>
      <c r="J714" s="1"/>
      <c r="K714" s="1"/>
    </row>
    <row r="715" spans="5:11">
      <c r="E715" s="1"/>
      <c r="F715" s="1"/>
      <c r="G715" s="1"/>
      <c r="H715" s="1"/>
      <c r="I715" s="1"/>
      <c r="J715" s="1"/>
      <c r="K715" s="1"/>
    </row>
    <row r="716" spans="5:11">
      <c r="E716" s="1"/>
      <c r="F716" s="1"/>
      <c r="G716" s="1"/>
      <c r="H716" s="1"/>
      <c r="I716" s="1"/>
      <c r="J716" s="1"/>
      <c r="K716" s="1"/>
    </row>
    <row r="717" spans="5:11">
      <c r="E717" s="1"/>
      <c r="F717" s="1"/>
      <c r="G717" s="1"/>
      <c r="H717" s="1"/>
      <c r="I717" s="1"/>
      <c r="J717" s="1"/>
      <c r="K717" s="1"/>
    </row>
    <row r="718" spans="5:11">
      <c r="E718" s="1"/>
      <c r="F718" s="1"/>
      <c r="G718" s="1"/>
      <c r="H718" s="1"/>
      <c r="I718" s="1"/>
      <c r="J718" s="1"/>
      <c r="K718" s="1"/>
    </row>
    <row r="719" spans="5:11">
      <c r="E719" s="1"/>
      <c r="F719" s="1"/>
      <c r="G719" s="1"/>
      <c r="H719" s="1"/>
      <c r="I719" s="1"/>
      <c r="J719" s="1"/>
      <c r="K719" s="1"/>
    </row>
    <row r="720" spans="5:11">
      <c r="E720" s="1"/>
      <c r="F720" s="1"/>
      <c r="G720" s="1"/>
      <c r="H720" s="1"/>
      <c r="I720" s="1"/>
      <c r="J720" s="1"/>
      <c r="K720" s="1"/>
    </row>
    <row r="721" spans="5:11">
      <c r="E721" s="1"/>
      <c r="F721" s="1"/>
      <c r="G721" s="1"/>
      <c r="H721" s="1"/>
      <c r="I721" s="1"/>
      <c r="J721" s="1"/>
      <c r="K721" s="1"/>
    </row>
    <row r="722" spans="5:11">
      <c r="E722" s="1"/>
      <c r="F722" s="1"/>
      <c r="G722" s="1"/>
      <c r="H722" s="1"/>
      <c r="I722" s="1"/>
      <c r="J722" s="1"/>
      <c r="K722" s="1"/>
    </row>
    <row r="723" spans="5:11">
      <c r="E723" s="1"/>
      <c r="F723" s="1"/>
      <c r="G723" s="1"/>
      <c r="H723" s="1"/>
      <c r="I723" s="1"/>
      <c r="J723" s="1"/>
      <c r="K723" s="1"/>
    </row>
    <row r="724" spans="5:11">
      <c r="E724" s="1"/>
      <c r="F724" s="1"/>
      <c r="G724" s="1"/>
      <c r="H724" s="1"/>
      <c r="I724" s="1"/>
      <c r="J724" s="1"/>
      <c r="K724" s="1"/>
    </row>
    <row r="725" spans="5:11">
      <c r="E725" s="1"/>
      <c r="F725" s="1"/>
      <c r="G725" s="1"/>
      <c r="H725" s="1"/>
      <c r="I725" s="1"/>
      <c r="J725" s="1"/>
      <c r="K725" s="1"/>
    </row>
    <row r="726" spans="5:11">
      <c r="E726" s="1"/>
      <c r="F726" s="1"/>
      <c r="G726" s="1"/>
      <c r="H726" s="1"/>
      <c r="I726" s="1"/>
      <c r="J726" s="1"/>
      <c r="K726" s="1"/>
    </row>
    <row r="727" spans="5:11">
      <c r="E727" s="1"/>
      <c r="F727" s="1"/>
      <c r="G727" s="1"/>
      <c r="H727" s="1"/>
      <c r="I727" s="1"/>
      <c r="J727" s="1"/>
      <c r="K727" s="1"/>
    </row>
    <row r="728" spans="5:11">
      <c r="E728" s="1"/>
      <c r="F728" s="1"/>
      <c r="G728" s="1"/>
      <c r="H728" s="1"/>
      <c r="I728" s="1"/>
      <c r="J728" s="1"/>
      <c r="K728" s="1"/>
    </row>
    <row r="729" spans="5:11">
      <c r="E729" s="1"/>
      <c r="F729" s="1"/>
      <c r="G729" s="1"/>
      <c r="H729" s="1"/>
      <c r="I729" s="1"/>
      <c r="J729" s="1"/>
      <c r="K729" s="1"/>
    </row>
    <row r="730" spans="5:11">
      <c r="E730" s="1"/>
      <c r="F730" s="1"/>
      <c r="G730" s="1"/>
      <c r="H730" s="1"/>
      <c r="I730" s="1"/>
      <c r="J730" s="1"/>
      <c r="K730" s="1"/>
    </row>
    <row r="731" spans="5:11">
      <c r="E731" s="1"/>
      <c r="F731" s="1"/>
      <c r="G731" s="1"/>
      <c r="H731" s="1"/>
      <c r="I731" s="1"/>
      <c r="J731" s="1"/>
      <c r="K731" s="1"/>
    </row>
    <row r="732" spans="5:11">
      <c r="E732" s="1"/>
      <c r="F732" s="1"/>
      <c r="G732" s="1"/>
      <c r="H732" s="1"/>
      <c r="I732" s="1"/>
      <c r="J732" s="1"/>
      <c r="K732" s="1"/>
    </row>
    <row r="733" spans="5:11">
      <c r="E733" s="1"/>
      <c r="F733" s="1"/>
      <c r="G733" s="1"/>
      <c r="H733" s="1"/>
      <c r="I733" s="1"/>
      <c r="J733" s="1"/>
      <c r="K733" s="1"/>
    </row>
    <row r="734" spans="5:11">
      <c r="E734" s="1"/>
      <c r="F734" s="1"/>
      <c r="G734" s="1"/>
      <c r="H734" s="1"/>
      <c r="I734" s="1"/>
      <c r="J734" s="1"/>
      <c r="K734" s="1"/>
    </row>
    <row r="735" spans="5:11">
      <c r="E735" s="1"/>
      <c r="F735" s="1"/>
      <c r="G735" s="1"/>
      <c r="H735" s="1"/>
      <c r="I735" s="1"/>
      <c r="J735" s="1"/>
      <c r="K735" s="1"/>
    </row>
    <row r="736" spans="5:11">
      <c r="E736" s="1"/>
      <c r="F736" s="1"/>
      <c r="G736" s="1"/>
      <c r="H736" s="1"/>
      <c r="I736" s="1"/>
      <c r="J736" s="1"/>
      <c r="K736" s="1"/>
    </row>
    <row r="737" spans="5:11">
      <c r="E737" s="1"/>
      <c r="F737" s="1"/>
      <c r="G737" s="1"/>
      <c r="H737" s="1"/>
      <c r="I737" s="1"/>
      <c r="J737" s="1"/>
      <c r="K737" s="1"/>
    </row>
    <row r="738" spans="5:11">
      <c r="E738" s="1"/>
      <c r="F738" s="1"/>
      <c r="G738" s="1"/>
      <c r="H738" s="1"/>
      <c r="I738" s="1"/>
      <c r="J738" s="1"/>
      <c r="K738" s="1"/>
    </row>
    <row r="739" spans="5:11">
      <c r="E739" s="1"/>
      <c r="F739" s="1"/>
      <c r="G739" s="1"/>
      <c r="H739" s="1"/>
      <c r="I739" s="1"/>
      <c r="J739" s="1"/>
      <c r="K739" s="1"/>
    </row>
    <row r="740" spans="5:11">
      <c r="E740" s="1"/>
      <c r="F740" s="1"/>
      <c r="G740" s="1"/>
      <c r="H740" s="1"/>
      <c r="I740" s="1"/>
      <c r="J740" s="1"/>
      <c r="K740" s="1"/>
    </row>
    <row r="741" spans="5:11">
      <c r="E741" s="1"/>
      <c r="F741" s="1"/>
      <c r="G741" s="1"/>
      <c r="H741" s="1"/>
      <c r="I741" s="1"/>
      <c r="J741" s="1"/>
      <c r="K741" s="1"/>
    </row>
    <row r="742" spans="5:11">
      <c r="E742" s="1"/>
      <c r="F742" s="1"/>
      <c r="G742" s="1"/>
      <c r="H742" s="1"/>
      <c r="I742" s="1"/>
      <c r="J742" s="1"/>
      <c r="K742" s="1"/>
    </row>
    <row r="743" spans="5:11">
      <c r="E743" s="1"/>
      <c r="F743" s="1"/>
      <c r="G743" s="1"/>
      <c r="H743" s="1"/>
      <c r="I743" s="1"/>
      <c r="J743" s="1"/>
      <c r="K743" s="1"/>
    </row>
    <row r="744" spans="5:11">
      <c r="E744" s="1"/>
      <c r="F744" s="1"/>
      <c r="G744" s="1"/>
      <c r="H744" s="1"/>
      <c r="I744" s="1"/>
      <c r="J744" s="1"/>
      <c r="K744" s="1"/>
    </row>
    <row r="745" spans="5:11">
      <c r="E745" s="1"/>
      <c r="F745" s="1"/>
      <c r="G745" s="1"/>
      <c r="H745" s="1"/>
      <c r="I745" s="1"/>
      <c r="J745" s="1"/>
      <c r="K745" s="1"/>
    </row>
    <row r="746" spans="5:11">
      <c r="E746" s="1"/>
      <c r="F746" s="1"/>
      <c r="G746" s="1"/>
      <c r="H746" s="1"/>
      <c r="I746" s="1"/>
      <c r="J746" s="1"/>
      <c r="K746" s="1"/>
    </row>
    <row r="747" spans="5:11">
      <c r="E747" s="1"/>
      <c r="F747" s="1"/>
      <c r="G747" s="1"/>
      <c r="H747" s="1"/>
      <c r="I747" s="1"/>
      <c r="J747" s="1"/>
      <c r="K747" s="1"/>
    </row>
    <row r="748" spans="5:11">
      <c r="E748" s="1"/>
      <c r="F748" s="1"/>
      <c r="G748" s="1"/>
      <c r="H748" s="1"/>
      <c r="I748" s="1"/>
      <c r="J748" s="1"/>
      <c r="K748" s="1"/>
    </row>
    <row r="749" spans="5:11">
      <c r="E749" s="1"/>
      <c r="F749" s="1"/>
      <c r="G749" s="1"/>
      <c r="H749" s="1"/>
      <c r="I749" s="1"/>
      <c r="J749" s="1"/>
      <c r="K749" s="1"/>
    </row>
    <row r="750" spans="5:11">
      <c r="E750" s="1"/>
      <c r="F750" s="1"/>
      <c r="G750" s="1"/>
      <c r="H750" s="1"/>
      <c r="I750" s="1"/>
      <c r="J750" s="1"/>
      <c r="K750" s="1"/>
    </row>
    <row r="751" spans="5:11">
      <c r="E751" s="1"/>
      <c r="F751" s="1"/>
      <c r="G751" s="1"/>
      <c r="H751" s="1"/>
      <c r="I751" s="1"/>
      <c r="J751" s="1"/>
      <c r="K751" s="1"/>
    </row>
    <row r="752" spans="5:11">
      <c r="E752" s="1"/>
      <c r="F752" s="1"/>
      <c r="G752" s="1"/>
      <c r="H752" s="1"/>
      <c r="I752" s="1"/>
      <c r="J752" s="1"/>
      <c r="K752" s="1"/>
    </row>
    <row r="753" spans="5:11">
      <c r="E753" s="1"/>
      <c r="F753" s="1"/>
      <c r="G753" s="1"/>
      <c r="H753" s="1"/>
      <c r="I753" s="1"/>
      <c r="J753" s="1"/>
      <c r="K753" s="1"/>
    </row>
    <row r="754" spans="5:11">
      <c r="E754" s="1"/>
      <c r="F754" s="1"/>
      <c r="G754" s="1"/>
      <c r="H754" s="1"/>
      <c r="I754" s="1"/>
      <c r="J754" s="1"/>
      <c r="K754" s="1"/>
    </row>
    <row r="755" spans="5:11">
      <c r="E755" s="1"/>
      <c r="F755" s="1"/>
      <c r="G755" s="1"/>
      <c r="H755" s="1"/>
      <c r="I755" s="1"/>
      <c r="J755" s="1"/>
      <c r="K755" s="1"/>
    </row>
    <row r="756" spans="5:11">
      <c r="E756" s="1"/>
      <c r="F756" s="1"/>
      <c r="G756" s="1"/>
      <c r="H756" s="1"/>
      <c r="I756" s="1"/>
      <c r="J756" s="1"/>
      <c r="K756" s="1"/>
    </row>
    <row r="757" spans="5:11">
      <c r="E757" s="1"/>
      <c r="F757" s="1"/>
      <c r="G757" s="1"/>
      <c r="H757" s="1"/>
      <c r="I757" s="1"/>
      <c r="J757" s="1"/>
      <c r="K757" s="1"/>
    </row>
    <row r="758" spans="5:11">
      <c r="E758" s="1"/>
      <c r="F758" s="1"/>
      <c r="G758" s="1"/>
      <c r="H758" s="1"/>
      <c r="I758" s="1"/>
      <c r="J758" s="1"/>
      <c r="K758" s="1"/>
    </row>
    <row r="759" spans="5:11">
      <c r="E759" s="1"/>
      <c r="F759" s="1"/>
      <c r="G759" s="1"/>
      <c r="H759" s="1"/>
      <c r="I759" s="1"/>
      <c r="J759" s="1"/>
      <c r="K759" s="1"/>
    </row>
    <row r="760" spans="5:11">
      <c r="E760" s="1"/>
      <c r="F760" s="1"/>
      <c r="G760" s="1"/>
      <c r="H760" s="1"/>
      <c r="I760" s="1"/>
      <c r="J760" s="1"/>
      <c r="K760" s="1"/>
    </row>
    <row r="761" spans="5:11">
      <c r="E761" s="1"/>
      <c r="F761" s="1"/>
      <c r="G761" s="1"/>
      <c r="H761" s="1"/>
      <c r="I761" s="1"/>
      <c r="J761" s="1"/>
      <c r="K761" s="1"/>
    </row>
    <row r="762" spans="5:11">
      <c r="E762" s="1"/>
      <c r="F762" s="1"/>
      <c r="G762" s="1"/>
      <c r="H762" s="1"/>
      <c r="I762" s="1"/>
      <c r="J762" s="1"/>
      <c r="K762" s="1"/>
    </row>
    <row r="763" spans="5:11">
      <c r="E763" s="1"/>
      <c r="F763" s="1"/>
      <c r="G763" s="1"/>
      <c r="H763" s="1"/>
      <c r="I763" s="1"/>
      <c r="J763" s="1"/>
      <c r="K763" s="1"/>
    </row>
    <row r="764" spans="5:11">
      <c r="E764" s="1"/>
      <c r="F764" s="1"/>
      <c r="G764" s="1"/>
      <c r="H764" s="1"/>
      <c r="I764" s="1"/>
      <c r="J764" s="1"/>
      <c r="K764" s="1"/>
    </row>
    <row r="765" spans="5:11">
      <c r="E765" s="1"/>
      <c r="F765" s="1"/>
      <c r="G765" s="1"/>
      <c r="H765" s="1"/>
      <c r="I765" s="1"/>
      <c r="J765" s="1"/>
      <c r="K765" s="1"/>
    </row>
    <row r="766" spans="5:11">
      <c r="E766" s="1"/>
      <c r="F766" s="1"/>
      <c r="G766" s="1"/>
      <c r="H766" s="1"/>
      <c r="I766" s="1"/>
      <c r="J766" s="1"/>
      <c r="K766" s="1"/>
    </row>
    <row r="767" spans="5:11">
      <c r="E767" s="1"/>
      <c r="F767" s="1"/>
      <c r="G767" s="1"/>
      <c r="H767" s="1"/>
      <c r="I767" s="1"/>
      <c r="J767" s="1"/>
      <c r="K767" s="1"/>
    </row>
    <row r="768" spans="5:11">
      <c r="E768" s="1"/>
      <c r="F768" s="1"/>
      <c r="G768" s="1"/>
      <c r="H768" s="1"/>
      <c r="I768" s="1"/>
      <c r="J768" s="1"/>
      <c r="K768" s="1"/>
    </row>
    <row r="769" spans="5:11">
      <c r="E769" s="1"/>
      <c r="F769" s="1"/>
      <c r="G769" s="1"/>
      <c r="H769" s="1"/>
      <c r="I769" s="1"/>
      <c r="J769" s="1"/>
      <c r="K769" s="1"/>
    </row>
    <row r="770" spans="5:11">
      <c r="E770" s="1"/>
      <c r="F770" s="1"/>
      <c r="G770" s="1"/>
      <c r="H770" s="1"/>
      <c r="I770" s="1"/>
      <c r="J770" s="1"/>
      <c r="K770" s="1"/>
    </row>
    <row r="771" spans="5:11">
      <c r="E771" s="1"/>
      <c r="F771" s="1"/>
      <c r="G771" s="1"/>
      <c r="H771" s="1"/>
      <c r="I771" s="1"/>
      <c r="J771" s="1"/>
      <c r="K771" s="1"/>
    </row>
    <row r="772" spans="5:11">
      <c r="E772" s="1"/>
      <c r="F772" s="1"/>
      <c r="G772" s="1"/>
      <c r="H772" s="1"/>
      <c r="I772" s="1"/>
      <c r="J772" s="1"/>
      <c r="K772" s="1"/>
    </row>
    <row r="773" spans="5:11">
      <c r="E773" s="1"/>
      <c r="F773" s="1"/>
      <c r="G773" s="1"/>
      <c r="H773" s="1"/>
      <c r="I773" s="1"/>
      <c r="J773" s="1"/>
      <c r="K773" s="1"/>
    </row>
    <row r="774" spans="5:11">
      <c r="E774" s="1"/>
      <c r="F774" s="1"/>
      <c r="G774" s="1"/>
      <c r="H774" s="1"/>
      <c r="I774" s="1"/>
      <c r="J774" s="1"/>
      <c r="K774" s="1"/>
    </row>
    <row r="775" spans="5:11">
      <c r="E775" s="1"/>
      <c r="F775" s="1"/>
      <c r="G775" s="1"/>
      <c r="H775" s="1"/>
      <c r="I775" s="1"/>
      <c r="J775" s="1"/>
      <c r="K775" s="1"/>
    </row>
    <row r="776" spans="5:11">
      <c r="E776" s="1"/>
      <c r="F776" s="1"/>
      <c r="G776" s="1"/>
      <c r="H776" s="1"/>
      <c r="I776" s="1"/>
      <c r="J776" s="1"/>
      <c r="K776" s="1"/>
    </row>
    <row r="777" spans="5:11">
      <c r="E777" s="1"/>
      <c r="F777" s="1"/>
      <c r="G777" s="1"/>
      <c r="H777" s="1"/>
      <c r="I777" s="1"/>
      <c r="J777" s="1"/>
      <c r="K777" s="1"/>
    </row>
    <row r="778" spans="5:11">
      <c r="E778" s="1"/>
      <c r="F778" s="1"/>
      <c r="G778" s="1"/>
      <c r="H778" s="1"/>
      <c r="I778" s="1"/>
      <c r="J778" s="1"/>
      <c r="K778" s="1"/>
    </row>
    <row r="779" spans="5:11">
      <c r="E779" s="1"/>
      <c r="F779" s="1"/>
      <c r="G779" s="1"/>
      <c r="H779" s="1"/>
      <c r="I779" s="1"/>
      <c r="J779" s="1"/>
      <c r="K779" s="1"/>
    </row>
    <row r="780" spans="5:11">
      <c r="E780" s="1"/>
      <c r="F780" s="1"/>
      <c r="G780" s="1"/>
      <c r="H780" s="1"/>
      <c r="I780" s="1"/>
      <c r="J780" s="1"/>
      <c r="K780" s="1"/>
    </row>
    <row r="781" spans="5:11">
      <c r="E781" s="1"/>
      <c r="F781" s="1"/>
      <c r="G781" s="1"/>
      <c r="H781" s="1"/>
      <c r="I781" s="1"/>
      <c r="J781" s="1"/>
      <c r="K781" s="1"/>
    </row>
    <row r="782" spans="5:11">
      <c r="E782" s="1"/>
      <c r="F782" s="1"/>
      <c r="G782" s="1"/>
      <c r="H782" s="1"/>
      <c r="I782" s="1"/>
      <c r="J782" s="1"/>
      <c r="K782" s="1"/>
    </row>
    <row r="783" spans="5:11">
      <c r="E783" s="1"/>
      <c r="F783" s="1"/>
      <c r="G783" s="1"/>
      <c r="H783" s="1"/>
      <c r="I783" s="1"/>
      <c r="J783" s="1"/>
      <c r="K783" s="1"/>
    </row>
    <row r="784" spans="5:11">
      <c r="E784" s="1"/>
      <c r="F784" s="1"/>
      <c r="G784" s="1"/>
      <c r="H784" s="1"/>
      <c r="I784" s="1"/>
      <c r="J784" s="1"/>
      <c r="K784" s="1"/>
    </row>
    <row r="785" spans="5:11">
      <c r="E785" s="1"/>
      <c r="F785" s="1"/>
      <c r="G785" s="1"/>
      <c r="H785" s="1"/>
      <c r="I785" s="1"/>
      <c r="J785" s="1"/>
      <c r="K785" s="1"/>
    </row>
    <row r="786" spans="5:11">
      <c r="E786" s="1"/>
      <c r="F786" s="1"/>
      <c r="G786" s="1"/>
      <c r="H786" s="1"/>
      <c r="I786" s="1"/>
      <c r="J786" s="1"/>
      <c r="K786" s="1"/>
    </row>
    <row r="787" spans="5:11">
      <c r="E787" s="1"/>
      <c r="F787" s="1"/>
      <c r="G787" s="1"/>
      <c r="H787" s="1"/>
      <c r="I787" s="1"/>
      <c r="J787" s="1"/>
      <c r="K787" s="1"/>
    </row>
    <row r="788" spans="5:11">
      <c r="E788" s="1"/>
      <c r="F788" s="1"/>
      <c r="G788" s="1"/>
      <c r="H788" s="1"/>
      <c r="I788" s="1"/>
      <c r="J788" s="1"/>
      <c r="K788" s="1"/>
    </row>
    <row r="789" spans="5:11">
      <c r="E789" s="1"/>
      <c r="F789" s="1"/>
      <c r="G789" s="1"/>
      <c r="H789" s="1"/>
      <c r="I789" s="1"/>
      <c r="J789" s="1"/>
      <c r="K789" s="1"/>
    </row>
    <row r="790" spans="5:11">
      <c r="E790" s="1"/>
      <c r="F790" s="1"/>
      <c r="G790" s="1"/>
      <c r="H790" s="1"/>
      <c r="I790" s="1"/>
      <c r="J790" s="1"/>
      <c r="K790" s="1"/>
    </row>
    <row r="791" spans="5:11">
      <c r="E791" s="1"/>
      <c r="F791" s="1"/>
      <c r="G791" s="1"/>
      <c r="H791" s="1"/>
      <c r="I791" s="1"/>
      <c r="J791" s="1"/>
      <c r="K791" s="1"/>
    </row>
    <row r="792" spans="5:11">
      <c r="E792" s="1"/>
      <c r="F792" s="1"/>
      <c r="G792" s="1"/>
      <c r="H792" s="1"/>
      <c r="I792" s="1"/>
      <c r="J792" s="1"/>
      <c r="K792" s="1"/>
    </row>
    <row r="793" spans="5:11">
      <c r="E793" s="1"/>
      <c r="F793" s="1"/>
      <c r="G793" s="1"/>
      <c r="H793" s="1"/>
      <c r="I793" s="1"/>
      <c r="J793" s="1"/>
      <c r="K793" s="1"/>
    </row>
    <row r="794" spans="5:11">
      <c r="E794" s="1"/>
      <c r="F794" s="1"/>
      <c r="G794" s="1"/>
      <c r="H794" s="1"/>
      <c r="I794" s="1"/>
      <c r="J794" s="1"/>
      <c r="K794" s="1"/>
    </row>
    <row r="795" spans="5:11">
      <c r="E795" s="1"/>
      <c r="F795" s="1"/>
      <c r="G795" s="1"/>
      <c r="H795" s="1"/>
      <c r="I795" s="1"/>
      <c r="J795" s="1"/>
      <c r="K795" s="1"/>
    </row>
    <row r="796" spans="5:11">
      <c r="E796" s="1"/>
      <c r="F796" s="1"/>
      <c r="G796" s="1"/>
      <c r="H796" s="1"/>
      <c r="I796" s="1"/>
      <c r="J796" s="1"/>
      <c r="K796" s="1"/>
    </row>
    <row r="797" spans="5:11">
      <c r="E797" s="1"/>
      <c r="F797" s="1"/>
      <c r="G797" s="1"/>
      <c r="H797" s="1"/>
      <c r="I797" s="1"/>
      <c r="J797" s="1"/>
      <c r="K797" s="1"/>
    </row>
    <row r="798" spans="5:11">
      <c r="E798" s="1"/>
      <c r="F798" s="1"/>
      <c r="G798" s="1"/>
      <c r="H798" s="1"/>
      <c r="I798" s="1"/>
      <c r="J798" s="1"/>
      <c r="K798" s="1"/>
    </row>
    <row r="799" spans="5:11">
      <c r="E799" s="1"/>
      <c r="F799" s="1"/>
      <c r="G799" s="1"/>
      <c r="H799" s="1"/>
      <c r="I799" s="1"/>
      <c r="J799" s="1"/>
      <c r="K799" s="1"/>
    </row>
    <row r="800" spans="5:11">
      <c r="E800" s="1"/>
      <c r="F800" s="1"/>
      <c r="G800" s="1"/>
      <c r="H800" s="1"/>
      <c r="I800" s="1"/>
      <c r="J800" s="1"/>
      <c r="K800" s="1"/>
    </row>
    <row r="801" spans="5:11">
      <c r="E801" s="1"/>
      <c r="F801" s="1"/>
      <c r="G801" s="1"/>
      <c r="H801" s="1"/>
      <c r="I801" s="1"/>
      <c r="J801" s="1"/>
      <c r="K801" s="1"/>
    </row>
    <row r="802" spans="5:11">
      <c r="E802" s="1"/>
      <c r="F802" s="1"/>
      <c r="G802" s="1"/>
      <c r="H802" s="1"/>
      <c r="I802" s="1"/>
      <c r="J802" s="1"/>
      <c r="K802" s="1"/>
    </row>
    <row r="803" spans="5:11">
      <c r="E803" s="1"/>
      <c r="F803" s="1"/>
      <c r="G803" s="1"/>
      <c r="H803" s="1"/>
      <c r="I803" s="1"/>
      <c r="J803" s="1"/>
      <c r="K803" s="1"/>
    </row>
    <row r="804" spans="5:11">
      <c r="E804" s="1"/>
      <c r="F804" s="1"/>
      <c r="G804" s="1"/>
      <c r="H804" s="1"/>
      <c r="I804" s="1"/>
      <c r="J804" s="1"/>
      <c r="K804" s="1"/>
    </row>
    <row r="805" spans="5:11">
      <c r="E805" s="1"/>
      <c r="F805" s="1"/>
      <c r="G805" s="1"/>
      <c r="H805" s="1"/>
      <c r="I805" s="1"/>
      <c r="J805" s="1"/>
      <c r="K805" s="1"/>
    </row>
    <row r="806" spans="5:11">
      <c r="E806" s="1"/>
      <c r="F806" s="1"/>
      <c r="G806" s="1"/>
      <c r="H806" s="1"/>
      <c r="I806" s="1"/>
      <c r="J806" s="1"/>
      <c r="K806" s="1"/>
    </row>
    <row r="807" spans="5:11">
      <c r="E807" s="1"/>
      <c r="F807" s="1"/>
      <c r="G807" s="1"/>
      <c r="H807" s="1"/>
      <c r="I807" s="1"/>
      <c r="J807" s="1"/>
      <c r="K807" s="1"/>
    </row>
    <row r="808" spans="5:11">
      <c r="E808" s="1"/>
      <c r="F808" s="1"/>
      <c r="G808" s="1"/>
      <c r="H808" s="1"/>
      <c r="I808" s="1"/>
      <c r="J808" s="1"/>
      <c r="K808" s="1"/>
    </row>
    <row r="809" spans="5:11">
      <c r="E809" s="1"/>
      <c r="F809" s="1"/>
      <c r="G809" s="1"/>
      <c r="H809" s="1"/>
      <c r="I809" s="1"/>
      <c r="J809" s="1"/>
      <c r="K809" s="1"/>
    </row>
    <row r="810" spans="5:11">
      <c r="E810" s="1"/>
      <c r="F810" s="1"/>
      <c r="G810" s="1"/>
      <c r="H810" s="1"/>
      <c r="I810" s="1"/>
      <c r="J810" s="1"/>
      <c r="K810" s="1"/>
    </row>
    <row r="811" spans="5:11">
      <c r="E811" s="1"/>
      <c r="F811" s="1"/>
      <c r="G811" s="1"/>
      <c r="H811" s="1"/>
      <c r="I811" s="1"/>
      <c r="J811" s="1"/>
      <c r="K811" s="1"/>
    </row>
    <row r="812" spans="5:11">
      <c r="E812" s="1"/>
      <c r="F812" s="1"/>
      <c r="G812" s="1"/>
      <c r="H812" s="1"/>
      <c r="I812" s="1"/>
      <c r="J812" s="1"/>
      <c r="K812" s="1"/>
    </row>
    <row r="813" spans="5:11">
      <c r="E813" s="1"/>
      <c r="F813" s="1"/>
      <c r="G813" s="1"/>
      <c r="H813" s="1"/>
      <c r="I813" s="1"/>
      <c r="J813" s="1"/>
      <c r="K813" s="1"/>
    </row>
    <row r="814" spans="5:11">
      <c r="E814" s="1"/>
      <c r="F814" s="1"/>
      <c r="G814" s="1"/>
      <c r="H814" s="1"/>
      <c r="I814" s="1"/>
      <c r="J814" s="1"/>
      <c r="K814" s="1"/>
    </row>
    <row r="815" spans="5:11">
      <c r="E815" s="1"/>
      <c r="F815" s="1"/>
      <c r="G815" s="1"/>
      <c r="H815" s="1"/>
      <c r="I815" s="1"/>
      <c r="J815" s="1"/>
      <c r="K815" s="1"/>
    </row>
    <row r="816" spans="5:11">
      <c r="E816" s="1"/>
      <c r="F816" s="1"/>
      <c r="G816" s="1"/>
      <c r="H816" s="1"/>
      <c r="I816" s="1"/>
      <c r="J816" s="1"/>
      <c r="K816" s="1"/>
    </row>
    <row r="817" spans="5:11">
      <c r="E817" s="1"/>
      <c r="F817" s="1"/>
      <c r="G817" s="1"/>
      <c r="H817" s="1"/>
      <c r="I817" s="1"/>
      <c r="J817" s="1"/>
      <c r="K817" s="1"/>
    </row>
    <row r="818" spans="5:11">
      <c r="E818" s="1"/>
      <c r="F818" s="1"/>
      <c r="G818" s="1"/>
      <c r="H818" s="1"/>
      <c r="I818" s="1"/>
      <c r="J818" s="1"/>
      <c r="K818" s="1"/>
    </row>
    <row r="819" spans="5:11">
      <c r="E819" s="1"/>
      <c r="F819" s="1"/>
      <c r="G819" s="1"/>
      <c r="H819" s="1"/>
      <c r="I819" s="1"/>
      <c r="J819" s="1"/>
      <c r="K819" s="1"/>
    </row>
    <row r="820" spans="5:11">
      <c r="E820" s="1"/>
      <c r="F820" s="1"/>
      <c r="G820" s="1"/>
      <c r="H820" s="1"/>
      <c r="I820" s="1"/>
      <c r="J820" s="1"/>
      <c r="K820" s="1"/>
    </row>
    <row r="821" spans="5:11">
      <c r="E821" s="1"/>
      <c r="F821" s="1"/>
      <c r="G821" s="1"/>
      <c r="H821" s="1"/>
      <c r="I821" s="1"/>
      <c r="J821" s="1"/>
      <c r="K821" s="1"/>
    </row>
    <row r="822" spans="5:11">
      <c r="E822" s="1"/>
      <c r="F822" s="1"/>
      <c r="G822" s="1"/>
      <c r="H822" s="1"/>
      <c r="I822" s="1"/>
      <c r="J822" s="1"/>
      <c r="K822" s="1"/>
    </row>
    <row r="823" spans="5:11">
      <c r="E823" s="1"/>
      <c r="F823" s="1"/>
      <c r="G823" s="1"/>
      <c r="H823" s="1"/>
      <c r="I823" s="1"/>
      <c r="J823" s="1"/>
      <c r="K823" s="1"/>
    </row>
    <row r="824" spans="5:11">
      <c r="E824" s="1"/>
      <c r="F824" s="1"/>
      <c r="G824" s="1"/>
      <c r="H824" s="1"/>
      <c r="I824" s="1"/>
      <c r="J824" s="1"/>
      <c r="K824" s="1"/>
    </row>
    <row r="825" spans="5:11">
      <c r="E825" s="1"/>
      <c r="F825" s="1"/>
      <c r="G825" s="1"/>
      <c r="H825" s="1"/>
      <c r="I825" s="1"/>
      <c r="J825" s="1"/>
      <c r="K825" s="1"/>
    </row>
    <row r="826" spans="5:11">
      <c r="E826" s="1"/>
      <c r="F826" s="1"/>
      <c r="G826" s="1"/>
      <c r="H826" s="1"/>
      <c r="I826" s="1"/>
      <c r="J826" s="1"/>
      <c r="K826" s="1"/>
    </row>
    <row r="827" spans="5:11">
      <c r="E827" s="1"/>
      <c r="F827" s="1"/>
      <c r="G827" s="1"/>
      <c r="H827" s="1"/>
      <c r="I827" s="1"/>
      <c r="J827" s="1"/>
      <c r="K827" s="1"/>
    </row>
    <row r="828" spans="5:11">
      <c r="E828" s="1"/>
      <c r="F828" s="1"/>
      <c r="G828" s="1"/>
      <c r="H828" s="1"/>
      <c r="I828" s="1"/>
      <c r="J828" s="1"/>
      <c r="K828" s="1"/>
    </row>
    <row r="829" spans="5:11">
      <c r="E829" s="1"/>
      <c r="F829" s="1"/>
      <c r="G829" s="1"/>
      <c r="H829" s="1"/>
      <c r="I829" s="1"/>
      <c r="J829" s="1"/>
      <c r="K829" s="1"/>
    </row>
    <row r="830" spans="5:11">
      <c r="E830" s="1"/>
      <c r="F830" s="1"/>
      <c r="G830" s="1"/>
      <c r="H830" s="1"/>
      <c r="I830" s="1"/>
      <c r="J830" s="1"/>
      <c r="K830" s="1"/>
    </row>
    <row r="831" spans="5:11">
      <c r="E831" s="1"/>
      <c r="F831" s="1"/>
      <c r="G831" s="1"/>
      <c r="H831" s="1"/>
      <c r="I831" s="1"/>
      <c r="J831" s="1"/>
      <c r="K831" s="1"/>
    </row>
    <row r="832" spans="5:11">
      <c r="E832" s="1"/>
      <c r="F832" s="1"/>
      <c r="G832" s="1"/>
      <c r="H832" s="1"/>
      <c r="I832" s="1"/>
      <c r="J832" s="1"/>
      <c r="K832" s="1"/>
    </row>
    <row r="833" spans="5:11">
      <c r="E833" s="1"/>
      <c r="F833" s="1"/>
      <c r="G833" s="1"/>
      <c r="H833" s="1"/>
      <c r="I833" s="1"/>
      <c r="J833" s="1"/>
      <c r="K833" s="1"/>
    </row>
    <row r="834" spans="5:11">
      <c r="E834" s="1"/>
      <c r="F834" s="1"/>
      <c r="G834" s="1"/>
      <c r="H834" s="1"/>
      <c r="I834" s="1"/>
      <c r="J834" s="1"/>
      <c r="K834" s="1"/>
    </row>
    <row r="835" spans="5:11">
      <c r="E835" s="1"/>
      <c r="F835" s="1"/>
      <c r="G835" s="1"/>
      <c r="H835" s="1"/>
      <c r="I835" s="1"/>
      <c r="J835" s="1"/>
      <c r="K835" s="1"/>
    </row>
    <row r="836" spans="5:11">
      <c r="E836" s="1"/>
      <c r="F836" s="1"/>
      <c r="G836" s="1"/>
      <c r="H836" s="1"/>
      <c r="I836" s="1"/>
      <c r="J836" s="1"/>
      <c r="K836" s="1"/>
    </row>
    <row r="837" spans="5:11">
      <c r="E837" s="1"/>
      <c r="F837" s="1"/>
      <c r="G837" s="1"/>
      <c r="H837" s="1"/>
      <c r="I837" s="1"/>
      <c r="J837" s="1"/>
      <c r="K837" s="1"/>
    </row>
    <row r="838" spans="5:11">
      <c r="E838" s="1"/>
      <c r="F838" s="1"/>
      <c r="G838" s="1"/>
      <c r="H838" s="1"/>
      <c r="I838" s="1"/>
      <c r="J838" s="1"/>
      <c r="K838" s="1"/>
    </row>
    <row r="839" spans="5:11">
      <c r="E839" s="1"/>
      <c r="F839" s="1"/>
      <c r="G839" s="1"/>
      <c r="H839" s="1"/>
      <c r="I839" s="1"/>
      <c r="J839" s="1"/>
      <c r="K839" s="1"/>
    </row>
    <row r="840" spans="5:11">
      <c r="E840" s="1"/>
      <c r="F840" s="1"/>
      <c r="G840" s="1"/>
      <c r="H840" s="1"/>
      <c r="I840" s="1"/>
      <c r="J840" s="1"/>
      <c r="K840" s="1"/>
    </row>
    <row r="841" spans="5:11">
      <c r="E841" s="1"/>
      <c r="F841" s="1"/>
      <c r="G841" s="1"/>
      <c r="H841" s="1"/>
      <c r="I841" s="1"/>
      <c r="J841" s="1"/>
      <c r="K841" s="1"/>
    </row>
    <row r="842" spans="5:11">
      <c r="E842" s="1"/>
      <c r="F842" s="1"/>
      <c r="G842" s="1"/>
      <c r="H842" s="1"/>
      <c r="I842" s="1"/>
      <c r="J842" s="1"/>
      <c r="K842" s="1"/>
    </row>
    <row r="843" spans="5:11">
      <c r="E843" s="1"/>
      <c r="F843" s="1"/>
      <c r="G843" s="1"/>
      <c r="H843" s="1"/>
      <c r="I843" s="1"/>
      <c r="J843" s="1"/>
      <c r="K843" s="1"/>
    </row>
    <row r="844" spans="5:11">
      <c r="E844" s="1"/>
      <c r="F844" s="1"/>
      <c r="G844" s="1"/>
      <c r="H844" s="1"/>
      <c r="I844" s="1"/>
      <c r="J844" s="1"/>
      <c r="K844" s="1"/>
    </row>
    <row r="845" spans="5:11">
      <c r="E845" s="1"/>
      <c r="F845" s="1"/>
      <c r="G845" s="1"/>
      <c r="H845" s="1"/>
      <c r="I845" s="1"/>
      <c r="J845" s="1"/>
      <c r="K845" s="1"/>
    </row>
    <row r="846" spans="5:11">
      <c r="E846" s="1"/>
      <c r="F846" s="1"/>
      <c r="G846" s="1"/>
      <c r="H846" s="1"/>
      <c r="I846" s="1"/>
      <c r="J846" s="1"/>
      <c r="K846" s="1"/>
    </row>
    <row r="847" spans="5:11">
      <c r="E847" s="1"/>
      <c r="F847" s="1"/>
      <c r="G847" s="1"/>
      <c r="H847" s="1"/>
      <c r="I847" s="1"/>
      <c r="J847" s="1"/>
      <c r="K847" s="1"/>
    </row>
    <row r="848" spans="5:11">
      <c r="E848" s="1"/>
      <c r="F848" s="1"/>
      <c r="G848" s="1"/>
      <c r="H848" s="1"/>
      <c r="I848" s="1"/>
      <c r="J848" s="1"/>
      <c r="K848" s="1"/>
    </row>
    <row r="849" spans="5:11">
      <c r="E849" s="1"/>
      <c r="F849" s="1"/>
      <c r="G849" s="1"/>
      <c r="H849" s="1"/>
      <c r="I849" s="1"/>
      <c r="J849" s="1"/>
      <c r="K849" s="1"/>
    </row>
    <row r="850" spans="5:11">
      <c r="E850" s="1"/>
      <c r="F850" s="1"/>
      <c r="G850" s="1"/>
      <c r="H850" s="1"/>
      <c r="I850" s="1"/>
      <c r="J850" s="1"/>
      <c r="K850" s="1"/>
    </row>
    <row r="851" spans="5:11">
      <c r="E851" s="1"/>
      <c r="F851" s="1"/>
      <c r="G851" s="1"/>
      <c r="H851" s="1"/>
      <c r="I851" s="1"/>
      <c r="J851" s="1"/>
      <c r="K851" s="1"/>
    </row>
    <row r="852" spans="5:11">
      <c r="E852" s="1"/>
      <c r="F852" s="1"/>
      <c r="G852" s="1"/>
      <c r="H852" s="1"/>
      <c r="I852" s="1"/>
      <c r="J852" s="1"/>
      <c r="K852" s="1"/>
    </row>
    <row r="853" spans="5:11">
      <c r="E853" s="1"/>
      <c r="F853" s="1"/>
      <c r="G853" s="1"/>
      <c r="H853" s="1"/>
      <c r="I853" s="1"/>
      <c r="J853" s="1"/>
      <c r="K853" s="1"/>
    </row>
    <row r="854" spans="5:11">
      <c r="E854" s="1"/>
      <c r="F854" s="1"/>
      <c r="G854" s="1"/>
      <c r="H854" s="1"/>
      <c r="I854" s="1"/>
      <c r="J854" s="1"/>
      <c r="K854" s="1"/>
    </row>
    <row r="855" spans="5:11">
      <c r="E855" s="1"/>
      <c r="F855" s="1"/>
      <c r="G855" s="1"/>
      <c r="H855" s="1"/>
      <c r="I855" s="1"/>
      <c r="J855" s="1"/>
      <c r="K855" s="1"/>
    </row>
    <row r="856" spans="5:11">
      <c r="E856" s="1"/>
      <c r="F856" s="1"/>
      <c r="G856" s="1"/>
      <c r="H856" s="1"/>
      <c r="I856" s="1"/>
      <c r="J856" s="1"/>
      <c r="K856" s="1"/>
    </row>
    <row r="857" spans="5:11">
      <c r="E857" s="1"/>
      <c r="F857" s="1"/>
      <c r="G857" s="1"/>
      <c r="H857" s="1"/>
      <c r="I857" s="1"/>
      <c r="J857" s="1"/>
      <c r="K857" s="1"/>
    </row>
    <row r="858" spans="5:11">
      <c r="E858" s="1"/>
      <c r="F858" s="1"/>
      <c r="G858" s="1"/>
      <c r="H858" s="1"/>
      <c r="I858" s="1"/>
      <c r="J858" s="1"/>
      <c r="K858" s="1"/>
    </row>
    <row r="859" spans="5:11">
      <c r="E859" s="1"/>
      <c r="F859" s="1"/>
      <c r="G859" s="1"/>
      <c r="H859" s="1"/>
      <c r="I859" s="1"/>
      <c r="J859" s="1"/>
      <c r="K859" s="1"/>
    </row>
    <row r="860" spans="5:11">
      <c r="E860" s="1"/>
      <c r="F860" s="1"/>
      <c r="G860" s="1"/>
      <c r="H860" s="1"/>
      <c r="I860" s="1"/>
      <c r="J860" s="1"/>
      <c r="K860" s="1"/>
    </row>
    <row r="861" spans="5:11">
      <c r="E861" s="1"/>
      <c r="F861" s="1"/>
      <c r="G861" s="1"/>
      <c r="H861" s="1"/>
      <c r="I861" s="1"/>
      <c r="J861" s="1"/>
      <c r="K861" s="1"/>
    </row>
    <row r="862" spans="5:11">
      <c r="E862" s="1"/>
      <c r="F862" s="1"/>
      <c r="G862" s="1"/>
      <c r="H862" s="1"/>
      <c r="I862" s="1"/>
      <c r="J862" s="1"/>
      <c r="K862" s="1"/>
    </row>
    <row r="863" spans="5:11">
      <c r="E863" s="1"/>
      <c r="F863" s="1"/>
      <c r="G863" s="1"/>
      <c r="H863" s="1"/>
      <c r="I863" s="1"/>
      <c r="J863" s="1"/>
      <c r="K863" s="1"/>
    </row>
    <row r="864" spans="5:11">
      <c r="E864" s="1"/>
      <c r="F864" s="1"/>
      <c r="G864" s="1"/>
      <c r="H864" s="1"/>
      <c r="I864" s="1"/>
      <c r="J864" s="1"/>
      <c r="K864" s="1"/>
    </row>
    <row r="865" spans="5:11">
      <c r="E865" s="1"/>
      <c r="F865" s="1"/>
      <c r="G865" s="1"/>
      <c r="H865" s="1"/>
      <c r="I865" s="1"/>
      <c r="J865" s="1"/>
      <c r="K865" s="1"/>
    </row>
    <row r="866" spans="5:11">
      <c r="E866" s="1"/>
      <c r="F866" s="1"/>
      <c r="G866" s="1"/>
      <c r="H866" s="1"/>
      <c r="I866" s="1"/>
      <c r="J866" s="1"/>
      <c r="K866" s="1"/>
    </row>
    <row r="867" spans="5:11">
      <c r="E867" s="1"/>
      <c r="F867" s="1"/>
      <c r="G867" s="1"/>
      <c r="H867" s="1"/>
      <c r="I867" s="1"/>
      <c r="J867" s="1"/>
      <c r="K867" s="1"/>
    </row>
    <row r="868" spans="5:11">
      <c r="E868" s="1"/>
      <c r="F868" s="1"/>
      <c r="G868" s="1"/>
      <c r="H868" s="1"/>
      <c r="I868" s="1"/>
      <c r="J868" s="1"/>
      <c r="K868" s="1"/>
    </row>
    <row r="869" spans="5:11">
      <c r="E869" s="1"/>
      <c r="F869" s="1"/>
      <c r="G869" s="1"/>
      <c r="H869" s="1"/>
      <c r="I869" s="1"/>
      <c r="J869" s="1"/>
      <c r="K869" s="1"/>
    </row>
    <row r="870" spans="5:11">
      <c r="E870" s="1"/>
      <c r="F870" s="1"/>
      <c r="G870" s="1"/>
      <c r="H870" s="1"/>
      <c r="I870" s="1"/>
      <c r="J870" s="1"/>
      <c r="K870" s="1"/>
    </row>
    <row r="871" spans="5:11">
      <c r="E871" s="1"/>
      <c r="F871" s="1"/>
      <c r="G871" s="1"/>
      <c r="H871" s="1"/>
      <c r="I871" s="1"/>
      <c r="J871" s="1"/>
      <c r="K871" s="1"/>
    </row>
    <row r="872" spans="5:11">
      <c r="E872" s="1"/>
      <c r="F872" s="1"/>
      <c r="G872" s="1"/>
      <c r="H872" s="1"/>
      <c r="I872" s="1"/>
      <c r="J872" s="1"/>
      <c r="K872" s="1"/>
    </row>
    <row r="873" spans="5:11">
      <c r="E873" s="1"/>
      <c r="F873" s="1"/>
      <c r="G873" s="1"/>
      <c r="H873" s="1"/>
      <c r="I873" s="1"/>
      <c r="J873" s="1"/>
      <c r="K873" s="1"/>
    </row>
    <row r="874" spans="5:11">
      <c r="E874" s="1"/>
      <c r="F874" s="1"/>
      <c r="G874" s="1"/>
      <c r="H874" s="1"/>
      <c r="I874" s="1"/>
      <c r="J874" s="1"/>
      <c r="K874" s="1"/>
    </row>
    <row r="875" spans="5:11">
      <c r="E875" s="1"/>
      <c r="F875" s="1"/>
      <c r="G875" s="1"/>
      <c r="H875" s="1"/>
      <c r="I875" s="1"/>
      <c r="J875" s="1"/>
      <c r="K875" s="1"/>
    </row>
    <row r="876" spans="5:11">
      <c r="E876" s="1"/>
      <c r="F876" s="1"/>
      <c r="G876" s="1"/>
      <c r="H876" s="1"/>
      <c r="I876" s="1"/>
      <c r="J876" s="1"/>
      <c r="K876" s="1"/>
    </row>
    <row r="877" spans="5:11">
      <c r="E877" s="1"/>
      <c r="F877" s="1"/>
      <c r="G877" s="1"/>
      <c r="H877" s="1"/>
      <c r="I877" s="1"/>
      <c r="J877" s="1"/>
      <c r="K877" s="1"/>
    </row>
    <row r="878" spans="5:11">
      <c r="E878" s="1"/>
      <c r="F878" s="1"/>
      <c r="G878" s="1"/>
      <c r="H878" s="1"/>
      <c r="I878" s="1"/>
      <c r="J878" s="1"/>
      <c r="K878" s="1"/>
    </row>
    <row r="879" spans="5:11">
      <c r="E879" s="1"/>
      <c r="F879" s="1"/>
      <c r="G879" s="1"/>
      <c r="H879" s="1"/>
      <c r="I879" s="1"/>
      <c r="J879" s="1"/>
      <c r="K879" s="1"/>
    </row>
    <row r="880" spans="5:11">
      <c r="E880" s="1"/>
      <c r="F880" s="1"/>
      <c r="G880" s="1"/>
      <c r="H880" s="1"/>
      <c r="I880" s="1"/>
      <c r="J880" s="1"/>
      <c r="K880" s="1"/>
    </row>
    <row r="881" spans="5:11">
      <c r="E881" s="1"/>
      <c r="F881" s="1"/>
      <c r="G881" s="1"/>
      <c r="H881" s="1"/>
      <c r="I881" s="1"/>
      <c r="J881" s="1"/>
      <c r="K881" s="1"/>
    </row>
    <row r="882" spans="5:11">
      <c r="E882" s="1"/>
      <c r="F882" s="1"/>
      <c r="G882" s="1"/>
      <c r="H882" s="1"/>
      <c r="I882" s="1"/>
      <c r="J882" s="1"/>
      <c r="K882" s="1"/>
    </row>
    <row r="883" spans="5:11">
      <c r="E883" s="1"/>
      <c r="F883" s="1"/>
      <c r="G883" s="1"/>
      <c r="H883" s="1"/>
      <c r="I883" s="1"/>
      <c r="J883" s="1"/>
      <c r="K883" s="1"/>
    </row>
    <row r="884" spans="5:11">
      <c r="E884" s="1"/>
      <c r="F884" s="1"/>
      <c r="G884" s="1"/>
      <c r="H884" s="1"/>
      <c r="I884" s="1"/>
      <c r="J884" s="1"/>
      <c r="K884" s="1"/>
    </row>
    <row r="885" spans="5:11">
      <c r="E885" s="1"/>
      <c r="F885" s="1"/>
      <c r="G885" s="1"/>
      <c r="H885" s="1"/>
      <c r="I885" s="1"/>
      <c r="J885" s="1"/>
      <c r="K885" s="1"/>
    </row>
    <row r="886" spans="5:11">
      <c r="E886" s="1"/>
      <c r="F886" s="1"/>
      <c r="G886" s="1"/>
      <c r="H886" s="1"/>
      <c r="I886" s="1"/>
      <c r="J886" s="1"/>
      <c r="K886" s="1"/>
    </row>
    <row r="887" spans="5:11">
      <c r="E887" s="1"/>
      <c r="F887" s="1"/>
      <c r="G887" s="1"/>
      <c r="H887" s="1"/>
      <c r="I887" s="1"/>
      <c r="J887" s="1"/>
      <c r="K887" s="1"/>
    </row>
    <row r="888" spans="5:11">
      <c r="E888" s="1"/>
      <c r="F888" s="1"/>
      <c r="G888" s="1"/>
      <c r="H888" s="1"/>
      <c r="I888" s="1"/>
      <c r="J888" s="1"/>
      <c r="K888" s="1"/>
    </row>
    <row r="889" spans="5:11">
      <c r="E889" s="1"/>
      <c r="F889" s="1"/>
      <c r="G889" s="1"/>
      <c r="H889" s="1"/>
      <c r="I889" s="1"/>
      <c r="J889" s="1"/>
      <c r="K889" s="1"/>
    </row>
    <row r="890" spans="5:11">
      <c r="E890" s="1"/>
      <c r="F890" s="1"/>
      <c r="G890" s="1"/>
      <c r="H890" s="1"/>
      <c r="I890" s="1"/>
      <c r="J890" s="1"/>
      <c r="K890" s="1"/>
    </row>
    <row r="891" spans="5:11">
      <c r="E891" s="1"/>
      <c r="F891" s="1"/>
      <c r="G891" s="1"/>
      <c r="H891" s="1"/>
      <c r="I891" s="1"/>
      <c r="J891" s="1"/>
      <c r="K891" s="1"/>
    </row>
    <row r="892" spans="5:11">
      <c r="E892" s="1"/>
      <c r="F892" s="1"/>
      <c r="G892" s="1"/>
      <c r="H892" s="1"/>
      <c r="I892" s="1"/>
      <c r="J892" s="1"/>
      <c r="K892" s="1"/>
    </row>
    <row r="893" spans="5:11">
      <c r="E893" s="1"/>
      <c r="F893" s="1"/>
      <c r="G893" s="1"/>
      <c r="H893" s="1"/>
      <c r="I893" s="1"/>
      <c r="J893" s="1"/>
      <c r="K893" s="1"/>
    </row>
    <row r="894" spans="5:11">
      <c r="E894" s="1"/>
      <c r="F894" s="1"/>
      <c r="G894" s="1"/>
      <c r="H894" s="1"/>
      <c r="I894" s="1"/>
      <c r="J894" s="1"/>
      <c r="K894" s="1"/>
    </row>
    <row r="895" spans="5:11">
      <c r="E895" s="1"/>
      <c r="F895" s="1"/>
      <c r="G895" s="1"/>
      <c r="H895" s="1"/>
      <c r="I895" s="1"/>
      <c r="J895" s="1"/>
      <c r="K895" s="1"/>
    </row>
    <row r="896" spans="5:11">
      <c r="E896" s="1"/>
      <c r="F896" s="1"/>
      <c r="G896" s="1"/>
      <c r="H896" s="1"/>
      <c r="I896" s="1"/>
      <c r="J896" s="1"/>
      <c r="K896" s="1"/>
    </row>
    <row r="897" spans="5:11">
      <c r="E897" s="1"/>
      <c r="F897" s="1"/>
      <c r="G897" s="1"/>
      <c r="H897" s="1"/>
      <c r="I897" s="1"/>
      <c r="J897" s="1"/>
      <c r="K897" s="1"/>
    </row>
    <row r="898" spans="5:11">
      <c r="E898" s="1"/>
      <c r="F898" s="1"/>
      <c r="G898" s="1"/>
      <c r="H898" s="1"/>
      <c r="I898" s="1"/>
      <c r="J898" s="1"/>
      <c r="K898" s="1"/>
    </row>
    <row r="899" spans="5:11">
      <c r="E899" s="1"/>
      <c r="F899" s="1"/>
      <c r="G899" s="1"/>
      <c r="H899" s="1"/>
      <c r="I899" s="1"/>
      <c r="J899" s="1"/>
      <c r="K899" s="1"/>
    </row>
    <row r="900" spans="5:11">
      <c r="E900" s="1"/>
      <c r="F900" s="1"/>
      <c r="G900" s="1"/>
      <c r="H900" s="1"/>
      <c r="I900" s="1"/>
      <c r="J900" s="1"/>
      <c r="K900" s="1"/>
    </row>
    <row r="901" spans="5:11">
      <c r="E901" s="1"/>
      <c r="F901" s="1"/>
      <c r="G901" s="1"/>
      <c r="H901" s="1"/>
      <c r="I901" s="1"/>
      <c r="J901" s="1"/>
      <c r="K901" s="1"/>
    </row>
    <row r="902" spans="5:11">
      <c r="E902" s="1"/>
      <c r="F902" s="1"/>
      <c r="G902" s="1"/>
      <c r="H902" s="1"/>
      <c r="I902" s="1"/>
      <c r="J902" s="1"/>
      <c r="K902" s="1"/>
    </row>
    <row r="903" spans="5:11">
      <c r="E903" s="1"/>
      <c r="F903" s="1"/>
      <c r="G903" s="1"/>
      <c r="H903" s="1"/>
      <c r="I903" s="1"/>
      <c r="J903" s="1"/>
      <c r="K903" s="1"/>
    </row>
    <row r="904" spans="5:11">
      <c r="E904" s="1"/>
      <c r="F904" s="1"/>
      <c r="G904" s="1"/>
      <c r="H904" s="1"/>
      <c r="I904" s="1"/>
      <c r="J904" s="1"/>
      <c r="K904" s="1"/>
    </row>
    <row r="905" spans="5:11">
      <c r="E905" s="1"/>
      <c r="F905" s="1"/>
      <c r="G905" s="1"/>
      <c r="H905" s="1"/>
      <c r="I905" s="1"/>
      <c r="J905" s="1"/>
      <c r="K905" s="1"/>
    </row>
    <row r="906" spans="5:11">
      <c r="E906" s="1"/>
      <c r="F906" s="1"/>
      <c r="G906" s="1"/>
      <c r="H906" s="1"/>
      <c r="I906" s="1"/>
      <c r="J906" s="1"/>
      <c r="K906" s="1"/>
    </row>
    <row r="907" spans="5:11">
      <c r="E907" s="1"/>
      <c r="F907" s="1"/>
      <c r="G907" s="1"/>
      <c r="H907" s="1"/>
      <c r="I907" s="1"/>
      <c r="J907" s="1"/>
      <c r="K907" s="1"/>
    </row>
    <row r="908" spans="5:11">
      <c r="E908" s="1"/>
      <c r="F908" s="1"/>
      <c r="G908" s="1"/>
      <c r="H908" s="1"/>
      <c r="I908" s="1"/>
      <c r="J908" s="1"/>
      <c r="K908" s="1"/>
    </row>
    <row r="909" spans="5:11">
      <c r="E909" s="1"/>
      <c r="F909" s="1"/>
      <c r="G909" s="1"/>
      <c r="H909" s="1"/>
      <c r="I909" s="1"/>
      <c r="J909" s="1"/>
      <c r="K909" s="1"/>
    </row>
    <row r="910" spans="5:11">
      <c r="E910" s="1"/>
      <c r="F910" s="1"/>
      <c r="G910" s="1"/>
      <c r="H910" s="1"/>
      <c r="I910" s="1"/>
      <c r="J910" s="1"/>
      <c r="K910" s="1"/>
    </row>
    <row r="911" spans="5:11">
      <c r="E911" s="1"/>
      <c r="F911" s="1"/>
      <c r="G911" s="1"/>
      <c r="H911" s="1"/>
      <c r="I911" s="1"/>
      <c r="J911" s="1"/>
      <c r="K911" s="1"/>
    </row>
    <row r="912" spans="5:11">
      <c r="E912" s="1"/>
      <c r="F912" s="1"/>
      <c r="G912" s="1"/>
      <c r="H912" s="1"/>
      <c r="I912" s="1"/>
      <c r="J912" s="1"/>
      <c r="K912" s="1"/>
    </row>
    <row r="913" spans="5:11">
      <c r="E913" s="1"/>
      <c r="F913" s="1"/>
      <c r="G913" s="1"/>
      <c r="H913" s="1"/>
      <c r="I913" s="1"/>
      <c r="J913" s="1"/>
      <c r="K913" s="1"/>
    </row>
    <row r="914" spans="5:11">
      <c r="E914" s="1"/>
      <c r="F914" s="1"/>
      <c r="G914" s="1"/>
      <c r="H914" s="1"/>
      <c r="I914" s="1"/>
      <c r="J914" s="1"/>
      <c r="K914" s="1"/>
    </row>
    <row r="915" spans="5:11">
      <c r="E915" s="1"/>
      <c r="F915" s="1"/>
      <c r="G915" s="1"/>
      <c r="H915" s="1"/>
      <c r="I915" s="1"/>
      <c r="J915" s="1"/>
      <c r="K915" s="1"/>
    </row>
    <row r="916" spans="5:11">
      <c r="E916" s="1"/>
      <c r="F916" s="1"/>
      <c r="G916" s="1"/>
      <c r="H916" s="1"/>
      <c r="I916" s="1"/>
      <c r="J916" s="1"/>
      <c r="K916" s="1"/>
    </row>
    <row r="917" spans="5:11">
      <c r="E917" s="1"/>
      <c r="F917" s="1"/>
      <c r="G917" s="1"/>
      <c r="H917" s="1"/>
      <c r="I917" s="1"/>
      <c r="J917" s="1"/>
      <c r="K917" s="1"/>
    </row>
    <row r="918" spans="5:11">
      <c r="E918" s="1"/>
      <c r="F918" s="1"/>
      <c r="G918" s="1"/>
      <c r="H918" s="1"/>
      <c r="I918" s="1"/>
      <c r="J918" s="1"/>
      <c r="K918" s="1"/>
    </row>
    <row r="919" spans="5:11">
      <c r="E919" s="1"/>
      <c r="F919" s="1"/>
      <c r="G919" s="1"/>
      <c r="H919" s="1"/>
      <c r="I919" s="1"/>
      <c r="J919" s="1"/>
      <c r="K919" s="1"/>
    </row>
    <row r="920" spans="5:11">
      <c r="E920" s="1"/>
      <c r="F920" s="1"/>
      <c r="G920" s="1"/>
      <c r="H920" s="1"/>
      <c r="I920" s="1"/>
      <c r="J920" s="1"/>
      <c r="K920" s="1"/>
    </row>
    <row r="921" spans="5:11">
      <c r="E921" s="1"/>
      <c r="F921" s="1"/>
      <c r="G921" s="1"/>
      <c r="H921" s="1"/>
      <c r="I921" s="1"/>
      <c r="J921" s="1"/>
      <c r="K921" s="1"/>
    </row>
    <row r="922" spans="5:11">
      <c r="E922" s="1"/>
      <c r="F922" s="1"/>
      <c r="G922" s="1"/>
      <c r="H922" s="1"/>
      <c r="I922" s="1"/>
      <c r="J922" s="1"/>
      <c r="K922" s="1"/>
    </row>
    <row r="923" spans="5:11">
      <c r="E923" s="1"/>
      <c r="F923" s="1"/>
      <c r="G923" s="1"/>
      <c r="H923" s="1"/>
      <c r="I923" s="1"/>
      <c r="J923" s="1"/>
      <c r="K923" s="1"/>
    </row>
    <row r="924" spans="5:11">
      <c r="E924" s="1"/>
      <c r="F924" s="1"/>
      <c r="G924" s="1"/>
      <c r="H924" s="1"/>
      <c r="I924" s="1"/>
      <c r="J924" s="1"/>
      <c r="K924" s="1"/>
    </row>
    <row r="925" spans="5:11">
      <c r="E925" s="1"/>
      <c r="F925" s="1"/>
      <c r="G925" s="1"/>
      <c r="H925" s="1"/>
      <c r="I925" s="1"/>
      <c r="J925" s="1"/>
      <c r="K925" s="1"/>
    </row>
    <row r="926" spans="5:11">
      <c r="E926" s="1"/>
      <c r="F926" s="1"/>
      <c r="G926" s="1"/>
      <c r="H926" s="1"/>
      <c r="I926" s="1"/>
      <c r="J926" s="1"/>
      <c r="K926" s="1"/>
    </row>
    <row r="927" spans="5:11">
      <c r="E927" s="1"/>
      <c r="F927" s="1"/>
      <c r="G927" s="1"/>
      <c r="H927" s="1"/>
      <c r="I927" s="1"/>
      <c r="J927" s="1"/>
      <c r="K927" s="1"/>
    </row>
    <row r="928" spans="5:11">
      <c r="E928" s="1"/>
      <c r="F928" s="1"/>
      <c r="G928" s="1"/>
      <c r="H928" s="1"/>
      <c r="I928" s="1"/>
      <c r="J928" s="1"/>
      <c r="K928" s="1"/>
    </row>
    <row r="929" spans="5:11">
      <c r="E929" s="1"/>
      <c r="F929" s="1"/>
      <c r="G929" s="1"/>
      <c r="H929" s="1"/>
      <c r="I929" s="1"/>
      <c r="J929" s="1"/>
      <c r="K929" s="1"/>
    </row>
    <row r="930" spans="5:11">
      <c r="E930" s="1"/>
      <c r="F930" s="1"/>
      <c r="G930" s="1"/>
      <c r="H930" s="1"/>
      <c r="I930" s="1"/>
      <c r="J930" s="1"/>
      <c r="K930" s="1"/>
    </row>
    <row r="931" spans="5:11">
      <c r="E931" s="1"/>
      <c r="F931" s="1"/>
      <c r="G931" s="1"/>
      <c r="H931" s="1"/>
      <c r="I931" s="1"/>
      <c r="J931" s="1"/>
      <c r="K931" s="1"/>
    </row>
    <row r="932" spans="5:11">
      <c r="E932" s="1"/>
      <c r="F932" s="1"/>
      <c r="G932" s="1"/>
      <c r="H932" s="1"/>
      <c r="I932" s="1"/>
      <c r="J932" s="1"/>
      <c r="K932" s="1"/>
    </row>
    <row r="933" spans="5:11">
      <c r="E933" s="1"/>
      <c r="F933" s="1"/>
      <c r="G933" s="1"/>
      <c r="H933" s="1"/>
      <c r="I933" s="1"/>
      <c r="J933" s="1"/>
      <c r="K933" s="1"/>
    </row>
    <row r="934" spans="5:11">
      <c r="E934" s="1"/>
      <c r="F934" s="1"/>
      <c r="G934" s="1"/>
      <c r="H934" s="1"/>
      <c r="I934" s="1"/>
      <c r="J934" s="1"/>
      <c r="K934" s="1"/>
    </row>
    <row r="935" spans="5:11">
      <c r="E935" s="1"/>
      <c r="F935" s="1"/>
      <c r="G935" s="1"/>
      <c r="H935" s="1"/>
      <c r="I935" s="1"/>
      <c r="J935" s="1"/>
      <c r="K935" s="1"/>
    </row>
    <row r="936" spans="5:11">
      <c r="E936" s="1"/>
      <c r="F936" s="1"/>
      <c r="G936" s="1"/>
      <c r="H936" s="1"/>
      <c r="I936" s="1"/>
      <c r="J936" s="1"/>
      <c r="K936" s="1"/>
    </row>
    <row r="937" spans="5:11">
      <c r="E937" s="1"/>
      <c r="F937" s="1"/>
      <c r="G937" s="1"/>
      <c r="H937" s="1"/>
      <c r="I937" s="1"/>
      <c r="J937" s="1"/>
      <c r="K937" s="1"/>
    </row>
    <row r="938" spans="5:11">
      <c r="E938" s="1"/>
      <c r="F938" s="1"/>
      <c r="G938" s="1"/>
      <c r="H938" s="1"/>
      <c r="I938" s="1"/>
      <c r="J938" s="1"/>
      <c r="K938" s="1"/>
    </row>
    <row r="939" spans="5:11">
      <c r="E939" s="1"/>
      <c r="F939" s="1"/>
      <c r="G939" s="1"/>
      <c r="H939" s="1"/>
      <c r="I939" s="1"/>
      <c r="J939" s="1"/>
      <c r="K939" s="1"/>
    </row>
    <row r="940" spans="5:11">
      <c r="E940" s="1"/>
      <c r="F940" s="1"/>
      <c r="G940" s="1"/>
      <c r="H940" s="1"/>
      <c r="I940" s="1"/>
      <c r="J940" s="1"/>
      <c r="K940" s="1"/>
    </row>
    <row r="941" spans="5:11">
      <c r="E941" s="1"/>
      <c r="F941" s="1"/>
      <c r="G941" s="1"/>
      <c r="H941" s="1"/>
      <c r="I941" s="1"/>
      <c r="J941" s="1"/>
      <c r="K941" s="1"/>
    </row>
    <row r="942" spans="5:11">
      <c r="E942" s="1"/>
      <c r="F942" s="1"/>
      <c r="G942" s="1"/>
      <c r="H942" s="1"/>
      <c r="I942" s="1"/>
      <c r="J942" s="1"/>
      <c r="K942" s="1"/>
    </row>
    <row r="943" spans="5:11">
      <c r="E943" s="1"/>
      <c r="F943" s="1"/>
      <c r="G943" s="1"/>
      <c r="H943" s="1"/>
      <c r="I943" s="1"/>
      <c r="J943" s="1"/>
      <c r="K943" s="1"/>
    </row>
    <row r="944" spans="5:11">
      <c r="E944" s="1"/>
      <c r="F944" s="1"/>
      <c r="G944" s="1"/>
      <c r="H944" s="1"/>
      <c r="I944" s="1"/>
      <c r="J944" s="1"/>
      <c r="K944" s="1"/>
    </row>
    <row r="945" spans="5:11">
      <c r="E945" s="1"/>
      <c r="F945" s="1"/>
      <c r="G945" s="1"/>
      <c r="H945" s="1"/>
      <c r="I945" s="1"/>
      <c r="J945" s="1"/>
      <c r="K945" s="1"/>
    </row>
    <row r="946" spans="5:11">
      <c r="E946" s="1"/>
      <c r="F946" s="1"/>
      <c r="G946" s="1"/>
      <c r="H946" s="1"/>
      <c r="I946" s="1"/>
      <c r="J946" s="1"/>
      <c r="K946" s="1"/>
    </row>
    <row r="947" spans="5:11">
      <c r="E947" s="1"/>
      <c r="F947" s="1"/>
      <c r="G947" s="1"/>
      <c r="H947" s="1"/>
      <c r="I947" s="1"/>
      <c r="J947" s="1"/>
      <c r="K947" s="1"/>
    </row>
    <row r="948" spans="5:11">
      <c r="E948" s="1"/>
      <c r="F948" s="1"/>
      <c r="G948" s="1"/>
      <c r="H948" s="1"/>
      <c r="I948" s="1"/>
      <c r="J948" s="1"/>
      <c r="K948" s="1"/>
    </row>
    <row r="949" spans="5:11">
      <c r="E949" s="1"/>
      <c r="F949" s="1"/>
      <c r="G949" s="1"/>
      <c r="H949" s="1"/>
      <c r="I949" s="1"/>
      <c r="J949" s="1"/>
      <c r="K949" s="1"/>
    </row>
    <row r="950" spans="5:11">
      <c r="E950" s="1"/>
      <c r="F950" s="1"/>
      <c r="G950" s="1"/>
      <c r="H950" s="1"/>
      <c r="I950" s="1"/>
      <c r="J950" s="1"/>
      <c r="K950" s="1"/>
    </row>
    <row r="951" spans="5:11">
      <c r="E951" s="1"/>
      <c r="F951" s="1"/>
      <c r="G951" s="1"/>
      <c r="H951" s="1"/>
      <c r="I951" s="1"/>
      <c r="J951" s="1"/>
      <c r="K951" s="1"/>
    </row>
    <row r="952" spans="5:11">
      <c r="E952" s="1"/>
      <c r="F952" s="1"/>
      <c r="G952" s="1"/>
      <c r="H952" s="1"/>
      <c r="I952" s="1"/>
      <c r="J952" s="1"/>
      <c r="K952" s="1"/>
    </row>
    <row r="953" spans="5:11">
      <c r="E953" s="1"/>
      <c r="F953" s="1"/>
      <c r="G953" s="1"/>
      <c r="H953" s="1"/>
      <c r="I953" s="1"/>
      <c r="J953" s="1"/>
      <c r="K953" s="1"/>
    </row>
    <row r="954" spans="5:11">
      <c r="E954" s="1"/>
      <c r="F954" s="1"/>
      <c r="G954" s="1"/>
      <c r="H954" s="1"/>
      <c r="I954" s="1"/>
      <c r="J954" s="1"/>
      <c r="K954" s="1"/>
    </row>
    <row r="955" spans="5:11">
      <c r="E955" s="1"/>
      <c r="F955" s="1"/>
      <c r="G955" s="1"/>
      <c r="H955" s="1"/>
      <c r="I955" s="1"/>
      <c r="J955" s="1"/>
      <c r="K955" s="1"/>
    </row>
    <row r="956" spans="5:11">
      <c r="E956" s="1"/>
      <c r="F956" s="1"/>
      <c r="G956" s="1"/>
      <c r="H956" s="1"/>
      <c r="I956" s="1"/>
      <c r="J956" s="1"/>
      <c r="K956" s="1"/>
    </row>
    <row r="957" spans="5:11">
      <c r="E957" s="1"/>
      <c r="F957" s="1"/>
      <c r="G957" s="1"/>
      <c r="H957" s="1"/>
      <c r="I957" s="1"/>
      <c r="J957" s="1"/>
      <c r="K957" s="1"/>
    </row>
    <row r="958" spans="5:11">
      <c r="E958" s="1"/>
      <c r="F958" s="1"/>
      <c r="G958" s="1"/>
      <c r="H958" s="1"/>
      <c r="I958" s="1"/>
      <c r="J958" s="1"/>
      <c r="K958" s="1"/>
    </row>
    <row r="959" spans="5:11">
      <c r="E959" s="1"/>
      <c r="F959" s="1"/>
      <c r="G959" s="1"/>
      <c r="H959" s="1"/>
      <c r="I959" s="1"/>
      <c r="J959" s="1"/>
      <c r="K959" s="1"/>
    </row>
    <row r="960" spans="5:11">
      <c r="E960" s="1"/>
      <c r="F960" s="1"/>
      <c r="G960" s="1"/>
      <c r="H960" s="1"/>
      <c r="I960" s="1"/>
      <c r="J960" s="1"/>
      <c r="K960" s="1"/>
    </row>
    <row r="961" spans="5:11">
      <c r="E961" s="1"/>
      <c r="F961" s="1"/>
      <c r="G961" s="1"/>
      <c r="H961" s="1"/>
      <c r="I961" s="1"/>
      <c r="J961" s="1"/>
      <c r="K961" s="1"/>
    </row>
    <row r="962" spans="5:11">
      <c r="E962" s="1"/>
      <c r="F962" s="1"/>
      <c r="G962" s="1"/>
      <c r="H962" s="1"/>
      <c r="I962" s="1"/>
      <c r="J962" s="1"/>
      <c r="K962" s="1"/>
    </row>
    <row r="963" spans="5:11">
      <c r="E963" s="1"/>
      <c r="F963" s="1"/>
      <c r="G963" s="1"/>
      <c r="H963" s="1"/>
      <c r="I963" s="1"/>
      <c r="J963" s="1"/>
      <c r="K963" s="1"/>
    </row>
    <row r="964" spans="5:11">
      <c r="E964" s="1"/>
      <c r="F964" s="1"/>
      <c r="G964" s="1"/>
      <c r="H964" s="1"/>
      <c r="I964" s="1"/>
      <c r="J964" s="1"/>
      <c r="K964" s="1"/>
    </row>
    <row r="965" spans="5:11">
      <c r="E965" s="1"/>
      <c r="F965" s="1"/>
      <c r="G965" s="1"/>
      <c r="H965" s="1"/>
      <c r="I965" s="1"/>
      <c r="J965" s="1"/>
      <c r="K965" s="1"/>
    </row>
    <row r="966" spans="5:11">
      <c r="E966" s="1"/>
      <c r="F966" s="1"/>
      <c r="G966" s="1"/>
      <c r="H966" s="1"/>
      <c r="I966" s="1"/>
      <c r="J966" s="1"/>
      <c r="K966" s="1"/>
    </row>
    <row r="967" spans="5:11">
      <c r="E967" s="1"/>
      <c r="F967" s="1"/>
      <c r="G967" s="1"/>
      <c r="H967" s="1"/>
      <c r="I967" s="1"/>
      <c r="J967" s="1"/>
      <c r="K967" s="1"/>
    </row>
    <row r="968" spans="5:11">
      <c r="E968" s="1"/>
      <c r="F968" s="1"/>
      <c r="G968" s="1"/>
      <c r="H968" s="1"/>
      <c r="I968" s="1"/>
      <c r="J968" s="1"/>
      <c r="K968" s="1"/>
    </row>
    <row r="969" spans="5:11">
      <c r="E969" s="1"/>
      <c r="F969" s="1"/>
      <c r="G969" s="1"/>
      <c r="H969" s="1"/>
      <c r="I969" s="1"/>
      <c r="J969" s="1"/>
      <c r="K969" s="1"/>
    </row>
    <row r="970" spans="5:11">
      <c r="E970" s="1"/>
      <c r="F970" s="1"/>
      <c r="G970" s="1"/>
      <c r="H970" s="1"/>
      <c r="I970" s="1"/>
      <c r="J970" s="1"/>
      <c r="K970" s="1"/>
    </row>
    <row r="971" spans="5:11">
      <c r="E971" s="1"/>
      <c r="F971" s="1"/>
      <c r="G971" s="1"/>
      <c r="H971" s="1"/>
      <c r="I971" s="1"/>
      <c r="J971" s="1"/>
      <c r="K971" s="1"/>
    </row>
    <row r="972" spans="5:11">
      <c r="E972" s="1"/>
      <c r="F972" s="1"/>
      <c r="G972" s="1"/>
      <c r="H972" s="1"/>
      <c r="I972" s="1"/>
      <c r="J972" s="1"/>
      <c r="K972" s="1"/>
    </row>
    <row r="973" spans="5:11">
      <c r="E973" s="1"/>
      <c r="F973" s="1"/>
      <c r="G973" s="1"/>
      <c r="H973" s="1"/>
      <c r="I973" s="1"/>
      <c r="J973" s="1"/>
      <c r="K973" s="1"/>
    </row>
    <row r="974" spans="5:11">
      <c r="E974" s="1"/>
      <c r="F974" s="1"/>
      <c r="G974" s="1"/>
      <c r="H974" s="1"/>
      <c r="I974" s="1"/>
      <c r="J974" s="1"/>
      <c r="K974" s="1"/>
    </row>
    <row r="975" spans="5:11">
      <c r="E975" s="1"/>
      <c r="F975" s="1"/>
      <c r="G975" s="1"/>
      <c r="H975" s="1"/>
      <c r="I975" s="1"/>
      <c r="J975" s="1"/>
      <c r="K975" s="1"/>
    </row>
    <row r="976" spans="5:11">
      <c r="E976" s="1"/>
      <c r="F976" s="1"/>
      <c r="G976" s="1"/>
      <c r="H976" s="1"/>
      <c r="I976" s="1"/>
      <c r="J976" s="1"/>
      <c r="K976" s="1"/>
    </row>
    <row r="977" spans="5:11">
      <c r="E977" s="1"/>
      <c r="F977" s="1"/>
      <c r="G977" s="1"/>
      <c r="H977" s="1"/>
      <c r="I977" s="1"/>
      <c r="J977" s="1"/>
      <c r="K977" s="1"/>
    </row>
    <row r="978" spans="5:11">
      <c r="E978" s="1"/>
      <c r="F978" s="1"/>
      <c r="G978" s="1"/>
      <c r="H978" s="1"/>
      <c r="I978" s="1"/>
      <c r="J978" s="1"/>
      <c r="K978" s="1"/>
    </row>
    <row r="979" spans="5:11">
      <c r="E979" s="1"/>
      <c r="F979" s="1"/>
      <c r="G979" s="1"/>
      <c r="H979" s="1"/>
      <c r="I979" s="1"/>
      <c r="J979" s="1"/>
      <c r="K979" s="1"/>
    </row>
    <row r="980" spans="5:11">
      <c r="E980" s="1"/>
      <c r="F980" s="1"/>
      <c r="G980" s="1"/>
      <c r="H980" s="1"/>
      <c r="I980" s="1"/>
      <c r="J980" s="1"/>
      <c r="K980" s="1"/>
    </row>
    <row r="981" spans="5:11">
      <c r="E981" s="1"/>
      <c r="F981" s="1"/>
      <c r="G981" s="1"/>
      <c r="H981" s="1"/>
      <c r="I981" s="1"/>
      <c r="J981" s="1"/>
      <c r="K981" s="1"/>
    </row>
    <row r="982" spans="5:11">
      <c r="E982" s="1"/>
      <c r="F982" s="1"/>
      <c r="G982" s="1"/>
      <c r="H982" s="1"/>
      <c r="I982" s="1"/>
      <c r="J982" s="1"/>
      <c r="K982" s="1"/>
    </row>
    <row r="983" spans="5:11">
      <c r="E983" s="1"/>
      <c r="F983" s="1"/>
      <c r="G983" s="1"/>
      <c r="H983" s="1"/>
      <c r="I983" s="1"/>
      <c r="J983" s="1"/>
      <c r="K983" s="1"/>
    </row>
    <row r="984" spans="5:11">
      <c r="E984" s="1"/>
      <c r="F984" s="1"/>
      <c r="G984" s="1"/>
      <c r="H984" s="1"/>
      <c r="I984" s="1"/>
      <c r="J984" s="1"/>
      <c r="K984" s="1"/>
    </row>
    <row r="985" spans="5:11">
      <c r="E985" s="1"/>
      <c r="F985" s="1"/>
      <c r="G985" s="1"/>
      <c r="H985" s="1"/>
      <c r="I985" s="1"/>
      <c r="J985" s="1"/>
      <c r="K985" s="1"/>
    </row>
    <row r="986" spans="5:11">
      <c r="E986" s="1"/>
      <c r="F986" s="1"/>
      <c r="G986" s="1"/>
      <c r="H986" s="1"/>
      <c r="I986" s="1"/>
      <c r="J986" s="1"/>
      <c r="K986" s="1"/>
    </row>
    <row r="987" spans="5:11">
      <c r="E987" s="1"/>
      <c r="F987" s="1"/>
      <c r="G987" s="1"/>
      <c r="H987" s="1"/>
      <c r="I987" s="1"/>
      <c r="J987" s="1"/>
      <c r="K987" s="1"/>
    </row>
    <row r="988" spans="5:11">
      <c r="E988" s="1"/>
      <c r="F988" s="1"/>
      <c r="G988" s="1"/>
      <c r="H988" s="1"/>
      <c r="I988" s="1"/>
      <c r="J988" s="1"/>
      <c r="K988" s="1"/>
    </row>
    <row r="989" spans="5:11">
      <c r="E989" s="1"/>
      <c r="F989" s="1"/>
      <c r="G989" s="1"/>
      <c r="H989" s="1"/>
      <c r="I989" s="1"/>
      <c r="J989" s="1"/>
      <c r="K989" s="1"/>
    </row>
    <row r="990" spans="5:11">
      <c r="E990" s="1"/>
      <c r="F990" s="1"/>
      <c r="G990" s="1"/>
      <c r="H990" s="1"/>
      <c r="I990" s="1"/>
      <c r="J990" s="1"/>
      <c r="K990" s="1"/>
    </row>
    <row r="991" spans="5:11">
      <c r="E991" s="1"/>
      <c r="F991" s="1"/>
      <c r="G991" s="1"/>
      <c r="H991" s="1"/>
      <c r="I991" s="1"/>
      <c r="J991" s="1"/>
      <c r="K991" s="1"/>
    </row>
    <row r="992" spans="5:11">
      <c r="E992" s="1"/>
      <c r="F992" s="1"/>
      <c r="G992" s="1"/>
      <c r="H992" s="1"/>
      <c r="I992" s="1"/>
      <c r="J992" s="1"/>
      <c r="K992" s="1"/>
    </row>
    <row r="993" spans="5:11">
      <c r="E993" s="1"/>
      <c r="F993" s="1"/>
      <c r="G993" s="1"/>
      <c r="H993" s="1"/>
      <c r="I993" s="1"/>
      <c r="J993" s="1"/>
      <c r="K993" s="1"/>
    </row>
    <row r="994" spans="5:11">
      <c r="E994" s="1"/>
      <c r="F994" s="1"/>
      <c r="G994" s="1"/>
      <c r="H994" s="1"/>
      <c r="I994" s="1"/>
      <c r="J994" s="1"/>
      <c r="K994" s="1"/>
    </row>
    <row r="995" spans="5:11">
      <c r="E995" s="1"/>
      <c r="F995" s="1"/>
      <c r="G995" s="1"/>
      <c r="H995" s="1"/>
      <c r="I995" s="1"/>
      <c r="J995" s="1"/>
      <c r="K995" s="1"/>
    </row>
    <row r="996" spans="5:11">
      <c r="E996" s="1"/>
      <c r="F996" s="1"/>
      <c r="G996" s="1"/>
      <c r="H996" s="1"/>
      <c r="I996" s="1"/>
      <c r="J996" s="1"/>
      <c r="K996" s="1"/>
    </row>
    <row r="997" spans="5:11">
      <c r="E997" s="1"/>
      <c r="F997" s="1"/>
      <c r="G997" s="1"/>
      <c r="H997" s="1"/>
      <c r="I997" s="1"/>
      <c r="J997" s="1"/>
      <c r="K997" s="1"/>
    </row>
  </sheetData>
  <mergeCells count="9">
    <mergeCell ref="E78:F78"/>
    <mergeCell ref="D80:L80"/>
    <mergeCell ref="E87:F87"/>
    <mergeCell ref="D2:L2"/>
    <mergeCell ref="D4:L4"/>
    <mergeCell ref="E18:F18"/>
    <mergeCell ref="D21:L21"/>
    <mergeCell ref="E45:F45"/>
    <mergeCell ref="D47:L47"/>
  </mergeCells>
  <pageMargins left="0.7" right="0.7" top="0.75" bottom="0.75" header="0" footer="0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3:AG63"/>
  <sheetViews>
    <sheetView showGridLines="0" zoomScale="57" zoomScaleNormal="57" workbookViewId="0">
      <pane xSplit="2" ySplit="4" topLeftCell="C41" activePane="bottomRight" state="frozen"/>
      <selection pane="bottomRight" activeCell="J57" sqref="J57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2.77734375" customWidth="1"/>
    <col min="3" max="3" width="14.109375" customWidth="1"/>
    <col min="4" max="4" width="14.21875" customWidth="1"/>
    <col min="5" max="5" width="10.5546875" customWidth="1"/>
    <col min="6" max="6" width="11.44140625" customWidth="1"/>
    <col min="7" max="7" width="11.33203125" customWidth="1"/>
    <col min="8" max="8" width="11.6640625" customWidth="1"/>
    <col min="9" max="9" width="12.6640625" customWidth="1"/>
    <col min="10" max="10" width="12.332031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9.44140625" style="1" bestFit="1" customWidth="1"/>
    <col min="18" max="18" width="14.6640625" customWidth="1"/>
    <col min="19" max="20" width="14.77734375" customWidth="1"/>
    <col min="21" max="21" width="13.77734375" customWidth="1"/>
    <col min="22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7" t="s">
        <v>6</v>
      </c>
      <c r="H4" s="128" t="s">
        <v>7</v>
      </c>
      <c r="I4" s="128" t="s">
        <v>8</v>
      </c>
      <c r="J4" s="129" t="s">
        <v>9</v>
      </c>
      <c r="K4" s="274" t="s">
        <v>182</v>
      </c>
      <c r="L4" s="127" t="s">
        <v>10</v>
      </c>
      <c r="M4" s="128" t="s">
        <v>11</v>
      </c>
      <c r="N4" s="128" t="s">
        <v>12</v>
      </c>
      <c r="O4" s="146" t="s">
        <v>13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3.15">
      <c r="B5" s="130">
        <v>44013</v>
      </c>
      <c r="C5" s="131">
        <v>9400</v>
      </c>
      <c r="D5" s="135">
        <v>23500</v>
      </c>
      <c r="E5" s="135">
        <v>4090</v>
      </c>
      <c r="F5" s="136">
        <v>14200</v>
      </c>
      <c r="G5" s="131">
        <v>9379.7000000000007</v>
      </c>
      <c r="H5" s="137">
        <v>3555</v>
      </c>
      <c r="I5" s="137">
        <v>4109</v>
      </c>
      <c r="J5" s="138">
        <v>12690</v>
      </c>
      <c r="K5" s="275">
        <f>SUM(Table25234[[#This Row],[Batan Daily Prod (bopd)]:[Odidi prod (bopd)]])</f>
        <v>29733.7</v>
      </c>
      <c r="L5" s="131">
        <f>Table25234[[#This Row],[Batan Target (bopd)]]-Table25234[[#This Row],[Batan Daily Prod (bopd)]]</f>
        <v>20.299999999999272</v>
      </c>
      <c r="M5" s="132">
        <f>Table25234[[#This Row],[Jones Creek Target (bopd)]]-Table25234[[#This Row],[Jones Creek Prod (bopd)]]</f>
        <v>19945</v>
      </c>
      <c r="N5" s="132">
        <f>Table25234[[#This Row],[Egwa Target (bopd)]]-Table25234[[#This Row],[Egwa Prod (bopd)]]</f>
        <v>-19</v>
      </c>
      <c r="O5" s="134">
        <f>Table25234[[#This Row],[Odidi Target (bopd)]]-Table25234[[#This Row],[Odidi prod (bopd)]]</f>
        <v>1510</v>
      </c>
      <c r="R5" s="144"/>
      <c r="S5" s="148" t="s">
        <v>148</v>
      </c>
      <c r="T5" s="152">
        <f>B34</f>
        <v>44042</v>
      </c>
      <c r="U5" s="152">
        <f>B35</f>
        <v>44043</v>
      </c>
      <c r="V5" s="152">
        <f>B36</f>
        <v>44044</v>
      </c>
      <c r="W5" s="152">
        <f>B37</f>
        <v>44045</v>
      </c>
      <c r="X5" s="152">
        <f>B38</f>
        <v>44046</v>
      </c>
    </row>
    <row r="6" spans="2:33" ht="21.6">
      <c r="B6" s="130">
        <v>44014</v>
      </c>
      <c r="C6" s="131">
        <v>9400</v>
      </c>
      <c r="D6" s="135">
        <v>23500</v>
      </c>
      <c r="E6" s="135">
        <v>4090</v>
      </c>
      <c r="F6" s="136">
        <v>14200</v>
      </c>
      <c r="G6" s="131">
        <v>9365</v>
      </c>
      <c r="H6" s="137">
        <v>661</v>
      </c>
      <c r="I6" s="132">
        <v>4021</v>
      </c>
      <c r="J6" s="138">
        <v>13205</v>
      </c>
      <c r="K6" s="275">
        <f>SUM(Table25234[[#This Row],[Batan Daily Prod (bopd)]:[Odidi prod (bopd)]])</f>
        <v>27252</v>
      </c>
      <c r="L6" s="131">
        <f>Table25234[[#This Row],[Batan Target (bopd)]]-Table25234[[#This Row],[Batan Daily Prod (bopd)]]</f>
        <v>35</v>
      </c>
      <c r="M6" s="132">
        <f>Table25234[[#This Row],[Jones Creek Target (bopd)]]-Table25234[[#This Row],[Jones Creek Prod (bopd)]]</f>
        <v>22839</v>
      </c>
      <c r="N6" s="132">
        <f>Table25234[[#This Row],[Egwa Target (bopd)]]-Table25234[[#This Row],[Egwa Prod (bopd)]]</f>
        <v>69</v>
      </c>
      <c r="O6" s="134">
        <f>Table25234[[#This Row],[Odidi Target (bopd)]]-Table25234[[#This Row],[Odidi prod (bopd)]]</f>
        <v>995</v>
      </c>
      <c r="R6" s="145" t="s">
        <v>17</v>
      </c>
      <c r="S6" s="272">
        <v>23.5</v>
      </c>
      <c r="T6" s="268">
        <v>20.126000000000001</v>
      </c>
      <c r="U6" s="267">
        <v>20.285</v>
      </c>
      <c r="V6" s="268">
        <v>20.422999999999998</v>
      </c>
      <c r="W6" s="267">
        <v>20.186</v>
      </c>
      <c r="X6" s="268">
        <v>20.548999999999999</v>
      </c>
      <c r="AA6" s="242"/>
      <c r="AB6" s="243"/>
      <c r="AC6" s="244"/>
      <c r="AD6" s="244"/>
      <c r="AE6" s="244"/>
      <c r="AF6" s="245"/>
      <c r="AG6" s="245"/>
    </row>
    <row r="7" spans="2:33" ht="21.6">
      <c r="B7" s="130">
        <v>44015</v>
      </c>
      <c r="C7" s="131">
        <v>9400</v>
      </c>
      <c r="D7" s="135">
        <v>23500</v>
      </c>
      <c r="E7" s="135">
        <v>4090</v>
      </c>
      <c r="F7" s="136">
        <v>14200</v>
      </c>
      <c r="G7" s="140">
        <v>9274</v>
      </c>
      <c r="H7" s="137">
        <v>0</v>
      </c>
      <c r="I7" s="132">
        <v>2373</v>
      </c>
      <c r="J7" s="138">
        <v>12327</v>
      </c>
      <c r="K7" s="275">
        <f>SUM(Table25234[[#This Row],[Batan Daily Prod (bopd)]:[Odidi prod (bopd)]])</f>
        <v>23974</v>
      </c>
      <c r="L7" s="131">
        <f>Table25234[[#This Row],[Batan Target (bopd)]]-Table25234[[#This Row],[Batan Daily Prod (bopd)]]</f>
        <v>126</v>
      </c>
      <c r="M7" s="132">
        <f>Table25234[[#This Row],[Jones Creek Target (bopd)]]-Table25234[[#This Row],[Jones Creek Prod (bopd)]]</f>
        <v>23500</v>
      </c>
      <c r="N7" s="132">
        <f>Table25234[[#This Row],[Egwa Target (bopd)]]-Table25234[[#This Row],[Egwa Prod (bopd)]]</f>
        <v>1717</v>
      </c>
      <c r="O7" s="134">
        <f>Table25234[[#This Row],[Odidi Target (bopd)]]-Table25234[[#This Row],[Odidi prod (bopd)]]</f>
        <v>1873</v>
      </c>
      <c r="R7" s="145" t="s">
        <v>19</v>
      </c>
      <c r="S7" s="272">
        <v>14.2</v>
      </c>
      <c r="T7" s="268">
        <v>13.977</v>
      </c>
      <c r="U7" s="267">
        <v>14.461</v>
      </c>
      <c r="V7" s="268">
        <v>14.494999999999999</v>
      </c>
      <c r="W7" s="267">
        <v>13.86</v>
      </c>
      <c r="X7" s="268">
        <v>13.609</v>
      </c>
      <c r="AA7" s="242"/>
      <c r="AB7" s="243"/>
      <c r="AC7" s="246"/>
      <c r="AD7" s="246"/>
      <c r="AE7" s="246"/>
      <c r="AF7" s="246"/>
      <c r="AG7" s="246"/>
    </row>
    <row r="8" spans="2:33" ht="21.6">
      <c r="B8" s="130">
        <v>44016</v>
      </c>
      <c r="C8" s="131">
        <v>9400</v>
      </c>
      <c r="D8" s="135">
        <v>23500</v>
      </c>
      <c r="E8" s="135">
        <v>4090</v>
      </c>
      <c r="F8" s="136">
        <v>14200</v>
      </c>
      <c r="G8" s="140">
        <v>7570</v>
      </c>
      <c r="H8" s="132">
        <v>0</v>
      </c>
      <c r="I8" s="132">
        <v>4105</v>
      </c>
      <c r="J8" s="138">
        <v>12880</v>
      </c>
      <c r="K8" s="275">
        <f>SUM(Table25234[[#This Row],[Batan Daily Prod (bopd)]:[Odidi prod (bopd)]])</f>
        <v>24555</v>
      </c>
      <c r="L8" s="131">
        <f>Table25234[[#This Row],[Batan Target (bopd)]]-Table25234[[#This Row],[Batan Daily Prod (bopd)]]</f>
        <v>1830</v>
      </c>
      <c r="M8" s="132">
        <f>Table25234[[#This Row],[Jones Creek Target (bopd)]]-Table25234[[#This Row],[Jones Creek Prod (bopd)]]</f>
        <v>23500</v>
      </c>
      <c r="N8" s="132">
        <f>Table25234[[#This Row],[Egwa Target (bopd)]]-Table25234[[#This Row],[Egwa Prod (bopd)]]</f>
        <v>-15</v>
      </c>
      <c r="O8" s="134">
        <f>Table25234[[#This Row],[Odidi Target (bopd)]]-Table25234[[#This Row],[Odidi prod (bopd)]]</f>
        <v>1320</v>
      </c>
      <c r="R8" s="145" t="s">
        <v>16</v>
      </c>
      <c r="S8" s="272">
        <v>9.4</v>
      </c>
      <c r="T8" s="268">
        <v>4.5069999999999997</v>
      </c>
      <c r="U8" s="269">
        <v>5.0259999999999998</v>
      </c>
      <c r="V8" s="268">
        <v>5.0529999999999999</v>
      </c>
      <c r="W8" s="269">
        <v>5.0629999999999997</v>
      </c>
      <c r="X8" s="268">
        <v>5.0709999999999997</v>
      </c>
      <c r="AA8" s="242"/>
      <c r="AB8" s="243"/>
      <c r="AC8" s="244"/>
      <c r="AD8" s="244"/>
      <c r="AE8" s="244"/>
      <c r="AF8" s="244"/>
      <c r="AG8" s="244"/>
    </row>
    <row r="9" spans="2:33" ht="21.6">
      <c r="B9" s="130">
        <v>44017</v>
      </c>
      <c r="C9" s="131">
        <v>9400</v>
      </c>
      <c r="D9" s="135">
        <v>23500</v>
      </c>
      <c r="E9" s="135">
        <v>4090</v>
      </c>
      <c r="F9" s="136">
        <v>14200</v>
      </c>
      <c r="G9" s="131">
        <v>8304</v>
      </c>
      <c r="H9" s="132">
        <v>0</v>
      </c>
      <c r="I9" s="132">
        <v>4103</v>
      </c>
      <c r="J9" s="138">
        <v>12607</v>
      </c>
      <c r="K9" s="275">
        <f>SUM(Table25234[[#This Row],[Batan Daily Prod (bopd)]:[Odidi prod (bopd)]])</f>
        <v>25014</v>
      </c>
      <c r="L9" s="131">
        <f>Table25234[[#This Row],[Batan Target (bopd)]]-Table25234[[#This Row],[Batan Daily Prod (bopd)]]</f>
        <v>1096</v>
      </c>
      <c r="M9" s="132">
        <f>Table25234[[#This Row],[Jones Creek Target (bopd)]]-Table25234[[#This Row],[Jones Creek Prod (bopd)]]</f>
        <v>23500</v>
      </c>
      <c r="N9" s="132">
        <f>Table25234[[#This Row],[Egwa Target (bopd)]]-Table25234[[#This Row],[Egwa Prod (bopd)]]</f>
        <v>-13</v>
      </c>
      <c r="O9" s="134">
        <f>Table25234[[#This Row],[Odidi Target (bopd)]]-Table25234[[#This Row],[Odidi prod (bopd)]]</f>
        <v>1593</v>
      </c>
      <c r="R9" s="145" t="s">
        <v>18</v>
      </c>
      <c r="S9" s="273">
        <v>4.09</v>
      </c>
      <c r="T9" s="270">
        <v>3.8860000000000001</v>
      </c>
      <c r="U9" s="269">
        <v>4.1120000000000001</v>
      </c>
      <c r="V9" s="270">
        <v>4.1159999999999997</v>
      </c>
      <c r="W9" s="269">
        <v>4.117</v>
      </c>
      <c r="X9" s="270">
        <v>4.1219999999999999</v>
      </c>
      <c r="AA9" s="242"/>
      <c r="AB9" s="243"/>
      <c r="AC9" s="244"/>
      <c r="AD9" s="244"/>
      <c r="AE9" s="244"/>
      <c r="AF9" s="245"/>
      <c r="AG9" s="245"/>
    </row>
    <row r="10" spans="2:33" ht="21.6">
      <c r="B10" s="130">
        <v>44018</v>
      </c>
      <c r="C10" s="131">
        <v>9400</v>
      </c>
      <c r="D10" s="135">
        <v>23500</v>
      </c>
      <c r="E10" s="135">
        <v>4090</v>
      </c>
      <c r="F10" s="136">
        <v>14200</v>
      </c>
      <c r="G10" s="131">
        <v>8280</v>
      </c>
      <c r="H10" s="132">
        <v>0</v>
      </c>
      <c r="I10" s="132">
        <v>4143</v>
      </c>
      <c r="J10" s="134">
        <v>12480</v>
      </c>
      <c r="K10" s="276">
        <f>SUM(Table25234[[#This Row],[Batan Daily Prod (bopd)]:[Odidi prod (bopd)]])</f>
        <v>24903</v>
      </c>
      <c r="L10" s="131">
        <f>Table25234[[#This Row],[Batan Target (bopd)]]-Table25234[[#This Row],[Batan Daily Prod (bopd)]]</f>
        <v>1120</v>
      </c>
      <c r="M10" s="132">
        <f>Table25234[[#This Row],[Jones Creek Target (bopd)]]-Table25234[[#This Row],[Jones Creek Prod (bopd)]]</f>
        <v>23500</v>
      </c>
      <c r="N10" s="132">
        <f>Table25234[[#This Row],[Egwa Target (bopd)]]-Table25234[[#This Row],[Egwa Prod (bopd)]]</f>
        <v>-53</v>
      </c>
      <c r="O10" s="134">
        <f>Table25234[[#This Row],[Odidi Target (bopd)]]-Table25234[[#This Row],[Odidi prod (bopd)]]</f>
        <v>1720</v>
      </c>
    </row>
    <row r="11" spans="2:33" ht="21.6">
      <c r="B11" s="130">
        <v>44019</v>
      </c>
      <c r="C11" s="131">
        <v>9400</v>
      </c>
      <c r="D11" s="135">
        <v>23500</v>
      </c>
      <c r="E11" s="135">
        <v>4090</v>
      </c>
      <c r="F11" s="136">
        <v>14200</v>
      </c>
      <c r="G11" s="131">
        <v>8351</v>
      </c>
      <c r="H11" s="137">
        <v>0</v>
      </c>
      <c r="I11" s="132">
        <v>2238</v>
      </c>
      <c r="J11" s="138">
        <v>14799</v>
      </c>
      <c r="K11" s="275">
        <f>SUM(Table25234[[#This Row],[Batan Daily Prod (bopd)]:[Odidi prod (bopd)]])</f>
        <v>25388</v>
      </c>
      <c r="L11" s="131">
        <f>Table25234[[#This Row],[Batan Target (bopd)]]-Table25234[[#This Row],[Batan Daily Prod (bopd)]]</f>
        <v>1049</v>
      </c>
      <c r="M11" s="132">
        <f>Table25234[[#This Row],[Jones Creek Target (bopd)]]-Table25234[[#This Row],[Jones Creek Prod (bopd)]]</f>
        <v>23500</v>
      </c>
      <c r="N11" s="132">
        <f>Table25234[[#This Row],[Egwa Target (bopd)]]-Table25234[[#This Row],[Egwa Prod (bopd)]]</f>
        <v>1852</v>
      </c>
      <c r="O11" s="134">
        <f>Table25234[[#This Row],[Odidi Target (bopd)]]-Table25234[[#This Row],[Odidi prod (bopd)]]</f>
        <v>-599</v>
      </c>
    </row>
    <row r="12" spans="2:33" ht="21.6">
      <c r="B12" s="130">
        <v>44020</v>
      </c>
      <c r="C12" s="131">
        <v>9400</v>
      </c>
      <c r="D12" s="135">
        <v>23500</v>
      </c>
      <c r="E12" s="135">
        <v>4090</v>
      </c>
      <c r="F12" s="136">
        <v>14200</v>
      </c>
      <c r="G12" s="131">
        <v>8121</v>
      </c>
      <c r="H12" s="137">
        <v>387</v>
      </c>
      <c r="I12" s="132">
        <v>0</v>
      </c>
      <c r="J12" s="138">
        <v>12466</v>
      </c>
      <c r="K12" s="275">
        <f>SUM(Table25234[[#This Row],[Batan Daily Prod (bopd)]:[Odidi prod (bopd)]])</f>
        <v>20974</v>
      </c>
      <c r="L12" s="131">
        <f>Table25234[[#This Row],[Batan Target (bopd)]]-Table25234[[#This Row],[Batan Daily Prod (bopd)]]</f>
        <v>1279</v>
      </c>
      <c r="M12" s="132">
        <f>Table25234[[#This Row],[Jones Creek Target (bopd)]]-Table25234[[#This Row],[Jones Creek Prod (bopd)]]</f>
        <v>23113</v>
      </c>
      <c r="N12" s="132">
        <f>Table25234[[#This Row],[Egwa Target (bopd)]]-Table25234[[#This Row],[Egwa Prod (bopd)]]</f>
        <v>4090</v>
      </c>
      <c r="O12" s="134">
        <f>Table25234[[#This Row],[Odidi Target (bopd)]]-Table25234[[#This Row],[Odidi prod (bopd)]]</f>
        <v>1734</v>
      </c>
      <c r="P12" s="42"/>
      <c r="Q12" s="42"/>
    </row>
    <row r="13" spans="2:33" ht="21.6">
      <c r="B13" s="130">
        <v>44021</v>
      </c>
      <c r="C13" s="131">
        <v>9400</v>
      </c>
      <c r="D13" s="135">
        <v>23500</v>
      </c>
      <c r="E13" s="135">
        <v>4090</v>
      </c>
      <c r="F13" s="136">
        <v>14200</v>
      </c>
      <c r="G13" s="131">
        <v>0</v>
      </c>
      <c r="H13" s="137">
        <v>6462</v>
      </c>
      <c r="I13" s="132">
        <v>3405</v>
      </c>
      <c r="J13" s="138">
        <v>11542</v>
      </c>
      <c r="K13" s="275">
        <f>SUM(Table25234[[#This Row],[Batan Daily Prod (bopd)]:[Odidi prod (bopd)]])</f>
        <v>21409</v>
      </c>
      <c r="L13" s="131">
        <f>Table25234[[#This Row],[Batan Target (bopd)]]-Table25234[[#This Row],[Batan Daily Prod (bopd)]]</f>
        <v>9400</v>
      </c>
      <c r="M13" s="132">
        <f>Table25234[[#This Row],[Jones Creek Target (bopd)]]-Table25234[[#This Row],[Jones Creek Prod (bopd)]]</f>
        <v>17038</v>
      </c>
      <c r="N13" s="132">
        <f>Table25234[[#This Row],[Egwa Target (bopd)]]-Table25234[[#This Row],[Egwa Prod (bopd)]]</f>
        <v>685</v>
      </c>
      <c r="O13" s="134">
        <f>Table25234[[#This Row],[Odidi Target (bopd)]]-Table25234[[#This Row],[Odidi prod (bopd)]]</f>
        <v>2658</v>
      </c>
    </row>
    <row r="14" spans="2:33" ht="21.6">
      <c r="B14" s="130">
        <v>44022</v>
      </c>
      <c r="C14" s="131">
        <v>9400</v>
      </c>
      <c r="D14" s="135">
        <v>23500</v>
      </c>
      <c r="E14" s="135">
        <v>4090</v>
      </c>
      <c r="F14" s="136">
        <v>14200</v>
      </c>
      <c r="G14" s="131">
        <v>5002</v>
      </c>
      <c r="H14" s="137">
        <v>17507</v>
      </c>
      <c r="I14" s="132">
        <v>4119</v>
      </c>
      <c r="J14" s="138">
        <v>13308</v>
      </c>
      <c r="K14" s="275">
        <f>SUM(Table25234[[#This Row],[Batan Daily Prod (bopd)]:[Odidi prod (bopd)]])</f>
        <v>39936</v>
      </c>
      <c r="L14" s="131">
        <f>Table25234[[#This Row],[Batan Target (bopd)]]-Table25234[[#This Row],[Batan Daily Prod (bopd)]]</f>
        <v>4398</v>
      </c>
      <c r="M14" s="132">
        <f>Table25234[[#This Row],[Jones Creek Target (bopd)]]-Table25234[[#This Row],[Jones Creek Prod (bopd)]]</f>
        <v>5993</v>
      </c>
      <c r="N14" s="132">
        <f>Table25234[[#This Row],[Egwa Target (bopd)]]-Table25234[[#This Row],[Egwa Prod (bopd)]]</f>
        <v>-29</v>
      </c>
      <c r="O14" s="134">
        <f>Table25234[[#This Row],[Odidi Target (bopd)]]-Table25234[[#This Row],[Odidi prod (bopd)]]</f>
        <v>892</v>
      </c>
    </row>
    <row r="15" spans="2:33" ht="21.6">
      <c r="B15" s="130">
        <v>44023</v>
      </c>
      <c r="C15" s="131">
        <v>9400</v>
      </c>
      <c r="D15" s="135">
        <v>23500</v>
      </c>
      <c r="E15" s="135">
        <v>4090</v>
      </c>
      <c r="F15" s="136">
        <v>14200</v>
      </c>
      <c r="G15" s="131">
        <v>2912</v>
      </c>
      <c r="H15" s="137">
        <v>20891</v>
      </c>
      <c r="I15" s="132">
        <v>4123</v>
      </c>
      <c r="J15" s="138">
        <v>15509</v>
      </c>
      <c r="K15" s="275">
        <f>SUM(Table25234[[#This Row],[Batan Daily Prod (bopd)]:[Odidi prod (bopd)]])</f>
        <v>43435</v>
      </c>
      <c r="L15" s="131">
        <f>Table25234[[#This Row],[Batan Target (bopd)]]-Table25234[[#This Row],[Batan Daily Prod (bopd)]]</f>
        <v>6488</v>
      </c>
      <c r="M15" s="132">
        <f>Table25234[[#This Row],[Jones Creek Target (bopd)]]-Table25234[[#This Row],[Jones Creek Prod (bopd)]]</f>
        <v>2609</v>
      </c>
      <c r="N15" s="132">
        <f>Table25234[[#This Row],[Egwa Target (bopd)]]-Table25234[[#This Row],[Egwa Prod (bopd)]]</f>
        <v>-33</v>
      </c>
      <c r="O15" s="134">
        <f>Table25234[[#This Row],[Odidi Target (bopd)]]-Table25234[[#This Row],[Odidi prod (bopd)]]</f>
        <v>-1309</v>
      </c>
    </row>
    <row r="16" spans="2:33" ht="21.6">
      <c r="B16" s="130">
        <v>44024</v>
      </c>
      <c r="C16" s="131">
        <v>9400</v>
      </c>
      <c r="D16" s="135">
        <v>23500</v>
      </c>
      <c r="E16" s="135">
        <v>4090</v>
      </c>
      <c r="F16" s="136">
        <v>14200</v>
      </c>
      <c r="G16" s="131">
        <v>0</v>
      </c>
      <c r="H16" s="137">
        <v>22146</v>
      </c>
      <c r="I16" s="132">
        <v>4114</v>
      </c>
      <c r="J16" s="138">
        <v>14199</v>
      </c>
      <c r="K16" s="275">
        <f>SUM(Table25234[[#This Row],[Batan Daily Prod (bopd)]:[Odidi prod (bopd)]])</f>
        <v>40459</v>
      </c>
      <c r="L16" s="131">
        <f>Table25234[[#This Row],[Batan Target (bopd)]]-Table25234[[#This Row],[Batan Daily Prod (bopd)]]</f>
        <v>9400</v>
      </c>
      <c r="M16" s="132">
        <f>Table25234[[#This Row],[Jones Creek Target (bopd)]]-Table25234[[#This Row],[Jones Creek Prod (bopd)]]</f>
        <v>1354</v>
      </c>
      <c r="N16" s="132">
        <f>Table25234[[#This Row],[Egwa Target (bopd)]]-Table25234[[#This Row],[Egwa Prod (bopd)]]</f>
        <v>-24</v>
      </c>
      <c r="O16" s="134">
        <f>Table25234[[#This Row],[Odidi Target (bopd)]]-Table25234[[#This Row],[Odidi prod (bopd)]]</f>
        <v>1</v>
      </c>
    </row>
    <row r="17" spans="2:15" ht="21.6">
      <c r="B17" s="130">
        <v>44025</v>
      </c>
      <c r="C17" s="131">
        <v>9400</v>
      </c>
      <c r="D17" s="135">
        <v>23500</v>
      </c>
      <c r="E17" s="135">
        <v>4090</v>
      </c>
      <c r="F17" s="136">
        <v>14200</v>
      </c>
      <c r="G17" s="131">
        <v>0</v>
      </c>
      <c r="H17" s="137">
        <v>21596</v>
      </c>
      <c r="I17" s="132">
        <v>4124</v>
      </c>
      <c r="J17" s="138">
        <v>13979</v>
      </c>
      <c r="K17" s="275">
        <f>SUM(Table25234[[#This Row],[Batan Daily Prod (bopd)]:[Odidi prod (bopd)]])</f>
        <v>39699</v>
      </c>
      <c r="L17" s="131">
        <f>Table25234[[#This Row],[Batan Target (bopd)]]-Table25234[[#This Row],[Batan Daily Prod (bopd)]]</f>
        <v>9400</v>
      </c>
      <c r="M17" s="132">
        <f>Table25234[[#This Row],[Jones Creek Target (bopd)]]-Table25234[[#This Row],[Jones Creek Prod (bopd)]]</f>
        <v>1904</v>
      </c>
      <c r="N17" s="132">
        <f>Table25234[[#This Row],[Egwa Target (bopd)]]-Table25234[[#This Row],[Egwa Prod (bopd)]]</f>
        <v>-34</v>
      </c>
      <c r="O17" s="134">
        <f>Table25234[[#This Row],[Odidi Target (bopd)]]-Table25234[[#This Row],[Odidi prod (bopd)]]</f>
        <v>221</v>
      </c>
    </row>
    <row r="18" spans="2:15" ht="21.6">
      <c r="B18" s="130">
        <v>44026</v>
      </c>
      <c r="C18" s="131">
        <v>9400</v>
      </c>
      <c r="D18" s="135">
        <v>23500</v>
      </c>
      <c r="E18" s="135">
        <v>4090</v>
      </c>
      <c r="F18" s="136">
        <v>14200</v>
      </c>
      <c r="G18" s="131">
        <v>0</v>
      </c>
      <c r="H18" s="137">
        <v>21636</v>
      </c>
      <c r="I18" s="132">
        <v>4115</v>
      </c>
      <c r="J18" s="138">
        <v>14624</v>
      </c>
      <c r="K18" s="275">
        <f>SUM(Table25234[[#This Row],[Batan Daily Prod (bopd)]:[Odidi prod (bopd)]])</f>
        <v>40375</v>
      </c>
      <c r="L18" s="131">
        <f>Table25234[[#This Row],[Batan Target (bopd)]]-Table25234[[#This Row],[Batan Daily Prod (bopd)]]</f>
        <v>9400</v>
      </c>
      <c r="M18" s="132">
        <f>Table25234[[#This Row],[Jones Creek Target (bopd)]]-Table25234[[#This Row],[Jones Creek Prod (bopd)]]</f>
        <v>1864</v>
      </c>
      <c r="N18" s="132">
        <f>Table25234[[#This Row],[Egwa Target (bopd)]]-Table25234[[#This Row],[Egwa Prod (bopd)]]</f>
        <v>-25</v>
      </c>
      <c r="O18" s="134">
        <f>Table25234[[#This Row],[Odidi Target (bopd)]]-Table25234[[#This Row],[Odidi prod (bopd)]]</f>
        <v>-424</v>
      </c>
    </row>
    <row r="19" spans="2:15" ht="21.6">
      <c r="B19" s="130">
        <v>44027</v>
      </c>
      <c r="C19" s="131">
        <v>9400</v>
      </c>
      <c r="D19" s="135">
        <v>23500</v>
      </c>
      <c r="E19" s="135">
        <v>4090</v>
      </c>
      <c r="F19" s="136">
        <v>14200</v>
      </c>
      <c r="G19" s="140">
        <v>0</v>
      </c>
      <c r="H19" s="137">
        <v>21487</v>
      </c>
      <c r="I19" s="132">
        <v>4122</v>
      </c>
      <c r="J19" s="138">
        <v>12854</v>
      </c>
      <c r="K19" s="275">
        <f>SUM(Table25234[[#This Row],[Batan Daily Prod (bopd)]:[Odidi prod (bopd)]])</f>
        <v>38463</v>
      </c>
      <c r="L19" s="131">
        <f>Table25234[[#This Row],[Batan Target (bopd)]]-Table25234[[#This Row],[Batan Daily Prod (bopd)]]</f>
        <v>9400</v>
      </c>
      <c r="M19" s="132">
        <f>Table25234[[#This Row],[Jones Creek Target (bopd)]]-Table25234[[#This Row],[Jones Creek Prod (bopd)]]</f>
        <v>2013</v>
      </c>
      <c r="N19" s="132">
        <f>Table25234[[#This Row],[Egwa Target (bopd)]]-Table25234[[#This Row],[Egwa Prod (bopd)]]</f>
        <v>-32</v>
      </c>
      <c r="O19" s="134">
        <f>Table25234[[#This Row],[Odidi Target (bopd)]]-Table25234[[#This Row],[Odidi prod (bopd)]]</f>
        <v>1346</v>
      </c>
    </row>
    <row r="20" spans="2:15" ht="21.6">
      <c r="B20" s="130">
        <v>44028</v>
      </c>
      <c r="C20" s="131">
        <v>9400</v>
      </c>
      <c r="D20" s="135">
        <v>23500</v>
      </c>
      <c r="E20" s="135">
        <v>4090</v>
      </c>
      <c r="F20" s="136">
        <v>14200</v>
      </c>
      <c r="G20" s="131">
        <v>0</v>
      </c>
      <c r="H20" s="132">
        <v>21660</v>
      </c>
      <c r="I20" s="132">
        <v>1665</v>
      </c>
      <c r="J20" s="134">
        <v>13820</v>
      </c>
      <c r="K20" s="276">
        <f>SUM(Table25234[[#This Row],[Batan Daily Prod (bopd)]:[Odidi prod (bopd)]])</f>
        <v>37145</v>
      </c>
      <c r="L20" s="131">
        <f>Table25234[[#This Row],[Batan Target (bopd)]]-Table25234[[#This Row],[Batan Daily Prod (bopd)]]</f>
        <v>9400</v>
      </c>
      <c r="M20" s="132">
        <f>Table25234[[#This Row],[Jones Creek Target (bopd)]]-Table25234[[#This Row],[Jones Creek Prod (bopd)]]</f>
        <v>1840</v>
      </c>
      <c r="N20" s="132">
        <f>Table25234[[#This Row],[Egwa Target (bopd)]]-Table25234[[#This Row],[Egwa Prod (bopd)]]</f>
        <v>2425</v>
      </c>
      <c r="O20" s="134">
        <f>Table25234[[#This Row],[Odidi Target (bopd)]]-Table25234[[#This Row],[Odidi prod (bopd)]]</f>
        <v>380</v>
      </c>
    </row>
    <row r="21" spans="2:15" ht="21.6">
      <c r="B21" s="130">
        <v>44029</v>
      </c>
      <c r="C21" s="131">
        <v>9400</v>
      </c>
      <c r="D21" s="135">
        <v>23500</v>
      </c>
      <c r="E21" s="135">
        <v>4090</v>
      </c>
      <c r="F21" s="136">
        <v>14200</v>
      </c>
      <c r="G21" s="140">
        <v>2316</v>
      </c>
      <c r="H21" s="137">
        <v>11715</v>
      </c>
      <c r="I21" s="132">
        <v>858</v>
      </c>
      <c r="J21" s="138">
        <v>13518</v>
      </c>
      <c r="K21" s="275">
        <f>SUM(Table25234[[#This Row],[Batan Daily Prod (bopd)]:[Odidi prod (bopd)]])</f>
        <v>28407</v>
      </c>
      <c r="L21" s="131">
        <f>Table25234[[#This Row],[Batan Target (bopd)]]-Table25234[[#This Row],[Batan Daily Prod (bopd)]]</f>
        <v>7084</v>
      </c>
      <c r="M21" s="132">
        <f>Table25234[[#This Row],[Jones Creek Target (bopd)]]-Table25234[[#This Row],[Jones Creek Prod (bopd)]]</f>
        <v>11785</v>
      </c>
      <c r="N21" s="132">
        <f>Table25234[[#This Row],[Egwa Target (bopd)]]-Table25234[[#This Row],[Egwa Prod (bopd)]]</f>
        <v>3232</v>
      </c>
      <c r="O21" s="134">
        <f>Table25234[[#This Row],[Odidi Target (bopd)]]-Table25234[[#This Row],[Odidi prod (bopd)]]</f>
        <v>682</v>
      </c>
    </row>
    <row r="22" spans="2:15" ht="21.6">
      <c r="B22" s="130">
        <v>44030</v>
      </c>
      <c r="C22" s="131">
        <v>9400</v>
      </c>
      <c r="D22" s="135">
        <v>23500</v>
      </c>
      <c r="E22" s="135">
        <v>4090</v>
      </c>
      <c r="F22" s="136">
        <v>14200</v>
      </c>
      <c r="G22" s="141">
        <v>8140</v>
      </c>
      <c r="H22" s="137">
        <v>0</v>
      </c>
      <c r="I22" s="137">
        <v>842</v>
      </c>
      <c r="J22" s="138">
        <v>13951</v>
      </c>
      <c r="K22" s="275">
        <f>SUM(Table25234[[#This Row],[Batan Daily Prod (bopd)]:[Odidi prod (bopd)]])</f>
        <v>22933</v>
      </c>
      <c r="L22" s="131">
        <f>Table25234[[#This Row],[Batan Target (bopd)]]-Table25234[[#This Row],[Batan Daily Prod (bopd)]]</f>
        <v>1260</v>
      </c>
      <c r="M22" s="132">
        <f>Table25234[[#This Row],[Jones Creek Target (bopd)]]-Table25234[[#This Row],[Jones Creek Prod (bopd)]]</f>
        <v>23500</v>
      </c>
      <c r="N22" s="132">
        <f>Table25234[[#This Row],[Egwa Target (bopd)]]-Table25234[[#This Row],[Egwa Prod (bopd)]]</f>
        <v>3248</v>
      </c>
      <c r="O22" s="134">
        <f>Table25234[[#This Row],[Odidi Target (bopd)]]-Table25234[[#This Row],[Odidi prod (bopd)]]</f>
        <v>249</v>
      </c>
    </row>
    <row r="23" spans="2:15" ht="21.6">
      <c r="B23" s="130">
        <v>44031</v>
      </c>
      <c r="C23" s="131">
        <v>9400</v>
      </c>
      <c r="D23" s="135">
        <v>23500</v>
      </c>
      <c r="E23" s="135">
        <v>4090</v>
      </c>
      <c r="F23" s="136">
        <v>14200</v>
      </c>
      <c r="G23" s="141">
        <v>8049</v>
      </c>
      <c r="H23" s="137">
        <v>1135</v>
      </c>
      <c r="I23" s="137">
        <v>835</v>
      </c>
      <c r="J23" s="138">
        <v>14567</v>
      </c>
      <c r="K23" s="275">
        <f>SUM(Table25234[[#This Row],[Batan Daily Prod (bopd)]:[Odidi prod (bopd)]])</f>
        <v>24586</v>
      </c>
      <c r="L23" s="131">
        <f>Table25234[[#This Row],[Batan Target (bopd)]]-Table25234[[#This Row],[Batan Daily Prod (bopd)]]</f>
        <v>1351</v>
      </c>
      <c r="M23" s="132">
        <f>Table25234[[#This Row],[Jones Creek Target (bopd)]]-Table25234[[#This Row],[Jones Creek Prod (bopd)]]</f>
        <v>22365</v>
      </c>
      <c r="N23" s="132">
        <f>Table25234[[#This Row],[Egwa Target (bopd)]]-Table25234[[#This Row],[Egwa Prod (bopd)]]</f>
        <v>3255</v>
      </c>
      <c r="O23" s="134">
        <f>Table25234[[#This Row],[Odidi Target (bopd)]]-Table25234[[#This Row],[Odidi prod (bopd)]]</f>
        <v>-367</v>
      </c>
    </row>
    <row r="24" spans="2:15" ht="21.6">
      <c r="B24" s="130">
        <v>44032</v>
      </c>
      <c r="C24" s="131">
        <v>9400</v>
      </c>
      <c r="D24" s="135">
        <v>23500</v>
      </c>
      <c r="E24" s="135">
        <v>4090</v>
      </c>
      <c r="F24" s="136">
        <v>14200</v>
      </c>
      <c r="G24" s="141">
        <v>8427</v>
      </c>
      <c r="H24" s="132">
        <v>10934</v>
      </c>
      <c r="I24" s="137">
        <v>1517</v>
      </c>
      <c r="J24" s="138">
        <v>14429</v>
      </c>
      <c r="K24" s="275">
        <f>SUM(Table25234[[#This Row],[Batan Daily Prod (bopd)]:[Odidi prod (bopd)]])</f>
        <v>35307</v>
      </c>
      <c r="L24" s="131">
        <f>Table25234[[#This Row],[Batan Target (bopd)]]-Table25234[[#This Row],[Batan Daily Prod (bopd)]]</f>
        <v>973</v>
      </c>
      <c r="M24" s="132">
        <f>Table25234[[#This Row],[Jones Creek Target (bopd)]]-Table25234[[#This Row],[Jones Creek Prod (bopd)]]</f>
        <v>12566</v>
      </c>
      <c r="N24" s="132">
        <f>Table25234[[#This Row],[Egwa Target (bopd)]]-Table25234[[#This Row],[Egwa Prod (bopd)]]</f>
        <v>2573</v>
      </c>
      <c r="O24" s="134">
        <f>Table25234[[#This Row],[Odidi Target (bopd)]]-Table25234[[#This Row],[Odidi prod (bopd)]]</f>
        <v>-229</v>
      </c>
    </row>
    <row r="25" spans="2:15" ht="21.6">
      <c r="B25" s="130">
        <v>44033</v>
      </c>
      <c r="C25" s="131">
        <v>9400</v>
      </c>
      <c r="D25" s="135">
        <v>23500</v>
      </c>
      <c r="E25" s="135">
        <v>4090</v>
      </c>
      <c r="F25" s="136">
        <v>14200</v>
      </c>
      <c r="G25" s="141">
        <v>7924</v>
      </c>
      <c r="H25" s="137">
        <v>20716</v>
      </c>
      <c r="I25" s="137">
        <v>751</v>
      </c>
      <c r="J25" s="138">
        <v>14410</v>
      </c>
      <c r="K25" s="275">
        <f>SUM(Table25234[[#This Row],[Batan Daily Prod (bopd)]:[Odidi prod (bopd)]])</f>
        <v>43801</v>
      </c>
      <c r="L25" s="131">
        <f>Table25234[[#This Row],[Batan Target (bopd)]]-Table25234[[#This Row],[Batan Daily Prod (bopd)]]</f>
        <v>1476</v>
      </c>
      <c r="M25" s="132">
        <f>Table25234[[#This Row],[Jones Creek Target (bopd)]]-Table25234[[#This Row],[Jones Creek Prod (bopd)]]</f>
        <v>2784</v>
      </c>
      <c r="N25" s="132">
        <f>Table25234[[#This Row],[Egwa Target (bopd)]]-Table25234[[#This Row],[Egwa Prod (bopd)]]</f>
        <v>3339</v>
      </c>
      <c r="O25" s="134">
        <f>Table25234[[#This Row],[Odidi Target (bopd)]]-Table25234[[#This Row],[Odidi prod (bopd)]]</f>
        <v>-210</v>
      </c>
    </row>
    <row r="26" spans="2:15" ht="21.6">
      <c r="B26" s="130">
        <v>44034</v>
      </c>
      <c r="C26" s="131">
        <v>9400</v>
      </c>
      <c r="D26" s="135">
        <v>23500</v>
      </c>
      <c r="E26" s="135">
        <v>4090</v>
      </c>
      <c r="F26" s="136">
        <v>14200</v>
      </c>
      <c r="G26" s="131">
        <v>7408</v>
      </c>
      <c r="H26" s="137">
        <v>22914</v>
      </c>
      <c r="I26" s="132">
        <v>3132</v>
      </c>
      <c r="J26" s="134">
        <v>14829</v>
      </c>
      <c r="K26" s="276">
        <f>SUM(Table25234[[#This Row],[Batan Daily Prod (bopd)]:[Odidi prod (bopd)]])</f>
        <v>48283</v>
      </c>
      <c r="L26" s="131">
        <f>Table25234[[#This Row],[Batan Target (bopd)]]-Table25234[[#This Row],[Batan Daily Prod (bopd)]]</f>
        <v>1992</v>
      </c>
      <c r="M26" s="132">
        <f>Table25234[[#This Row],[Jones Creek Target (bopd)]]-Table25234[[#This Row],[Jones Creek Prod (bopd)]]</f>
        <v>586</v>
      </c>
      <c r="N26" s="132">
        <f>Table25234[[#This Row],[Egwa Target (bopd)]]-Table25234[[#This Row],[Egwa Prod (bopd)]]</f>
        <v>958</v>
      </c>
      <c r="O26" s="134">
        <f>Table25234[[#This Row],[Odidi Target (bopd)]]-Table25234[[#This Row],[Odidi prod (bopd)]]</f>
        <v>-629</v>
      </c>
    </row>
    <row r="27" spans="2:15" ht="21.6">
      <c r="B27" s="130">
        <v>44035</v>
      </c>
      <c r="C27" s="131">
        <v>9400</v>
      </c>
      <c r="D27" s="135">
        <v>23500</v>
      </c>
      <c r="E27" s="135">
        <v>4090</v>
      </c>
      <c r="F27" s="136">
        <v>14200</v>
      </c>
      <c r="G27" s="140">
        <v>7411</v>
      </c>
      <c r="H27" s="137">
        <v>21875</v>
      </c>
      <c r="I27" s="132">
        <v>3674</v>
      </c>
      <c r="J27" s="138">
        <v>15498</v>
      </c>
      <c r="K27" s="275">
        <f>SUM(Table25234[[#This Row],[Batan Daily Prod (bopd)]:[Odidi prod (bopd)]])</f>
        <v>48458</v>
      </c>
      <c r="L27" s="131">
        <f>Table25234[[#This Row],[Batan Target (bopd)]]-Table25234[[#This Row],[Batan Daily Prod (bopd)]]</f>
        <v>1989</v>
      </c>
      <c r="M27" s="132">
        <f>Table25234[[#This Row],[Jones Creek Target (bopd)]]-Table25234[[#This Row],[Jones Creek Prod (bopd)]]</f>
        <v>1625</v>
      </c>
      <c r="N27" s="132">
        <f>Table25234[[#This Row],[Egwa Target (bopd)]]-Table25234[[#This Row],[Egwa Prod (bopd)]]</f>
        <v>416</v>
      </c>
      <c r="O27" s="134">
        <f>Table25234[[#This Row],[Odidi Target (bopd)]]-Table25234[[#This Row],[Odidi prod (bopd)]]</f>
        <v>-1298</v>
      </c>
    </row>
    <row r="28" spans="2:15" ht="21.6">
      <c r="B28" s="130">
        <v>44036</v>
      </c>
      <c r="C28" s="131">
        <v>9400</v>
      </c>
      <c r="D28" s="135">
        <v>23500</v>
      </c>
      <c r="E28" s="135">
        <v>4090</v>
      </c>
      <c r="F28" s="136">
        <v>14200</v>
      </c>
      <c r="G28" s="140">
        <v>7387</v>
      </c>
      <c r="H28" s="137">
        <v>18579</v>
      </c>
      <c r="I28" s="132">
        <v>3030</v>
      </c>
      <c r="J28" s="138">
        <v>14082</v>
      </c>
      <c r="K28" s="275">
        <f>SUM(Table25234[[#This Row],[Batan Daily Prod (bopd)]:[Odidi prod (bopd)]])</f>
        <v>43078</v>
      </c>
      <c r="L28" s="131">
        <f>Table25234[[#This Row],[Batan Target (bopd)]]-Table25234[[#This Row],[Batan Daily Prod (bopd)]]</f>
        <v>2013</v>
      </c>
      <c r="M28" s="132">
        <f>Table25234[[#This Row],[Jones Creek Target (bopd)]]-Table25234[[#This Row],[Jones Creek Prod (bopd)]]</f>
        <v>4921</v>
      </c>
      <c r="N28" s="132">
        <f>Table25234[[#This Row],[Egwa Target (bopd)]]-Table25234[[#This Row],[Egwa Prod (bopd)]]</f>
        <v>1060</v>
      </c>
      <c r="O28" s="134">
        <f>Table25234[[#This Row],[Odidi Target (bopd)]]-Table25234[[#This Row],[Odidi prod (bopd)]]</f>
        <v>118</v>
      </c>
    </row>
    <row r="29" spans="2:15" ht="21.6">
      <c r="B29" s="130">
        <v>44037</v>
      </c>
      <c r="C29" s="131">
        <v>9400</v>
      </c>
      <c r="D29" s="135">
        <v>23500</v>
      </c>
      <c r="E29" s="135">
        <v>4090</v>
      </c>
      <c r="F29" s="136">
        <v>14200</v>
      </c>
      <c r="G29" s="131">
        <v>7416</v>
      </c>
      <c r="H29" s="137">
        <v>3780</v>
      </c>
      <c r="I29" s="132">
        <v>547</v>
      </c>
      <c r="J29" s="138">
        <v>452</v>
      </c>
      <c r="K29" s="275">
        <f>SUM(Table25234[[#This Row],[Batan Daily Prod (bopd)]:[Odidi prod (bopd)]])</f>
        <v>12195</v>
      </c>
      <c r="L29" s="131">
        <f>Table25234[[#This Row],[Batan Target (bopd)]]-Table25234[[#This Row],[Batan Daily Prod (bopd)]]</f>
        <v>1984</v>
      </c>
      <c r="M29" s="132">
        <f>Table25234[[#This Row],[Jones Creek Target (bopd)]]-Table25234[[#This Row],[Jones Creek Prod (bopd)]]</f>
        <v>19720</v>
      </c>
      <c r="N29" s="132">
        <f>Table25234[[#This Row],[Egwa Target (bopd)]]-Table25234[[#This Row],[Egwa Prod (bopd)]]</f>
        <v>3543</v>
      </c>
      <c r="O29" s="134">
        <f>Table25234[[#This Row],[Odidi Target (bopd)]]-Table25234[[#This Row],[Odidi prod (bopd)]]</f>
        <v>13748</v>
      </c>
    </row>
    <row r="30" spans="2:15" ht="21.6">
      <c r="B30" s="130">
        <v>44038</v>
      </c>
      <c r="C30" s="131">
        <v>9400</v>
      </c>
      <c r="D30" s="135">
        <v>23500</v>
      </c>
      <c r="E30" s="135">
        <v>4090</v>
      </c>
      <c r="F30" s="136">
        <v>14200</v>
      </c>
      <c r="G30" s="131">
        <v>6931</v>
      </c>
      <c r="H30" s="132">
        <v>0</v>
      </c>
      <c r="I30" s="132">
        <v>0</v>
      </c>
      <c r="J30" s="134">
        <v>0</v>
      </c>
      <c r="K30" s="276">
        <f>SUM(Table25234[[#This Row],[Batan Daily Prod (bopd)]:[Odidi prod (bopd)]])</f>
        <v>6931</v>
      </c>
      <c r="L30" s="131">
        <f>Table25234[[#This Row],[Batan Target (bopd)]]-Table25234[[#This Row],[Batan Daily Prod (bopd)]]</f>
        <v>2469</v>
      </c>
      <c r="M30" s="132">
        <f>Table25234[[#This Row],[Jones Creek Target (bopd)]]-Table25234[[#This Row],[Jones Creek Prod (bopd)]]</f>
        <v>23500</v>
      </c>
      <c r="N30" s="132">
        <f>Table25234[[#This Row],[Egwa Target (bopd)]]-Table25234[[#This Row],[Egwa Prod (bopd)]]</f>
        <v>4090</v>
      </c>
      <c r="O30" s="134">
        <f>Table25234[[#This Row],[Odidi Target (bopd)]]-Table25234[[#This Row],[Odidi prod (bopd)]]</f>
        <v>14200</v>
      </c>
    </row>
    <row r="31" spans="2:15" ht="21.6">
      <c r="B31" s="130">
        <v>44039</v>
      </c>
      <c r="C31" s="131">
        <v>9400</v>
      </c>
      <c r="D31" s="135">
        <v>23500</v>
      </c>
      <c r="E31" s="135">
        <v>4090</v>
      </c>
      <c r="F31" s="136">
        <v>14200</v>
      </c>
      <c r="G31" s="131">
        <v>5633</v>
      </c>
      <c r="H31" s="132">
        <v>16817</v>
      </c>
      <c r="I31" s="132">
        <v>3205</v>
      </c>
      <c r="J31" s="134">
        <v>0</v>
      </c>
      <c r="K31" s="276">
        <f>SUM(Table25234[[#This Row],[Batan Daily Prod (bopd)]:[Odidi prod (bopd)]])</f>
        <v>25655</v>
      </c>
      <c r="L31" s="131">
        <f>Table25234[[#This Row],[Batan Target (bopd)]]-Table25234[[#This Row],[Batan Daily Prod (bopd)]]</f>
        <v>3767</v>
      </c>
      <c r="M31" s="132">
        <f>Table25234[[#This Row],[Jones Creek Target (bopd)]]-Table25234[[#This Row],[Jones Creek Prod (bopd)]]</f>
        <v>6683</v>
      </c>
      <c r="N31" s="132">
        <f>Table25234[[#This Row],[Egwa Target (bopd)]]-Table25234[[#This Row],[Egwa Prod (bopd)]]</f>
        <v>885</v>
      </c>
      <c r="O31" s="134">
        <f>Table25234[[#This Row],[Odidi Target (bopd)]]-Table25234[[#This Row],[Odidi prod (bopd)]]</f>
        <v>14200</v>
      </c>
    </row>
    <row r="32" spans="2:15" ht="21.6">
      <c r="B32" s="130">
        <v>44040</v>
      </c>
      <c r="C32" s="131">
        <v>9400</v>
      </c>
      <c r="D32" s="135">
        <v>23500</v>
      </c>
      <c r="E32" s="135">
        <v>4090</v>
      </c>
      <c r="F32" s="136">
        <v>14200</v>
      </c>
      <c r="G32" s="131">
        <v>5593</v>
      </c>
      <c r="H32" s="132">
        <v>19677</v>
      </c>
      <c r="I32" s="132">
        <v>3809</v>
      </c>
      <c r="J32" s="134">
        <v>0</v>
      </c>
      <c r="K32" s="276">
        <f>SUM(Table25234[[#This Row],[Batan Daily Prod (bopd)]:[Odidi prod (bopd)]])</f>
        <v>29079</v>
      </c>
      <c r="L32" s="131">
        <f>Table25234[[#This Row],[Batan Target (bopd)]]-Table25234[[#This Row],[Batan Daily Prod (bopd)]]</f>
        <v>3807</v>
      </c>
      <c r="M32" s="132">
        <f>Table25234[[#This Row],[Jones Creek Target (bopd)]]-Table25234[[#This Row],[Jones Creek Prod (bopd)]]</f>
        <v>3823</v>
      </c>
      <c r="N32" s="132">
        <f>Table25234[[#This Row],[Egwa Target (bopd)]]-Table25234[[#This Row],[Egwa Prod (bopd)]]</f>
        <v>281</v>
      </c>
      <c r="O32" s="134">
        <f>Table25234[[#This Row],[Odidi Target (bopd)]]-Table25234[[#This Row],[Odidi prod (bopd)]]</f>
        <v>14200</v>
      </c>
    </row>
    <row r="33" spans="2:19" ht="21.6">
      <c r="B33" s="130">
        <v>44041</v>
      </c>
      <c r="C33" s="131">
        <v>9400</v>
      </c>
      <c r="D33" s="135">
        <v>23500</v>
      </c>
      <c r="E33" s="135">
        <v>4090</v>
      </c>
      <c r="F33" s="136">
        <v>14200</v>
      </c>
      <c r="G33" s="131">
        <v>4874</v>
      </c>
      <c r="H33" s="137">
        <v>20761</v>
      </c>
      <c r="I33" s="137">
        <v>3726</v>
      </c>
      <c r="J33" s="138">
        <v>11305</v>
      </c>
      <c r="K33" s="275">
        <f>SUM(Table25234[[#This Row],[Batan Daily Prod (bopd)]:[Odidi prod (bopd)]])</f>
        <v>40666</v>
      </c>
      <c r="L33" s="131">
        <f>Table25234[[#This Row],[Batan Target (bopd)]]-Table25234[[#This Row],[Batan Daily Prod (bopd)]]</f>
        <v>4526</v>
      </c>
      <c r="M33" s="132">
        <f>Table25234[[#This Row],[Jones Creek Target (bopd)]]-Table25234[[#This Row],[Jones Creek Prod (bopd)]]</f>
        <v>2739</v>
      </c>
      <c r="N33" s="132">
        <f>Table25234[[#This Row],[Egwa Target (bopd)]]-Table25234[[#This Row],[Egwa Prod (bopd)]]</f>
        <v>364</v>
      </c>
      <c r="O33" s="134">
        <f>Table25234[[#This Row],[Odidi Target (bopd)]]-Table25234[[#This Row],[Odidi prod (bopd)]]</f>
        <v>2895</v>
      </c>
    </row>
    <row r="34" spans="2:19" ht="21.6">
      <c r="B34" s="130">
        <v>44042</v>
      </c>
      <c r="C34" s="131">
        <v>9400</v>
      </c>
      <c r="D34" s="135">
        <v>23500</v>
      </c>
      <c r="E34" s="135">
        <v>4090</v>
      </c>
      <c r="F34" s="136">
        <v>14200</v>
      </c>
      <c r="G34" s="131">
        <v>4507</v>
      </c>
      <c r="H34" s="137">
        <v>20126</v>
      </c>
      <c r="I34" s="137">
        <v>3886</v>
      </c>
      <c r="J34" s="138">
        <v>13977</v>
      </c>
      <c r="K34" s="275">
        <f>SUM(Table25234[[#This Row],[Batan Daily Prod (bopd)]:[Odidi prod (bopd)]])</f>
        <v>42496</v>
      </c>
      <c r="L34" s="131">
        <f>Table25234[[#This Row],[Batan Target (bopd)]]-Table25234[[#This Row],[Batan Daily Prod (bopd)]]</f>
        <v>4893</v>
      </c>
      <c r="M34" s="132">
        <f>Table25234[[#This Row],[Jones Creek Target (bopd)]]-Table25234[[#This Row],[Jones Creek Prod (bopd)]]</f>
        <v>3374</v>
      </c>
      <c r="N34" s="132">
        <f>Table25234[[#This Row],[Egwa Target (bopd)]]-Table25234[[#This Row],[Egwa Prod (bopd)]]</f>
        <v>204</v>
      </c>
      <c r="O34" s="134">
        <f>Table25234[[#This Row],[Odidi Target (bopd)]]-Table25234[[#This Row],[Odidi prod (bopd)]]</f>
        <v>223</v>
      </c>
    </row>
    <row r="35" spans="2:19" ht="21.6">
      <c r="B35" s="130">
        <v>44043</v>
      </c>
      <c r="C35" s="131">
        <v>9400</v>
      </c>
      <c r="D35" s="135">
        <v>23500</v>
      </c>
      <c r="E35" s="135">
        <v>4090</v>
      </c>
      <c r="F35" s="136">
        <v>14200</v>
      </c>
      <c r="G35" s="140">
        <v>5026</v>
      </c>
      <c r="H35" s="137">
        <v>20285</v>
      </c>
      <c r="I35" s="137">
        <v>4112</v>
      </c>
      <c r="J35" s="138">
        <v>14461</v>
      </c>
      <c r="K35" s="275">
        <f>SUM(Table25234[[#This Row],[Batan Daily Prod (bopd)]:[Odidi prod (bopd)]])</f>
        <v>43884</v>
      </c>
      <c r="L35" s="131">
        <f>Table25234[[#This Row],[Batan Target (bopd)]]-Table25234[[#This Row],[Batan Daily Prod (bopd)]]</f>
        <v>4374</v>
      </c>
      <c r="M35" s="132">
        <f>Table25234[[#This Row],[Jones Creek Target (bopd)]]-Table25234[[#This Row],[Jones Creek Prod (bopd)]]</f>
        <v>3215</v>
      </c>
      <c r="N35" s="132">
        <f>Table25234[[#This Row],[Egwa Target (bopd)]]-Table25234[[#This Row],[Egwa Prod (bopd)]]</f>
        <v>-22</v>
      </c>
      <c r="O35" s="134">
        <f>Table25234[[#This Row],[Odidi Target (bopd)]]-Table25234[[#This Row],[Odidi prod (bopd)]]</f>
        <v>-261</v>
      </c>
    </row>
    <row r="36" spans="2:19" ht="21.6">
      <c r="B36" s="130">
        <v>44044</v>
      </c>
      <c r="C36" s="131">
        <v>9400</v>
      </c>
      <c r="D36" s="135">
        <v>23500</v>
      </c>
      <c r="E36" s="135">
        <v>4090</v>
      </c>
      <c r="F36" s="136">
        <v>14200</v>
      </c>
      <c r="G36" s="140">
        <v>5053</v>
      </c>
      <c r="H36" s="137">
        <v>20423</v>
      </c>
      <c r="I36" s="137">
        <v>4116</v>
      </c>
      <c r="J36" s="138">
        <v>14495</v>
      </c>
      <c r="K36" s="275">
        <f>SUM(Table25234[[#This Row],[Batan Daily Prod (bopd)]:[Odidi prod (bopd)]])</f>
        <v>44087</v>
      </c>
      <c r="L36" s="131">
        <f>Table25234[[#This Row],[Batan Target (bopd)]]-Table25234[[#This Row],[Batan Daily Prod (bopd)]]</f>
        <v>4347</v>
      </c>
      <c r="M36" s="132">
        <f>Table25234[[#This Row],[Jones Creek Target (bopd)]]-Table25234[[#This Row],[Jones Creek Prod (bopd)]]</f>
        <v>3077</v>
      </c>
      <c r="N36" s="132">
        <f>Table25234[[#This Row],[Egwa Target (bopd)]]-Table25234[[#This Row],[Egwa Prod (bopd)]]</f>
        <v>-26</v>
      </c>
      <c r="O36" s="134">
        <f>Table25234[[#This Row],[Odidi Target (bopd)]]-Table25234[[#This Row],[Odidi prod (bopd)]]</f>
        <v>-295</v>
      </c>
    </row>
    <row r="37" spans="2:19" ht="21.6">
      <c r="B37" s="130">
        <v>44045</v>
      </c>
      <c r="C37" s="131">
        <v>9400</v>
      </c>
      <c r="D37" s="135">
        <v>23500</v>
      </c>
      <c r="E37" s="135">
        <v>4090</v>
      </c>
      <c r="F37" s="136">
        <v>14200</v>
      </c>
      <c r="G37" s="140">
        <v>5063</v>
      </c>
      <c r="H37" s="137">
        <v>20186</v>
      </c>
      <c r="I37" s="137">
        <v>4117</v>
      </c>
      <c r="J37" s="138">
        <v>13860</v>
      </c>
      <c r="K37" s="275">
        <f>SUM(Table25234[[#This Row],[Batan Daily Prod (bopd)]:[Odidi prod (bopd)]])</f>
        <v>43226</v>
      </c>
      <c r="L37" s="131">
        <f>Table25234[[#This Row],[Batan Target (bopd)]]-Table25234[[#This Row],[Batan Daily Prod (bopd)]]</f>
        <v>4337</v>
      </c>
      <c r="M37" s="132">
        <f>Table25234[[#This Row],[Jones Creek Target (bopd)]]-Table25234[[#This Row],[Jones Creek Prod (bopd)]]</f>
        <v>3314</v>
      </c>
      <c r="N37" s="132">
        <f>Table25234[[#This Row],[Egwa Target (bopd)]]-Table25234[[#This Row],[Egwa Prod (bopd)]]</f>
        <v>-27</v>
      </c>
      <c r="O37" s="134">
        <f>Table25234[[#This Row],[Odidi Target (bopd)]]-Table25234[[#This Row],[Odidi prod (bopd)]]</f>
        <v>340</v>
      </c>
    </row>
    <row r="38" spans="2:19" ht="21.6">
      <c r="B38" s="130">
        <v>44046</v>
      </c>
      <c r="C38" s="131">
        <v>9400</v>
      </c>
      <c r="D38" s="135">
        <v>23500</v>
      </c>
      <c r="E38" s="135">
        <v>4090</v>
      </c>
      <c r="F38" s="136">
        <v>14200</v>
      </c>
      <c r="G38" s="131">
        <v>5071</v>
      </c>
      <c r="H38" s="137">
        <v>20549</v>
      </c>
      <c r="I38" s="132">
        <v>4122</v>
      </c>
      <c r="J38" s="134">
        <v>13609</v>
      </c>
      <c r="K38" s="276">
        <f>SUM(Table25234[[#This Row],[Batan Daily Prod (bopd)]:[Odidi prod (bopd)]])</f>
        <v>43351</v>
      </c>
      <c r="L38" s="131">
        <f>Table25234[[#This Row],[Batan Target (bopd)]]-Table25234[[#This Row],[Batan Daily Prod (bopd)]]</f>
        <v>4329</v>
      </c>
      <c r="M38" s="132">
        <f>Table25234[[#This Row],[Jones Creek Target (bopd)]]-Table25234[[#This Row],[Jones Creek Prod (bopd)]]</f>
        <v>2951</v>
      </c>
      <c r="N38" s="132">
        <f>Table25234[[#This Row],[Egwa Target (bopd)]]-Table25234[[#This Row],[Egwa Prod (bopd)]]</f>
        <v>-32</v>
      </c>
      <c r="O38" s="134">
        <f>Table25234[[#This Row],[Odidi Target (bopd)]]-Table25234[[#This Row],[Odidi prod (bopd)]]</f>
        <v>591</v>
      </c>
    </row>
    <row r="39" spans="2:19" ht="21.6">
      <c r="B39" s="130">
        <v>44047</v>
      </c>
      <c r="C39" s="131">
        <v>9400</v>
      </c>
      <c r="D39" s="135">
        <v>23500</v>
      </c>
      <c r="E39" s="135">
        <v>4090</v>
      </c>
      <c r="F39" s="136">
        <v>14200</v>
      </c>
      <c r="G39" s="131"/>
      <c r="H39" s="137"/>
      <c r="I39" s="132"/>
      <c r="J39" s="138"/>
      <c r="K39" s="275">
        <f>SUM(Table25234[[#This Row],[Batan Daily Prod (bopd)]:[Odidi prod (bopd)]])</f>
        <v>0</v>
      </c>
      <c r="L39" s="131"/>
      <c r="M39" s="132"/>
      <c r="N39" s="132"/>
      <c r="O39" s="134"/>
    </row>
    <row r="40" spans="2:19" ht="21.6">
      <c r="B40" s="130">
        <v>44048</v>
      </c>
      <c r="C40" s="131">
        <v>9400</v>
      </c>
      <c r="D40" s="135">
        <v>23500</v>
      </c>
      <c r="E40" s="135">
        <v>4090</v>
      </c>
      <c r="F40" s="136">
        <v>14200</v>
      </c>
      <c r="G40" s="131"/>
      <c r="H40" s="132"/>
      <c r="I40" s="132"/>
      <c r="J40" s="134"/>
      <c r="K40" s="276">
        <f>SUM(Table25234[[#This Row],[Batan Daily Prod (bopd)]:[Odidi prod (bopd)]])</f>
        <v>0</v>
      </c>
      <c r="L40" s="131"/>
      <c r="M40" s="132"/>
      <c r="N40" s="132"/>
      <c r="O40" s="134"/>
    </row>
    <row r="41" spans="2:19" ht="21.6">
      <c r="B41" s="130"/>
      <c r="C41" s="131"/>
      <c r="D41" s="135"/>
      <c r="E41" s="135"/>
      <c r="F41" s="136"/>
      <c r="G41" s="131"/>
      <c r="H41" s="132"/>
      <c r="I41" s="132"/>
      <c r="J41" s="134"/>
      <c r="K41" s="276"/>
      <c r="L41" s="131"/>
      <c r="M41" s="132"/>
      <c r="N41" s="132"/>
      <c r="O41" s="134"/>
    </row>
    <row r="42" spans="2:19" ht="21.6">
      <c r="B42" s="130"/>
      <c r="C42" s="131"/>
      <c r="D42" s="135"/>
      <c r="E42" s="135"/>
      <c r="F42" s="136"/>
      <c r="G42" s="131"/>
      <c r="H42" s="132"/>
      <c r="I42" s="132"/>
      <c r="J42" s="134"/>
      <c r="K42" s="276"/>
      <c r="L42" s="131"/>
      <c r="M42" s="132"/>
      <c r="N42" s="132"/>
      <c r="O42" s="134"/>
      <c r="Q42" s="42"/>
    </row>
    <row r="43" spans="2:19" ht="21.6">
      <c r="B43" s="130"/>
      <c r="C43" s="131"/>
      <c r="D43" s="135"/>
      <c r="E43" s="135"/>
      <c r="F43" s="136"/>
      <c r="G43" s="131"/>
      <c r="H43" s="137"/>
      <c r="I43" s="132"/>
      <c r="J43" s="138"/>
      <c r="K43" s="275"/>
      <c r="L43" s="131"/>
      <c r="M43" s="132"/>
      <c r="N43" s="132"/>
      <c r="O43" s="134"/>
    </row>
    <row r="44" spans="2:19" ht="21.6">
      <c r="B44" s="130"/>
      <c r="C44" s="131"/>
      <c r="D44" s="135"/>
      <c r="E44" s="135"/>
      <c r="F44" s="136"/>
      <c r="G44" s="131"/>
      <c r="H44" s="132"/>
      <c r="I44" s="132"/>
      <c r="J44" s="134"/>
      <c r="K44" s="276"/>
      <c r="L44" s="131"/>
      <c r="M44" s="132"/>
      <c r="N44" s="132"/>
      <c r="O44" s="134"/>
    </row>
    <row r="46" spans="2:19" ht="15.6" thickBot="1"/>
    <row r="47" spans="2:19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29"/>
      <c r="N47" s="1230"/>
      <c r="R47" s="23"/>
      <c r="S47" s="117"/>
    </row>
    <row r="48" spans="2:19" ht="43.15">
      <c r="C48" s="247" t="s">
        <v>22</v>
      </c>
      <c r="D48" s="248" t="s">
        <v>23</v>
      </c>
      <c r="E48" s="1242" t="s">
        <v>24</v>
      </c>
      <c r="F48" s="1243"/>
      <c r="G48" s="1243"/>
      <c r="H48" s="1243"/>
      <c r="I48" s="1243"/>
      <c r="J48" s="1243"/>
      <c r="K48" s="1243"/>
      <c r="L48" s="1243"/>
      <c r="M48" s="1243"/>
      <c r="N48" s="1244"/>
      <c r="R48" s="118"/>
      <c r="S48" s="119"/>
    </row>
    <row r="49" spans="3:19" ht="43.5" customHeight="1">
      <c r="C49" s="249" t="s">
        <v>16</v>
      </c>
      <c r="D49" s="250">
        <f>L38/1000</f>
        <v>4.3289999999999997</v>
      </c>
      <c r="E49" s="1245" t="s">
        <v>183</v>
      </c>
      <c r="F49" s="1246"/>
      <c r="G49" s="1246"/>
      <c r="H49" s="1246"/>
      <c r="I49" s="1246"/>
      <c r="J49" s="1246"/>
      <c r="K49" s="1246"/>
      <c r="L49" s="1246"/>
      <c r="M49" s="1246"/>
      <c r="N49" s="1247"/>
      <c r="R49" s="118"/>
      <c r="S49" s="119"/>
    </row>
    <row r="50" spans="3:19" ht="44.45" customHeight="1">
      <c r="C50" s="249" t="s">
        <v>17</v>
      </c>
      <c r="D50" s="250">
        <f>M38/1000</f>
        <v>2.9510000000000001</v>
      </c>
      <c r="E50" s="1248" t="s">
        <v>184</v>
      </c>
      <c r="F50" s="1249"/>
      <c r="G50" s="1249"/>
      <c r="H50" s="1249"/>
      <c r="I50" s="1249"/>
      <c r="J50" s="1249"/>
      <c r="K50" s="1249"/>
      <c r="L50" s="1249"/>
      <c r="M50" s="1249"/>
      <c r="N50" s="1250"/>
      <c r="R50" s="118"/>
      <c r="S50" s="119"/>
    </row>
    <row r="51" spans="3:19" ht="21.6">
      <c r="C51" s="249" t="s">
        <v>18</v>
      </c>
      <c r="D51" s="277">
        <f>N38/1000</f>
        <v>-3.2000000000000001E-2</v>
      </c>
      <c r="E51" s="1248" t="s">
        <v>185</v>
      </c>
      <c r="F51" s="1249"/>
      <c r="G51" s="1249"/>
      <c r="H51" s="1249"/>
      <c r="I51" s="1249"/>
      <c r="J51" s="1249"/>
      <c r="K51" s="1249"/>
      <c r="L51" s="1249"/>
      <c r="M51" s="1249"/>
      <c r="N51" s="1250"/>
      <c r="R51" s="118"/>
      <c r="S51" s="119"/>
    </row>
    <row r="52" spans="3:19" ht="32.25" customHeight="1">
      <c r="C52" s="249" t="s">
        <v>19</v>
      </c>
      <c r="D52" s="250">
        <f>O38/1000</f>
        <v>0.59099999999999997</v>
      </c>
      <c r="E52" s="1245" t="s">
        <v>186</v>
      </c>
      <c r="F52" s="1249"/>
      <c r="G52" s="1249"/>
      <c r="H52" s="1249"/>
      <c r="I52" s="1249"/>
      <c r="J52" s="1249"/>
      <c r="K52" s="1249"/>
      <c r="L52" s="1249"/>
      <c r="M52" s="1249"/>
      <c r="N52" s="1250"/>
    </row>
    <row r="53" spans="3:19" ht="22.15" thickBot="1">
      <c r="C53" s="251" t="s">
        <v>187</v>
      </c>
      <c r="D53" s="252">
        <f>SUM(D49:D52)</f>
        <v>7.8389999999999995</v>
      </c>
      <c r="E53" s="1254"/>
      <c r="F53" s="1254"/>
      <c r="G53" s="1254"/>
      <c r="H53" s="1254"/>
      <c r="I53" s="1254"/>
      <c r="J53" s="1254"/>
      <c r="K53" s="1254"/>
      <c r="L53" s="1254"/>
      <c r="M53" s="1254"/>
      <c r="N53" s="1255"/>
    </row>
    <row r="56" spans="3:19" ht="21" thickBot="1">
      <c r="E56" s="30"/>
    </row>
    <row r="57" spans="3:19" ht="35.450000000000003" customHeight="1" thickBot="1">
      <c r="D57" s="172">
        <f>4.33-3.88</f>
        <v>0.45000000000000018</v>
      </c>
      <c r="E57" s="271"/>
      <c r="H57" s="31"/>
    </row>
    <row r="58" spans="3:19" ht="24.75" customHeight="1">
      <c r="F58" s="30"/>
      <c r="G58" s="30"/>
      <c r="H58" s="36"/>
    </row>
    <row r="59" spans="3:19" ht="20.25" customHeight="1"/>
    <row r="60" spans="3:19">
      <c r="D60" s="147"/>
    </row>
    <row r="63" spans="3:19" ht="20.45">
      <c r="D63" s="30"/>
    </row>
  </sheetData>
  <mergeCells count="8">
    <mergeCell ref="E53:N53"/>
    <mergeCell ref="E52:N52"/>
    <mergeCell ref="T3:X3"/>
    <mergeCell ref="C47:N47"/>
    <mergeCell ref="E48:N48"/>
    <mergeCell ref="E49:N49"/>
    <mergeCell ref="E50:N50"/>
    <mergeCell ref="E51:N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D997"/>
  <sheetViews>
    <sheetView topLeftCell="A58" workbookViewId="0">
      <pane xSplit="1" topLeftCell="B1" activePane="topRight" state="frozen"/>
      <selection pane="topRight" activeCell="H67" sqref="H67"/>
    </sheetView>
  </sheetViews>
  <sheetFormatPr defaultColWidth="11.21875" defaultRowHeight="15" customHeight="1"/>
  <cols>
    <col min="1" max="1" width="6.33203125" customWidth="1"/>
    <col min="2" max="2" width="6.5546875" customWidth="1"/>
    <col min="3" max="3" width="8.5546875" customWidth="1"/>
    <col min="4" max="4" width="10.109375" customWidth="1"/>
    <col min="5" max="5" width="9.5546875" customWidth="1"/>
    <col min="6" max="6" width="9.21875" customWidth="1"/>
    <col min="7" max="7" width="10.77734375" customWidth="1"/>
    <col min="8" max="10" width="9.21875" customWidth="1"/>
    <col min="11" max="11" width="8.6640625" customWidth="1"/>
    <col min="12" max="12" width="25.21875" style="236" customWidth="1"/>
    <col min="13" max="13" width="3" customWidth="1"/>
    <col min="14" max="14" width="13.77734375" customWidth="1"/>
    <col min="15" max="15" width="7.109375" customWidth="1"/>
    <col min="16" max="16" width="5.77734375" customWidth="1"/>
    <col min="17" max="30" width="8.5546875" customWidth="1"/>
  </cols>
  <sheetData>
    <row r="1" spans="2:19">
      <c r="E1" s="1"/>
      <c r="F1" s="1"/>
      <c r="G1" s="1"/>
      <c r="H1" s="1"/>
      <c r="I1" s="1"/>
      <c r="J1" s="1"/>
      <c r="K1" s="1"/>
    </row>
    <row r="2" spans="2:19" ht="21">
      <c r="D2" s="1226" t="s">
        <v>173</v>
      </c>
      <c r="E2" s="1382"/>
      <c r="F2" s="1382"/>
      <c r="G2" s="1382"/>
      <c r="H2" s="1382"/>
      <c r="I2" s="1382"/>
      <c r="J2" s="1382"/>
      <c r="K2" s="1382"/>
      <c r="L2" s="1382"/>
    </row>
    <row r="3" spans="2:19" ht="18" customHeight="1" thickBot="1">
      <c r="E3" s="1"/>
      <c r="F3" s="1"/>
      <c r="G3" s="1"/>
      <c r="H3" s="1"/>
      <c r="I3" s="1"/>
      <c r="J3" s="1"/>
      <c r="K3" s="1"/>
    </row>
    <row r="4" spans="2:19" ht="24" customHeight="1" thickBot="1">
      <c r="D4" s="1252" t="s">
        <v>174</v>
      </c>
      <c r="E4" s="1383"/>
      <c r="F4" s="1383"/>
      <c r="G4" s="1383"/>
      <c r="H4" s="1383"/>
      <c r="I4" s="1383"/>
      <c r="J4" s="1383"/>
      <c r="K4" s="1383"/>
      <c r="L4" s="1384"/>
    </row>
    <row r="5" spans="2:19" ht="27" thickBot="1">
      <c r="B5" s="178"/>
      <c r="C5" s="179" t="s">
        <v>156</v>
      </c>
      <c r="D5" s="179" t="s">
        <v>31</v>
      </c>
      <c r="E5" s="180" t="s">
        <v>32</v>
      </c>
      <c r="F5" s="180" t="s">
        <v>33</v>
      </c>
      <c r="G5" s="180" t="s">
        <v>34</v>
      </c>
      <c r="H5" s="180" t="s">
        <v>35</v>
      </c>
      <c r="I5" s="181" t="s">
        <v>37</v>
      </c>
      <c r="J5" s="182" t="s">
        <v>38</v>
      </c>
      <c r="K5" s="182" t="s">
        <v>39</v>
      </c>
      <c r="L5" s="183" t="s">
        <v>40</v>
      </c>
    </row>
    <row r="6" spans="2:19" ht="15.6">
      <c r="B6" s="184"/>
      <c r="C6" s="282">
        <v>1</v>
      </c>
      <c r="D6" s="282" t="s">
        <v>41</v>
      </c>
      <c r="E6" s="283" t="s">
        <v>42</v>
      </c>
      <c r="F6" s="284">
        <v>28</v>
      </c>
      <c r="G6" s="278">
        <v>2051.0158273588454</v>
      </c>
      <c r="H6" s="278">
        <v>661.18986254295532</v>
      </c>
      <c r="I6" s="285">
        <v>67.762810324365503</v>
      </c>
      <c r="J6" s="278">
        <v>521</v>
      </c>
      <c r="K6" s="278">
        <v>493</v>
      </c>
      <c r="L6" s="280" t="s">
        <v>63</v>
      </c>
      <c r="P6" s="421"/>
      <c r="S6" s="950"/>
    </row>
    <row r="7" spans="2:19" s="264" customFormat="1" ht="15.6">
      <c r="B7" s="262"/>
      <c r="C7" s="222">
        <v>2</v>
      </c>
      <c r="D7" s="222" t="s">
        <v>43</v>
      </c>
      <c r="E7" s="219" t="s">
        <v>44</v>
      </c>
      <c r="F7" s="220">
        <v>28</v>
      </c>
      <c r="G7" s="221">
        <v>1231.9335982362411</v>
      </c>
      <c r="H7" s="221">
        <v>574.37714776632299</v>
      </c>
      <c r="I7" s="281">
        <v>53.375965345156708</v>
      </c>
      <c r="J7" s="221">
        <v>606</v>
      </c>
      <c r="K7" s="221">
        <v>145</v>
      </c>
      <c r="L7" s="280" t="s">
        <v>63</v>
      </c>
      <c r="M7" s="439"/>
      <c r="N7" s="439"/>
      <c r="O7" s="439"/>
      <c r="P7" s="421"/>
      <c r="Q7" s="439"/>
      <c r="R7" s="439"/>
      <c r="S7" s="291"/>
    </row>
    <row r="8" spans="2:19" ht="15.6">
      <c r="B8" s="184"/>
      <c r="C8" s="222">
        <v>3</v>
      </c>
      <c r="D8" s="222" t="s">
        <v>45</v>
      </c>
      <c r="E8" s="219" t="s">
        <v>44</v>
      </c>
      <c r="F8" s="220">
        <v>32</v>
      </c>
      <c r="G8" s="221">
        <v>2223.5427159729697</v>
      </c>
      <c r="H8" s="221">
        <v>1036.705326460481</v>
      </c>
      <c r="I8" s="281">
        <v>53.375965345156715</v>
      </c>
      <c r="J8" s="221">
        <v>336</v>
      </c>
      <c r="K8" s="221">
        <v>247</v>
      </c>
      <c r="L8" s="280" t="s">
        <v>63</v>
      </c>
      <c r="P8" s="421"/>
      <c r="S8" s="950"/>
    </row>
    <row r="9" spans="2:19" ht="15.6">
      <c r="B9" s="184"/>
      <c r="C9" s="191">
        <v>4</v>
      </c>
      <c r="D9" s="191" t="s">
        <v>46</v>
      </c>
      <c r="E9" s="192" t="s">
        <v>47</v>
      </c>
      <c r="F9" s="193">
        <v>40</v>
      </c>
      <c r="G9" s="194">
        <v>1782.6197918132709</v>
      </c>
      <c r="H9" s="194">
        <v>1119.4802405498281</v>
      </c>
      <c r="I9" s="195">
        <v>37.20027985266006</v>
      </c>
      <c r="J9" s="194">
        <v>310</v>
      </c>
      <c r="K9" s="194">
        <v>131</v>
      </c>
      <c r="L9" s="196"/>
      <c r="P9" s="421"/>
      <c r="S9" s="950"/>
    </row>
    <row r="10" spans="2:19" ht="15.6">
      <c r="B10" s="184"/>
      <c r="C10" s="191">
        <v>5</v>
      </c>
      <c r="D10" s="191" t="s">
        <v>48</v>
      </c>
      <c r="E10" s="192" t="s">
        <v>47</v>
      </c>
      <c r="F10" s="193" t="s">
        <v>49</v>
      </c>
      <c r="G10" s="194">
        <v>1816.7772945869699</v>
      </c>
      <c r="H10" s="194">
        <v>1106.3573883161512</v>
      </c>
      <c r="I10" s="195">
        <v>39.103301675306724</v>
      </c>
      <c r="J10" s="194">
        <v>311</v>
      </c>
      <c r="K10" s="194">
        <v>145</v>
      </c>
      <c r="L10" s="196"/>
      <c r="P10" s="421"/>
      <c r="S10" s="950"/>
    </row>
    <row r="11" spans="2:19" ht="15.6">
      <c r="B11" s="184"/>
      <c r="C11" s="191">
        <v>6</v>
      </c>
      <c r="D11" s="191" t="s">
        <v>50</v>
      </c>
      <c r="E11" s="192" t="s">
        <v>47</v>
      </c>
      <c r="F11" s="193" t="s">
        <v>51</v>
      </c>
      <c r="G11" s="197">
        <v>1468.6721560255978</v>
      </c>
      <c r="H11" s="194">
        <v>447.18642611683845</v>
      </c>
      <c r="I11" s="195">
        <v>69.551650837653355</v>
      </c>
      <c r="J11" s="194">
        <v>761</v>
      </c>
      <c r="K11" s="194">
        <v>174</v>
      </c>
      <c r="L11" s="196"/>
      <c r="P11" s="421"/>
      <c r="S11" s="950"/>
    </row>
    <row r="12" spans="2:19" ht="15.6">
      <c r="B12" s="184"/>
      <c r="C12" s="191">
        <v>7</v>
      </c>
      <c r="D12" s="191" t="s">
        <v>52</v>
      </c>
      <c r="E12" s="192" t="s">
        <v>47</v>
      </c>
      <c r="F12" s="193">
        <v>40</v>
      </c>
      <c r="G12" s="194">
        <v>1616.7991807010462</v>
      </c>
      <c r="H12" s="194">
        <v>769.20103092783506</v>
      </c>
      <c r="I12" s="195">
        <v>52.424454433833368</v>
      </c>
      <c r="J12" s="193">
        <v>448</v>
      </c>
      <c r="K12" s="193">
        <v>160</v>
      </c>
      <c r="L12" s="196"/>
      <c r="P12" s="421"/>
      <c r="S12" s="950"/>
    </row>
    <row r="13" spans="2:19" ht="15.6">
      <c r="B13" s="184"/>
      <c r="C13" s="263">
        <v>8</v>
      </c>
      <c r="D13" s="263" t="s">
        <v>53</v>
      </c>
      <c r="E13" s="254" t="s">
        <v>47</v>
      </c>
      <c r="F13" s="255" t="s">
        <v>51</v>
      </c>
      <c r="G13" s="197">
        <v>1459.7871867746981</v>
      </c>
      <c r="H13" s="197">
        <v>694.50171821305844</v>
      </c>
      <c r="I13" s="293">
        <v>52.424454433833368</v>
      </c>
      <c r="J13" s="255">
        <v>447</v>
      </c>
      <c r="K13" s="255">
        <v>348</v>
      </c>
      <c r="L13" s="294"/>
      <c r="P13" s="421"/>
      <c r="S13" s="950"/>
    </row>
    <row r="14" spans="2:19" ht="15.6">
      <c r="B14" s="184"/>
      <c r="C14" s="222">
        <v>9</v>
      </c>
      <c r="D14" s="222" t="s">
        <v>54</v>
      </c>
      <c r="E14" s="219" t="s">
        <v>47</v>
      </c>
      <c r="F14" s="220" t="s">
        <v>55</v>
      </c>
      <c r="G14" s="221">
        <v>1641.6851861515806</v>
      </c>
      <c r="H14" s="221">
        <v>921.62800687285221</v>
      </c>
      <c r="I14" s="281">
        <v>43.860856231923371</v>
      </c>
      <c r="J14" s="221">
        <v>495</v>
      </c>
      <c r="K14" s="221">
        <v>363</v>
      </c>
      <c r="L14" s="280" t="s">
        <v>63</v>
      </c>
      <c r="P14" s="421"/>
      <c r="S14" s="950"/>
    </row>
    <row r="15" spans="2:19" ht="15.6">
      <c r="B15" s="184"/>
      <c r="C15" s="263">
        <v>10</v>
      </c>
      <c r="D15" s="263" t="s">
        <v>56</v>
      </c>
      <c r="E15" s="254" t="s">
        <v>47</v>
      </c>
      <c r="F15" s="255">
        <v>44</v>
      </c>
      <c r="G15" s="197">
        <v>3810.7235282665083</v>
      </c>
      <c r="H15" s="197">
        <v>1812.9725085910654</v>
      </c>
      <c r="I15" s="293">
        <v>52.424454433833368</v>
      </c>
      <c r="J15" s="255">
        <v>281</v>
      </c>
      <c r="K15" s="255">
        <v>348</v>
      </c>
      <c r="L15" s="256"/>
      <c r="P15" s="421"/>
      <c r="S15" s="950"/>
    </row>
    <row r="16" spans="2:19" ht="16.149999999999999" thickBot="1">
      <c r="B16" s="184"/>
      <c r="C16" s="198">
        <v>11</v>
      </c>
      <c r="D16" s="198" t="s">
        <v>57</v>
      </c>
      <c r="E16" s="199" t="s">
        <v>47</v>
      </c>
      <c r="F16" s="200" t="s">
        <v>55</v>
      </c>
      <c r="G16" s="201">
        <v>1796.4435341122739</v>
      </c>
      <c r="H16" s="201">
        <v>256.40034364261169</v>
      </c>
      <c r="I16" s="202">
        <v>85.727336330150024</v>
      </c>
      <c r="J16" s="201">
        <v>350</v>
      </c>
      <c r="K16" s="201">
        <v>261</v>
      </c>
      <c r="L16" s="203"/>
      <c r="P16" s="421"/>
      <c r="S16" s="950"/>
    </row>
    <row r="17" spans="2:12" ht="15.6" thickBot="1">
      <c r="D17" s="204"/>
      <c r="E17" s="205"/>
      <c r="F17" s="205"/>
      <c r="G17" s="206">
        <f>SUM(G6:G16)</f>
        <v>20900</v>
      </c>
      <c r="H17" s="206">
        <f>SUM(H6:H16)</f>
        <v>9400</v>
      </c>
      <c r="I17" s="207"/>
      <c r="J17" s="207"/>
      <c r="K17" s="207"/>
    </row>
    <row r="18" spans="2:12" ht="29.45" customHeight="1" thickBot="1">
      <c r="E18" s="1253" t="s">
        <v>168</v>
      </c>
      <c r="F18" s="1382"/>
      <c r="G18" s="1"/>
      <c r="H18" s="208">
        <f>ROUND((H17*1),-2)</f>
        <v>9400</v>
      </c>
      <c r="I18" s="1"/>
      <c r="J18" s="1"/>
      <c r="K18" s="1"/>
    </row>
    <row r="19" spans="2:12">
      <c r="E19" s="1"/>
      <c r="F19" s="1"/>
      <c r="G19" s="1"/>
      <c r="H19" s="1"/>
      <c r="I19" s="1"/>
      <c r="J19" s="1"/>
      <c r="K19" s="1"/>
    </row>
    <row r="20" spans="2:12" ht="15.6" thickBot="1">
      <c r="E20" s="1"/>
      <c r="F20" s="1"/>
      <c r="G20" s="1"/>
      <c r="H20" s="1"/>
      <c r="I20" s="1"/>
      <c r="J20" s="1"/>
      <c r="K20" s="1"/>
    </row>
    <row r="21" spans="2:12" ht="28.5" customHeight="1" thickBot="1">
      <c r="D21" s="1252" t="s">
        <v>175</v>
      </c>
      <c r="E21" s="1383"/>
      <c r="F21" s="1383"/>
      <c r="G21" s="1383"/>
      <c r="H21" s="1383"/>
      <c r="I21" s="1383"/>
      <c r="J21" s="1383"/>
      <c r="K21" s="1383"/>
      <c r="L21" s="1384"/>
    </row>
    <row r="22" spans="2:12" ht="27" thickBot="1">
      <c r="B22" s="178"/>
      <c r="C22" s="179" t="s">
        <v>156</v>
      </c>
      <c r="D22" s="179" t="s">
        <v>31</v>
      </c>
      <c r="E22" s="180" t="s">
        <v>32</v>
      </c>
      <c r="F22" s="180" t="s">
        <v>33</v>
      </c>
      <c r="G22" s="180" t="s">
        <v>34</v>
      </c>
      <c r="H22" s="180" t="s">
        <v>35</v>
      </c>
      <c r="I22" s="180" t="s">
        <v>37</v>
      </c>
      <c r="J22" s="182" t="s">
        <v>38</v>
      </c>
      <c r="K22" s="182" t="s">
        <v>39</v>
      </c>
      <c r="L22" s="183" t="s">
        <v>40</v>
      </c>
    </row>
    <row r="23" spans="2:12">
      <c r="B23" s="209"/>
      <c r="C23" s="210">
        <v>1</v>
      </c>
      <c r="D23" s="210" t="s">
        <v>59</v>
      </c>
      <c r="E23" s="192" t="s">
        <v>60</v>
      </c>
      <c r="F23" s="188">
        <v>56</v>
      </c>
      <c r="G23" s="188">
        <v>949</v>
      </c>
      <c r="H23" s="188">
        <v>930</v>
      </c>
      <c r="I23" s="211">
        <v>3.8</v>
      </c>
      <c r="J23" s="188">
        <v>2018</v>
      </c>
      <c r="K23" s="188">
        <v>145</v>
      </c>
      <c r="L23" s="212"/>
    </row>
    <row r="24" spans="2:12">
      <c r="B24" s="209"/>
      <c r="C24" s="210">
        <v>2</v>
      </c>
      <c r="D24" s="210" t="s">
        <v>61</v>
      </c>
      <c r="E24" s="192" t="s">
        <v>62</v>
      </c>
      <c r="F24" s="188">
        <v>28</v>
      </c>
      <c r="G24" s="188">
        <v>872</v>
      </c>
      <c r="H24" s="188">
        <v>436</v>
      </c>
      <c r="I24" s="211">
        <v>50</v>
      </c>
      <c r="J24" s="188">
        <v>782</v>
      </c>
      <c r="K24" s="188">
        <v>380</v>
      </c>
      <c r="L24" s="212"/>
    </row>
    <row r="25" spans="2:12">
      <c r="B25" s="209"/>
      <c r="C25" s="222">
        <v>3</v>
      </c>
      <c r="D25" s="222" t="s">
        <v>64</v>
      </c>
      <c r="E25" s="219" t="s">
        <v>65</v>
      </c>
      <c r="F25" s="278">
        <v>32</v>
      </c>
      <c r="G25" s="278">
        <v>2618</v>
      </c>
      <c r="H25" s="278">
        <v>1571</v>
      </c>
      <c r="I25" s="286">
        <v>40.799999999999997</v>
      </c>
      <c r="J25" s="278">
        <v>430</v>
      </c>
      <c r="K25" s="278">
        <v>435</v>
      </c>
      <c r="L25" s="287" t="s">
        <v>63</v>
      </c>
    </row>
    <row r="26" spans="2:12">
      <c r="B26" s="209"/>
      <c r="C26" s="210">
        <v>4</v>
      </c>
      <c r="D26" s="210" t="s">
        <v>69</v>
      </c>
      <c r="E26" s="192" t="s">
        <v>70</v>
      </c>
      <c r="F26" s="188">
        <v>24</v>
      </c>
      <c r="G26" s="188">
        <v>946</v>
      </c>
      <c r="H26" s="188">
        <v>311</v>
      </c>
      <c r="I26" s="211">
        <v>67.2</v>
      </c>
      <c r="J26" s="188">
        <v>2411</v>
      </c>
      <c r="K26" s="188">
        <v>800</v>
      </c>
      <c r="L26" s="212"/>
    </row>
    <row r="27" spans="2:12">
      <c r="B27" s="209"/>
      <c r="C27" s="210">
        <v>5</v>
      </c>
      <c r="D27" s="210" t="s">
        <v>71</v>
      </c>
      <c r="E27" s="192" t="s">
        <v>72</v>
      </c>
      <c r="F27" s="188">
        <v>28</v>
      </c>
      <c r="G27" s="188">
        <v>843</v>
      </c>
      <c r="H27" s="188">
        <v>280</v>
      </c>
      <c r="I27" s="211">
        <v>66.8</v>
      </c>
      <c r="J27" s="188">
        <v>3000</v>
      </c>
      <c r="K27" s="188">
        <v>920</v>
      </c>
      <c r="L27" s="212"/>
    </row>
    <row r="28" spans="2:12">
      <c r="B28" s="209"/>
      <c r="C28" s="210">
        <v>6</v>
      </c>
      <c r="D28" s="210" t="s">
        <v>73</v>
      </c>
      <c r="E28" s="192" t="s">
        <v>72</v>
      </c>
      <c r="F28" s="188">
        <v>36</v>
      </c>
      <c r="G28" s="188">
        <v>1079</v>
      </c>
      <c r="H28" s="188">
        <v>723</v>
      </c>
      <c r="I28" s="211">
        <v>33</v>
      </c>
      <c r="J28" s="188">
        <v>3206</v>
      </c>
      <c r="K28" s="188">
        <v>551</v>
      </c>
      <c r="L28" s="212"/>
    </row>
    <row r="29" spans="2:12">
      <c r="B29" s="209"/>
      <c r="C29" s="210">
        <v>7</v>
      </c>
      <c r="D29" s="210" t="s">
        <v>74</v>
      </c>
      <c r="E29" s="192" t="s">
        <v>75</v>
      </c>
      <c r="F29" s="188">
        <v>36</v>
      </c>
      <c r="G29" s="188">
        <v>3138</v>
      </c>
      <c r="H29" s="188">
        <v>1246</v>
      </c>
      <c r="I29" s="211">
        <v>60.3</v>
      </c>
      <c r="J29" s="188">
        <v>1306</v>
      </c>
      <c r="K29" s="188">
        <v>800</v>
      </c>
      <c r="L29" s="212"/>
    </row>
    <row r="30" spans="2:12">
      <c r="B30" s="209"/>
      <c r="C30" s="210">
        <v>8</v>
      </c>
      <c r="D30" s="210" t="s">
        <v>76</v>
      </c>
      <c r="E30" s="192" t="s">
        <v>77</v>
      </c>
      <c r="F30" s="188">
        <v>20</v>
      </c>
      <c r="G30" s="188">
        <v>704</v>
      </c>
      <c r="H30" s="188">
        <v>305</v>
      </c>
      <c r="I30" s="211">
        <v>56.7</v>
      </c>
      <c r="J30" s="188">
        <v>264</v>
      </c>
      <c r="K30" s="188">
        <v>203</v>
      </c>
      <c r="L30" s="212"/>
    </row>
    <row r="31" spans="2:12">
      <c r="B31" s="209"/>
      <c r="C31" s="210">
        <v>9</v>
      </c>
      <c r="D31" s="210" t="s">
        <v>78</v>
      </c>
      <c r="E31" s="192" t="s">
        <v>79</v>
      </c>
      <c r="F31" s="188">
        <v>48</v>
      </c>
      <c r="G31" s="188">
        <v>1027</v>
      </c>
      <c r="H31" s="188">
        <v>1024</v>
      </c>
      <c r="I31" s="211">
        <v>0.3</v>
      </c>
      <c r="J31" s="188">
        <v>553</v>
      </c>
      <c r="K31" s="188">
        <v>232</v>
      </c>
      <c r="L31" s="212"/>
    </row>
    <row r="32" spans="2:12">
      <c r="B32" s="209"/>
      <c r="C32" s="263">
        <v>10</v>
      </c>
      <c r="D32" s="263" t="s">
        <v>80</v>
      </c>
      <c r="E32" s="254" t="s">
        <v>81</v>
      </c>
      <c r="F32" s="295">
        <v>32</v>
      </c>
      <c r="G32" s="295">
        <v>1609</v>
      </c>
      <c r="H32" s="295">
        <v>592</v>
      </c>
      <c r="I32" s="296">
        <v>63.2</v>
      </c>
      <c r="J32" s="295">
        <v>1849</v>
      </c>
      <c r="K32" s="295">
        <v>609</v>
      </c>
      <c r="L32" s="290"/>
    </row>
    <row r="33" spans="1:30">
      <c r="B33" s="209"/>
      <c r="C33" s="210">
        <v>11</v>
      </c>
      <c r="D33" s="210" t="s">
        <v>82</v>
      </c>
      <c r="E33" s="192" t="s">
        <v>65</v>
      </c>
      <c r="F33" s="188">
        <v>24</v>
      </c>
      <c r="G33" s="188">
        <v>1004</v>
      </c>
      <c r="H33" s="188">
        <v>1003</v>
      </c>
      <c r="I33" s="211">
        <v>0.1</v>
      </c>
      <c r="J33" s="188">
        <v>587</v>
      </c>
      <c r="K33" s="188">
        <v>580</v>
      </c>
      <c r="L33" s="212"/>
    </row>
    <row r="34" spans="1:30">
      <c r="B34" s="209"/>
      <c r="C34" s="210">
        <v>12</v>
      </c>
      <c r="D34" s="210" t="s">
        <v>83</v>
      </c>
      <c r="E34" s="192" t="s">
        <v>84</v>
      </c>
      <c r="F34" s="188">
        <v>48</v>
      </c>
      <c r="G34" s="188">
        <v>3214</v>
      </c>
      <c r="H34" s="188">
        <v>1125</v>
      </c>
      <c r="I34" s="211">
        <v>65</v>
      </c>
      <c r="J34" s="188">
        <v>4131</v>
      </c>
      <c r="K34" s="188">
        <v>1218</v>
      </c>
      <c r="L34" s="212"/>
    </row>
    <row r="35" spans="1:30">
      <c r="B35" s="209"/>
      <c r="C35" s="210">
        <v>13</v>
      </c>
      <c r="D35" s="210" t="s">
        <v>85</v>
      </c>
      <c r="E35" s="192" t="s">
        <v>72</v>
      </c>
      <c r="F35" s="188">
        <v>32</v>
      </c>
      <c r="G35" s="188">
        <v>1401</v>
      </c>
      <c r="H35" s="188">
        <v>881</v>
      </c>
      <c r="I35" s="211">
        <v>37.200000000000003</v>
      </c>
      <c r="J35" s="188">
        <v>1058</v>
      </c>
      <c r="K35" s="188">
        <v>551</v>
      </c>
      <c r="L35" s="212"/>
    </row>
    <row r="36" spans="1:30">
      <c r="B36" s="209"/>
      <c r="C36" s="210">
        <v>14</v>
      </c>
      <c r="D36" s="210" t="s">
        <v>86</v>
      </c>
      <c r="E36" s="192" t="s">
        <v>87</v>
      </c>
      <c r="F36" s="188">
        <v>28</v>
      </c>
      <c r="G36" s="188">
        <v>885</v>
      </c>
      <c r="H36" s="188">
        <v>350</v>
      </c>
      <c r="I36" s="211">
        <v>60.5</v>
      </c>
      <c r="J36" s="188">
        <v>5513</v>
      </c>
      <c r="K36" s="188">
        <v>1740</v>
      </c>
      <c r="L36" s="212"/>
    </row>
    <row r="37" spans="1:30">
      <c r="B37" s="209"/>
      <c r="C37" s="210">
        <v>15</v>
      </c>
      <c r="D37" s="210" t="s">
        <v>88</v>
      </c>
      <c r="E37" s="192" t="s">
        <v>89</v>
      </c>
      <c r="F37" s="188">
        <v>28</v>
      </c>
      <c r="G37" s="188">
        <v>1151</v>
      </c>
      <c r="H37" s="188">
        <v>483</v>
      </c>
      <c r="I37" s="211">
        <v>58</v>
      </c>
      <c r="J37" s="188">
        <v>2051</v>
      </c>
      <c r="K37" s="188">
        <v>551</v>
      </c>
      <c r="L37" s="212"/>
    </row>
    <row r="38" spans="1:30">
      <c r="B38" s="209"/>
      <c r="C38" s="210">
        <v>16</v>
      </c>
      <c r="D38" s="210" t="s">
        <v>90</v>
      </c>
      <c r="E38" s="192" t="s">
        <v>84</v>
      </c>
      <c r="F38" s="188">
        <v>48</v>
      </c>
      <c r="G38" s="188">
        <v>537</v>
      </c>
      <c r="H38" s="188">
        <v>498</v>
      </c>
      <c r="I38" s="211">
        <v>7.3</v>
      </c>
      <c r="J38" s="188">
        <v>6498</v>
      </c>
      <c r="K38" s="188">
        <v>550</v>
      </c>
      <c r="L38" s="212"/>
    </row>
    <row r="39" spans="1:30">
      <c r="B39" s="209"/>
      <c r="C39" s="210">
        <v>17</v>
      </c>
      <c r="D39" s="210" t="s">
        <v>91</v>
      </c>
      <c r="E39" s="192" t="s">
        <v>89</v>
      </c>
      <c r="F39" s="188">
        <v>36</v>
      </c>
      <c r="G39" s="188">
        <v>488</v>
      </c>
      <c r="H39" s="188">
        <v>487</v>
      </c>
      <c r="I39" s="211">
        <v>0.1</v>
      </c>
      <c r="J39" s="188">
        <v>1297</v>
      </c>
      <c r="K39" s="188">
        <v>200</v>
      </c>
      <c r="L39" s="212"/>
    </row>
    <row r="40" spans="1:30">
      <c r="B40" s="209"/>
      <c r="C40" s="210">
        <v>18</v>
      </c>
      <c r="D40" s="210" t="s">
        <v>92</v>
      </c>
      <c r="E40" s="192" t="s">
        <v>93</v>
      </c>
      <c r="F40" s="188">
        <v>24</v>
      </c>
      <c r="G40" s="188">
        <v>639</v>
      </c>
      <c r="H40" s="188">
        <v>268</v>
      </c>
      <c r="I40" s="211">
        <v>58</v>
      </c>
      <c r="J40" s="188">
        <v>373</v>
      </c>
      <c r="K40" s="188">
        <v>232</v>
      </c>
      <c r="L40" s="212"/>
    </row>
    <row r="41" spans="1:30">
      <c r="B41" s="209"/>
      <c r="C41" s="222">
        <v>19</v>
      </c>
      <c r="D41" s="222" t="s">
        <v>94</v>
      </c>
      <c r="E41" s="219" t="s">
        <v>67</v>
      </c>
      <c r="F41" s="278">
        <v>24</v>
      </c>
      <c r="G41" s="278">
        <v>1571</v>
      </c>
      <c r="H41" s="278">
        <v>914</v>
      </c>
      <c r="I41" s="286">
        <v>41.9</v>
      </c>
      <c r="J41" s="278">
        <v>258</v>
      </c>
      <c r="K41" s="278">
        <v>464</v>
      </c>
      <c r="L41" s="287" t="s">
        <v>63</v>
      </c>
      <c r="N41" s="292"/>
    </row>
    <row r="42" spans="1:30">
      <c r="B42" s="209"/>
      <c r="C42" s="210">
        <v>20</v>
      </c>
      <c r="D42" s="210" t="s">
        <v>95</v>
      </c>
      <c r="E42" s="192" t="s">
        <v>65</v>
      </c>
      <c r="F42" s="188">
        <v>20</v>
      </c>
      <c r="G42" s="188">
        <v>566</v>
      </c>
      <c r="H42" s="188">
        <v>251</v>
      </c>
      <c r="I42" s="211">
        <v>55.7</v>
      </c>
      <c r="J42" s="188">
        <v>415</v>
      </c>
      <c r="K42" s="188">
        <v>377</v>
      </c>
      <c r="L42" s="212"/>
    </row>
    <row r="43" spans="1:30" ht="15.6" thickBot="1">
      <c r="B43" s="209"/>
      <c r="C43" s="289">
        <v>21</v>
      </c>
      <c r="D43" s="289" t="s">
        <v>96</v>
      </c>
      <c r="E43" s="258" t="s">
        <v>67</v>
      </c>
      <c r="F43" s="278">
        <v>32</v>
      </c>
      <c r="G43" s="278">
        <v>2082</v>
      </c>
      <c r="H43" s="278">
        <v>937</v>
      </c>
      <c r="I43" s="286">
        <v>55</v>
      </c>
      <c r="J43" s="278">
        <v>450</v>
      </c>
      <c r="K43" s="278">
        <v>406</v>
      </c>
      <c r="L43" s="287" t="s">
        <v>63</v>
      </c>
    </row>
    <row r="44" spans="1:30" ht="15.6" thickBot="1">
      <c r="D44" s="204"/>
      <c r="E44" s="205"/>
      <c r="F44" s="205"/>
      <c r="G44" s="206">
        <f>SUM(G23:G43)</f>
        <v>27323</v>
      </c>
      <c r="H44" s="206">
        <f>SUM(H23:H43)</f>
        <v>14615</v>
      </c>
      <c r="I44" s="207"/>
      <c r="J44" s="207"/>
      <c r="K44" s="214"/>
    </row>
    <row r="45" spans="1:30" ht="15.6" thickBot="1">
      <c r="E45" s="1251" t="s">
        <v>162</v>
      </c>
      <c r="F45" s="1382"/>
      <c r="G45" s="1"/>
      <c r="H45" s="208">
        <f>ROUND((H44*0.97),-2)</f>
        <v>14200</v>
      </c>
      <c r="I45" s="1"/>
      <c r="J45" s="1"/>
      <c r="K45" s="1"/>
    </row>
    <row r="46" spans="1:30" ht="20.25" customHeight="1" thickBot="1">
      <c r="E46" s="1"/>
      <c r="F46" s="1"/>
      <c r="G46" s="1"/>
      <c r="H46" s="1"/>
      <c r="I46" s="1"/>
      <c r="J46" s="1"/>
      <c r="K46" s="1"/>
    </row>
    <row r="47" spans="1:30" ht="30" customHeight="1" thickBot="1">
      <c r="A47" s="23"/>
      <c r="B47" s="23"/>
      <c r="C47" s="23"/>
      <c r="D47" s="1252" t="s">
        <v>178</v>
      </c>
      <c r="E47" s="1383"/>
      <c r="F47" s="1383"/>
      <c r="G47" s="1383"/>
      <c r="H47" s="1383"/>
      <c r="I47" s="1383"/>
      <c r="J47" s="1383"/>
      <c r="K47" s="1383"/>
      <c r="L47" s="138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spans="1:30" ht="27" thickBot="1">
      <c r="B48" s="178"/>
      <c r="C48" s="179" t="s">
        <v>156</v>
      </c>
      <c r="D48" s="179" t="s">
        <v>31</v>
      </c>
      <c r="E48" s="180" t="s">
        <v>32</v>
      </c>
      <c r="F48" s="180" t="s">
        <v>33</v>
      </c>
      <c r="G48" s="180" t="s">
        <v>34</v>
      </c>
      <c r="H48" s="180" t="s">
        <v>35</v>
      </c>
      <c r="I48" s="180" t="s">
        <v>37</v>
      </c>
      <c r="J48" s="182" t="s">
        <v>38</v>
      </c>
      <c r="K48" s="182" t="s">
        <v>39</v>
      </c>
      <c r="L48" s="183" t="s">
        <v>40</v>
      </c>
    </row>
    <row r="49" spans="2:14">
      <c r="B49" s="209"/>
      <c r="C49" s="222">
        <v>1</v>
      </c>
      <c r="D49" s="288" t="s">
        <v>98</v>
      </c>
      <c r="E49" s="283" t="s">
        <v>99</v>
      </c>
      <c r="F49" s="284">
        <v>36</v>
      </c>
      <c r="G49" s="284">
        <v>1833</v>
      </c>
      <c r="H49" s="284">
        <v>1173</v>
      </c>
      <c r="I49" s="278">
        <v>36</v>
      </c>
      <c r="J49" s="284">
        <v>330</v>
      </c>
      <c r="K49" s="284">
        <v>330</v>
      </c>
      <c r="L49" s="287" t="s">
        <v>63</v>
      </c>
    </row>
    <row r="50" spans="2:14" ht="15" customHeight="1">
      <c r="B50" s="209"/>
      <c r="C50" s="210">
        <v>2</v>
      </c>
      <c r="D50" s="216" t="s">
        <v>100</v>
      </c>
      <c r="E50" s="192" t="s">
        <v>101</v>
      </c>
      <c r="F50" s="193">
        <v>36</v>
      </c>
      <c r="G50" s="193">
        <v>1000</v>
      </c>
      <c r="H50" s="193">
        <v>1000</v>
      </c>
      <c r="I50" s="194">
        <v>0</v>
      </c>
      <c r="J50" s="193">
        <v>307</v>
      </c>
      <c r="K50" s="193">
        <v>150</v>
      </c>
      <c r="L50" s="196"/>
      <c r="M50" s="217"/>
    </row>
    <row r="51" spans="2:14">
      <c r="B51" s="209"/>
      <c r="C51" s="210">
        <v>3</v>
      </c>
      <c r="D51" s="216" t="s">
        <v>104</v>
      </c>
      <c r="E51" s="192" t="s">
        <v>105</v>
      </c>
      <c r="F51" s="193">
        <v>24</v>
      </c>
      <c r="G51" s="193">
        <v>806</v>
      </c>
      <c r="H51" s="193">
        <v>403</v>
      </c>
      <c r="I51" s="194">
        <v>50</v>
      </c>
      <c r="J51" s="193">
        <v>366</v>
      </c>
      <c r="K51" s="193">
        <v>230</v>
      </c>
      <c r="L51" s="196"/>
    </row>
    <row r="52" spans="2:14">
      <c r="B52" s="209"/>
      <c r="C52" s="263">
        <v>4</v>
      </c>
      <c r="D52" s="253" t="s">
        <v>106</v>
      </c>
      <c r="E52" s="254" t="s">
        <v>103</v>
      </c>
      <c r="F52" s="255">
        <v>28</v>
      </c>
      <c r="G52" s="255">
        <v>1343</v>
      </c>
      <c r="H52" s="255">
        <v>1021</v>
      </c>
      <c r="I52" s="197">
        <v>24</v>
      </c>
      <c r="J52" s="255">
        <v>833</v>
      </c>
      <c r="K52" s="255">
        <v>340</v>
      </c>
      <c r="L52" s="290"/>
    </row>
    <row r="53" spans="2:14" ht="26.45">
      <c r="B53" s="209"/>
      <c r="C53" s="210">
        <v>5</v>
      </c>
      <c r="D53" s="253" t="s">
        <v>107</v>
      </c>
      <c r="E53" s="254" t="s">
        <v>103</v>
      </c>
      <c r="F53" s="255">
        <v>28</v>
      </c>
      <c r="G53" s="197">
        <v>745.48</v>
      </c>
      <c r="H53" s="197">
        <v>342.92079999999999</v>
      </c>
      <c r="I53" s="197">
        <v>54</v>
      </c>
      <c r="J53" s="255">
        <v>600</v>
      </c>
      <c r="K53" s="255">
        <v>145</v>
      </c>
      <c r="L53" s="256" t="s">
        <v>179</v>
      </c>
    </row>
    <row r="54" spans="2:14">
      <c r="B54" s="209"/>
      <c r="C54" s="210">
        <v>6</v>
      </c>
      <c r="D54" s="216" t="s">
        <v>109</v>
      </c>
      <c r="E54" s="192" t="s">
        <v>110</v>
      </c>
      <c r="F54" s="193">
        <v>32</v>
      </c>
      <c r="G54" s="193">
        <v>1364</v>
      </c>
      <c r="H54" s="193">
        <v>682</v>
      </c>
      <c r="I54" s="194">
        <v>50</v>
      </c>
      <c r="J54" s="193">
        <v>305</v>
      </c>
      <c r="K54" s="193">
        <v>270</v>
      </c>
      <c r="L54" s="196"/>
    </row>
    <row r="55" spans="2:14">
      <c r="B55" s="209"/>
      <c r="C55" s="210">
        <v>7</v>
      </c>
      <c r="D55" s="216" t="s">
        <v>111</v>
      </c>
      <c r="E55" s="192" t="s">
        <v>99</v>
      </c>
      <c r="F55" s="193">
        <v>36</v>
      </c>
      <c r="G55" s="193">
        <v>2467</v>
      </c>
      <c r="H55" s="193">
        <v>1135</v>
      </c>
      <c r="I55" s="194">
        <v>54</v>
      </c>
      <c r="J55" s="193">
        <v>324</v>
      </c>
      <c r="K55" s="193">
        <v>400</v>
      </c>
      <c r="L55" s="196"/>
    </row>
    <row r="56" spans="2:14">
      <c r="B56" s="209"/>
      <c r="C56" s="210">
        <v>8</v>
      </c>
      <c r="D56" s="216" t="s">
        <v>112</v>
      </c>
      <c r="E56" s="192" t="s">
        <v>103</v>
      </c>
      <c r="F56" s="193">
        <v>56</v>
      </c>
      <c r="G56" s="193">
        <v>5950</v>
      </c>
      <c r="H56" s="193">
        <v>5950</v>
      </c>
      <c r="I56" s="194">
        <v>0</v>
      </c>
      <c r="J56" s="193">
        <v>473</v>
      </c>
      <c r="K56" s="193">
        <v>600</v>
      </c>
      <c r="L56" s="196"/>
    </row>
    <row r="57" spans="2:14">
      <c r="B57" s="209"/>
      <c r="C57" s="210">
        <v>9</v>
      </c>
      <c r="D57" s="253" t="s">
        <v>113</v>
      </c>
      <c r="E57" s="254" t="s">
        <v>103</v>
      </c>
      <c r="F57" s="255" t="s">
        <v>20</v>
      </c>
      <c r="G57" s="255">
        <v>2181</v>
      </c>
      <c r="H57" s="197">
        <f>((100-I57)/100)*G57</f>
        <v>1999.1045999999999</v>
      </c>
      <c r="I57" s="197">
        <v>8.34</v>
      </c>
      <c r="J57" s="255">
        <v>380</v>
      </c>
      <c r="K57" s="255">
        <v>440</v>
      </c>
      <c r="L57" s="256" t="s">
        <v>180</v>
      </c>
    </row>
    <row r="58" spans="2:14">
      <c r="B58" s="209"/>
      <c r="C58" s="210">
        <v>10</v>
      </c>
      <c r="D58" s="216" t="s">
        <v>114</v>
      </c>
      <c r="E58" s="192" t="s">
        <v>99</v>
      </c>
      <c r="F58" s="193">
        <v>40</v>
      </c>
      <c r="G58" s="193">
        <v>707</v>
      </c>
      <c r="H58" s="193">
        <v>481</v>
      </c>
      <c r="I58" s="194">
        <v>32</v>
      </c>
      <c r="J58" s="193">
        <v>381</v>
      </c>
      <c r="K58" s="193">
        <v>400</v>
      </c>
      <c r="L58" s="196"/>
    </row>
    <row r="59" spans="2:14">
      <c r="B59" s="209"/>
      <c r="C59" s="210">
        <v>11</v>
      </c>
      <c r="D59" s="216" t="s">
        <v>115</v>
      </c>
      <c r="E59" s="192" t="s">
        <v>105</v>
      </c>
      <c r="F59" s="193">
        <v>20</v>
      </c>
      <c r="G59" s="193">
        <v>2240</v>
      </c>
      <c r="H59" s="193">
        <v>1411</v>
      </c>
      <c r="I59" s="194">
        <v>37</v>
      </c>
      <c r="J59" s="193">
        <v>443</v>
      </c>
      <c r="K59" s="193">
        <v>320</v>
      </c>
      <c r="L59" s="196"/>
    </row>
    <row r="60" spans="2:14">
      <c r="B60" s="209"/>
      <c r="C60" s="263">
        <v>12</v>
      </c>
      <c r="D60" s="253" t="s">
        <v>116</v>
      </c>
      <c r="E60" s="254" t="s">
        <v>117</v>
      </c>
      <c r="F60" s="255">
        <v>28</v>
      </c>
      <c r="G60" s="255">
        <v>641</v>
      </c>
      <c r="H60" s="255">
        <v>314</v>
      </c>
      <c r="I60" s="197">
        <v>51</v>
      </c>
      <c r="J60" s="255">
        <v>805</v>
      </c>
      <c r="K60" s="255">
        <v>190</v>
      </c>
      <c r="L60" s="290"/>
    </row>
    <row r="61" spans="2:14">
      <c r="B61" s="209"/>
      <c r="C61" s="222">
        <v>13</v>
      </c>
      <c r="D61" s="218" t="s">
        <v>118</v>
      </c>
      <c r="E61" s="219" t="s">
        <v>99</v>
      </c>
      <c r="F61" s="220">
        <v>24</v>
      </c>
      <c r="G61" s="220">
        <v>931</v>
      </c>
      <c r="H61" s="220">
        <v>484</v>
      </c>
      <c r="I61" s="221">
        <v>48</v>
      </c>
      <c r="J61" s="220">
        <v>380</v>
      </c>
      <c r="K61" s="220">
        <v>310</v>
      </c>
      <c r="L61" s="287" t="s">
        <v>63</v>
      </c>
    </row>
    <row r="62" spans="2:14">
      <c r="B62" s="209"/>
      <c r="C62" s="210">
        <v>14</v>
      </c>
      <c r="D62" s="216" t="s">
        <v>119</v>
      </c>
      <c r="E62" s="192" t="s">
        <v>103</v>
      </c>
      <c r="F62" s="193">
        <v>28</v>
      </c>
      <c r="G62" s="193">
        <v>688</v>
      </c>
      <c r="H62" s="193">
        <v>344</v>
      </c>
      <c r="I62" s="194">
        <v>50</v>
      </c>
      <c r="J62" s="193">
        <v>455</v>
      </c>
      <c r="K62" s="193">
        <v>200</v>
      </c>
      <c r="L62" s="196"/>
    </row>
    <row r="63" spans="2:14">
      <c r="B63" s="209"/>
      <c r="C63" s="210">
        <v>15</v>
      </c>
      <c r="D63" s="216" t="s">
        <v>120</v>
      </c>
      <c r="E63" s="192" t="s">
        <v>101</v>
      </c>
      <c r="F63" s="193">
        <v>20</v>
      </c>
      <c r="G63" s="193">
        <v>596</v>
      </c>
      <c r="H63" s="193">
        <v>298</v>
      </c>
      <c r="I63" s="194">
        <v>50</v>
      </c>
      <c r="J63" s="193">
        <v>295</v>
      </c>
      <c r="K63" s="193">
        <v>140</v>
      </c>
      <c r="L63" s="196"/>
      <c r="N63" s="951"/>
    </row>
    <row r="64" spans="2:14" s="264" customFormat="1">
      <c r="B64" s="262"/>
      <c r="C64" s="263">
        <v>16</v>
      </c>
      <c r="D64" s="253" t="s">
        <v>121</v>
      </c>
      <c r="E64" s="254" t="s">
        <v>105</v>
      </c>
      <c r="F64" s="255">
        <v>24</v>
      </c>
      <c r="G64" s="255">
        <v>324</v>
      </c>
      <c r="H64" s="255">
        <v>221</v>
      </c>
      <c r="I64" s="197">
        <v>31.9</v>
      </c>
      <c r="J64" s="255">
        <v>280</v>
      </c>
      <c r="K64" s="255">
        <v>160</v>
      </c>
      <c r="L64" s="256" t="s">
        <v>165</v>
      </c>
      <c r="M64" s="439"/>
      <c r="N64" s="439"/>
    </row>
    <row r="65" spans="2:15">
      <c r="B65" s="209"/>
      <c r="C65" s="210">
        <v>17</v>
      </c>
      <c r="D65" s="216" t="s">
        <v>122</v>
      </c>
      <c r="E65" s="192" t="s">
        <v>110</v>
      </c>
      <c r="F65" s="193">
        <v>24</v>
      </c>
      <c r="G65" s="193">
        <v>840</v>
      </c>
      <c r="H65" s="193">
        <v>764</v>
      </c>
      <c r="I65" s="194">
        <v>9</v>
      </c>
      <c r="J65" s="193">
        <v>379</v>
      </c>
      <c r="K65" s="193">
        <v>560</v>
      </c>
      <c r="L65" s="196"/>
    </row>
    <row r="66" spans="2:15" ht="15" customHeight="1">
      <c r="B66" s="209"/>
      <c r="C66" s="210">
        <v>18</v>
      </c>
      <c r="D66" s="216" t="s">
        <v>123</v>
      </c>
      <c r="E66" s="192" t="s">
        <v>124</v>
      </c>
      <c r="F66" s="193">
        <v>28</v>
      </c>
      <c r="G66" s="193">
        <v>450</v>
      </c>
      <c r="H66" s="194">
        <v>162</v>
      </c>
      <c r="I66" s="194">
        <v>64</v>
      </c>
      <c r="J66" s="194">
        <v>379</v>
      </c>
      <c r="K66" s="194">
        <v>330</v>
      </c>
      <c r="L66" s="238" t="s">
        <v>165</v>
      </c>
    </row>
    <row r="67" spans="2:15" s="264" customFormat="1">
      <c r="B67" s="262"/>
      <c r="C67" s="222">
        <v>19</v>
      </c>
      <c r="D67" s="218" t="s">
        <v>125</v>
      </c>
      <c r="E67" s="219" t="s">
        <v>126</v>
      </c>
      <c r="F67" s="220">
        <v>24</v>
      </c>
      <c r="G67" s="220">
        <v>583</v>
      </c>
      <c r="H67" s="221">
        <v>210</v>
      </c>
      <c r="I67" s="221">
        <v>64</v>
      </c>
      <c r="J67" s="221">
        <v>401</v>
      </c>
      <c r="K67" s="221">
        <v>180</v>
      </c>
      <c r="L67" s="237" t="s">
        <v>68</v>
      </c>
      <c r="M67" s="439"/>
      <c r="N67" s="421"/>
      <c r="O67" s="421"/>
    </row>
    <row r="68" spans="2:15" s="264" customFormat="1">
      <c r="B68" s="262"/>
      <c r="C68" s="263">
        <v>20</v>
      </c>
      <c r="D68" s="253" t="s">
        <v>127</v>
      </c>
      <c r="E68" s="254" t="s">
        <v>101</v>
      </c>
      <c r="F68" s="255">
        <v>36</v>
      </c>
      <c r="G68" s="255">
        <v>3875</v>
      </c>
      <c r="H68" s="255">
        <v>1085</v>
      </c>
      <c r="I68" s="197">
        <v>72</v>
      </c>
      <c r="J68" s="255">
        <v>307</v>
      </c>
      <c r="K68" s="255">
        <v>225</v>
      </c>
      <c r="L68" s="290"/>
      <c r="M68" s="439"/>
      <c r="N68" s="439"/>
      <c r="O68" s="421"/>
    </row>
    <row r="69" spans="2:15" s="264" customFormat="1">
      <c r="B69" s="262"/>
      <c r="C69" s="222">
        <v>21</v>
      </c>
      <c r="D69" s="218" t="s">
        <v>128</v>
      </c>
      <c r="E69" s="219" t="s">
        <v>105</v>
      </c>
      <c r="F69" s="220">
        <v>24</v>
      </c>
      <c r="G69" s="220">
        <v>821</v>
      </c>
      <c r="H69" s="220">
        <v>238</v>
      </c>
      <c r="I69" s="221">
        <v>71</v>
      </c>
      <c r="J69" s="220">
        <v>285</v>
      </c>
      <c r="K69" s="220">
        <v>190</v>
      </c>
      <c r="L69" s="237" t="s">
        <v>68</v>
      </c>
      <c r="M69" s="439"/>
      <c r="N69" s="439"/>
      <c r="O69" s="439"/>
    </row>
    <row r="70" spans="2:15" s="264" customFormat="1" ht="15.6">
      <c r="B70" s="262"/>
      <c r="C70" s="263">
        <v>22</v>
      </c>
      <c r="D70" s="253" t="s">
        <v>129</v>
      </c>
      <c r="E70" s="254" t="s">
        <v>99</v>
      </c>
      <c r="F70" s="255">
        <v>20</v>
      </c>
      <c r="G70" s="255">
        <v>735</v>
      </c>
      <c r="H70" s="255">
        <v>353</v>
      </c>
      <c r="I70" s="197">
        <v>52</v>
      </c>
      <c r="J70" s="255">
        <v>325</v>
      </c>
      <c r="K70" s="255">
        <v>160</v>
      </c>
      <c r="L70" s="256" t="s">
        <v>165</v>
      </c>
      <c r="M70" s="279"/>
      <c r="N70" s="439"/>
      <c r="O70" s="439"/>
    </row>
    <row r="71" spans="2:15" s="264" customFormat="1">
      <c r="B71" s="262"/>
      <c r="C71" s="263">
        <v>23</v>
      </c>
      <c r="D71" s="253" t="s">
        <v>130</v>
      </c>
      <c r="E71" s="254" t="s">
        <v>105</v>
      </c>
      <c r="F71" s="255">
        <v>16</v>
      </c>
      <c r="G71" s="255">
        <v>919</v>
      </c>
      <c r="H71" s="255">
        <v>340</v>
      </c>
      <c r="I71" s="197">
        <v>63</v>
      </c>
      <c r="J71" s="255">
        <v>379</v>
      </c>
      <c r="K71" s="255">
        <v>210</v>
      </c>
      <c r="L71" s="256"/>
      <c r="M71" s="439"/>
      <c r="N71" s="439"/>
      <c r="O71" s="439"/>
    </row>
    <row r="72" spans="2:15" s="264" customFormat="1">
      <c r="B72" s="262"/>
      <c r="C72" s="222">
        <v>24</v>
      </c>
      <c r="D72" s="218" t="s">
        <v>131</v>
      </c>
      <c r="E72" s="219" t="s">
        <v>110</v>
      </c>
      <c r="F72" s="220">
        <v>20</v>
      </c>
      <c r="G72" s="220">
        <v>744</v>
      </c>
      <c r="H72" s="220">
        <v>409</v>
      </c>
      <c r="I72" s="221">
        <v>45</v>
      </c>
      <c r="J72" s="220">
        <v>350</v>
      </c>
      <c r="K72" s="220">
        <v>360</v>
      </c>
      <c r="L72" s="237" t="s">
        <v>68</v>
      </c>
      <c r="M72" s="439"/>
      <c r="N72" s="439"/>
      <c r="O72" s="439"/>
    </row>
    <row r="73" spans="2:15" s="264" customFormat="1" ht="26.45">
      <c r="B73" s="262"/>
      <c r="C73" s="263">
        <v>25</v>
      </c>
      <c r="D73" s="253" t="s">
        <v>132</v>
      </c>
      <c r="E73" s="254" t="s">
        <v>133</v>
      </c>
      <c r="F73" s="255">
        <v>24</v>
      </c>
      <c r="G73" s="255">
        <v>900</v>
      </c>
      <c r="H73" s="255">
        <v>333</v>
      </c>
      <c r="I73" s="197">
        <v>63</v>
      </c>
      <c r="J73" s="255">
        <v>300</v>
      </c>
      <c r="K73" s="255">
        <v>182</v>
      </c>
      <c r="L73" s="256"/>
      <c r="M73" s="439"/>
      <c r="N73" s="439"/>
      <c r="O73" s="439"/>
    </row>
    <row r="74" spans="2:15" s="264" customFormat="1">
      <c r="B74" s="262"/>
      <c r="C74" s="263">
        <v>26</v>
      </c>
      <c r="D74" s="253" t="s">
        <v>134</v>
      </c>
      <c r="E74" s="254" t="s">
        <v>135</v>
      </c>
      <c r="F74" s="255">
        <v>20</v>
      </c>
      <c r="G74" s="197">
        <v>764.36800000000005</v>
      </c>
      <c r="H74" s="197">
        <v>378.36216000000002</v>
      </c>
      <c r="I74" s="197">
        <v>50.5</v>
      </c>
      <c r="J74" s="255">
        <v>1666</v>
      </c>
      <c r="K74" s="255">
        <v>462</v>
      </c>
      <c r="L74" s="256"/>
      <c r="M74" s="439"/>
      <c r="N74" s="439"/>
      <c r="O74" s="439"/>
    </row>
    <row r="75" spans="2:15" s="264" customFormat="1">
      <c r="B75" s="262"/>
      <c r="C75" s="263">
        <v>27</v>
      </c>
      <c r="D75" s="253" t="s">
        <v>136</v>
      </c>
      <c r="E75" s="254" t="s">
        <v>105</v>
      </c>
      <c r="F75" s="255">
        <v>40</v>
      </c>
      <c r="G75" s="255">
        <v>2104</v>
      </c>
      <c r="H75" s="255">
        <v>1052</v>
      </c>
      <c r="I75" s="197">
        <v>50</v>
      </c>
      <c r="J75" s="255">
        <v>280</v>
      </c>
      <c r="K75" s="255">
        <v>250</v>
      </c>
      <c r="L75" s="256"/>
      <c r="M75" s="439"/>
      <c r="N75" s="439"/>
      <c r="O75" s="439"/>
    </row>
    <row r="76" spans="2:15" s="264" customFormat="1" ht="15.6" thickBot="1">
      <c r="B76" s="262"/>
      <c r="C76" s="289">
        <v>28</v>
      </c>
      <c r="D76" s="257" t="s">
        <v>137</v>
      </c>
      <c r="E76" s="258" t="s">
        <v>110</v>
      </c>
      <c r="F76" s="259">
        <v>40</v>
      </c>
      <c r="G76" s="259">
        <v>2293</v>
      </c>
      <c r="H76" s="259">
        <v>917</v>
      </c>
      <c r="I76" s="260">
        <v>60</v>
      </c>
      <c r="J76" s="259">
        <v>348</v>
      </c>
      <c r="K76" s="259">
        <v>260</v>
      </c>
      <c r="L76" s="287" t="s">
        <v>63</v>
      </c>
      <c r="M76" s="439"/>
      <c r="N76" s="439"/>
      <c r="O76" s="439"/>
    </row>
    <row r="77" spans="2:15" ht="15.6" thickBot="1">
      <c r="D77" s="204"/>
      <c r="E77" s="205"/>
      <c r="F77" s="205"/>
      <c r="G77" s="224">
        <f>SUM(G49:G76)</f>
        <v>38844.847999999998</v>
      </c>
      <c r="H77" s="224">
        <f>SUM(H49:H76)</f>
        <v>23500.387559999999</v>
      </c>
      <c r="I77" s="225"/>
      <c r="J77" s="225"/>
      <c r="K77" s="225"/>
    </row>
    <row r="78" spans="2:15" ht="15.6" thickBot="1">
      <c r="E78" s="1251"/>
      <c r="F78" s="1382"/>
      <c r="G78" s="1"/>
      <c r="H78" s="208">
        <f>H77*1</f>
        <v>23500.387559999999</v>
      </c>
      <c r="I78" s="1"/>
      <c r="J78" s="1"/>
      <c r="K78" s="1"/>
    </row>
    <row r="79" spans="2:15" ht="15.6" thickBot="1">
      <c r="E79" s="1"/>
      <c r="F79" s="1"/>
      <c r="G79" s="1"/>
      <c r="H79" s="1"/>
      <c r="I79" s="1"/>
      <c r="J79" s="1"/>
      <c r="K79" s="1"/>
    </row>
    <row r="80" spans="2:15" ht="25.5" customHeight="1" thickBot="1">
      <c r="D80" s="1252" t="s">
        <v>181</v>
      </c>
      <c r="E80" s="1383"/>
      <c r="F80" s="1383"/>
      <c r="G80" s="1383"/>
      <c r="H80" s="1383"/>
      <c r="I80" s="1383"/>
      <c r="J80" s="1383"/>
      <c r="K80" s="1383"/>
      <c r="L80" s="1384"/>
    </row>
    <row r="81" spans="2:12" ht="27" thickBot="1">
      <c r="B81" s="178"/>
      <c r="C81" s="179" t="s">
        <v>156</v>
      </c>
      <c r="D81" s="179" t="s">
        <v>31</v>
      </c>
      <c r="E81" s="180" t="s">
        <v>32</v>
      </c>
      <c r="F81" s="180" t="s">
        <v>33</v>
      </c>
      <c r="G81" s="180" t="s">
        <v>34</v>
      </c>
      <c r="H81" s="180" t="s">
        <v>35</v>
      </c>
      <c r="I81" s="180" t="s">
        <v>37</v>
      </c>
      <c r="J81" s="182" t="s">
        <v>38</v>
      </c>
      <c r="K81" s="182" t="s">
        <v>39</v>
      </c>
      <c r="L81" s="226" t="s">
        <v>40</v>
      </c>
    </row>
    <row r="82" spans="2:12" ht="15.6">
      <c r="B82" s="209"/>
      <c r="C82" s="210">
        <v>1</v>
      </c>
      <c r="D82" s="227" t="s">
        <v>139</v>
      </c>
      <c r="E82" s="228" t="s">
        <v>140</v>
      </c>
      <c r="F82" s="187">
        <v>20</v>
      </c>
      <c r="G82" s="953">
        <v>529</v>
      </c>
      <c r="H82" s="187">
        <v>471</v>
      </c>
      <c r="I82" s="187">
        <v>11</v>
      </c>
      <c r="J82" s="432">
        <v>300</v>
      </c>
      <c r="K82" s="187">
        <v>280</v>
      </c>
      <c r="L82" s="190"/>
    </row>
    <row r="83" spans="2:12" ht="15.6">
      <c r="B83" s="209"/>
      <c r="C83" s="210">
        <v>2</v>
      </c>
      <c r="D83" s="229" t="s">
        <v>142</v>
      </c>
      <c r="E83" s="230" t="s">
        <v>143</v>
      </c>
      <c r="F83" s="193">
        <v>24</v>
      </c>
      <c r="G83" s="953">
        <v>457</v>
      </c>
      <c r="H83" s="193">
        <v>434</v>
      </c>
      <c r="I83" s="193">
        <v>5</v>
      </c>
      <c r="J83" s="432">
        <v>457</v>
      </c>
      <c r="K83" s="187">
        <v>280</v>
      </c>
      <c r="L83" s="231"/>
    </row>
    <row r="84" spans="2:12" ht="15.6">
      <c r="B84" s="209"/>
      <c r="C84" s="210">
        <v>3</v>
      </c>
      <c r="D84" s="229" t="s">
        <v>144</v>
      </c>
      <c r="E84" s="230" t="s">
        <v>140</v>
      </c>
      <c r="F84" s="193">
        <v>36</v>
      </c>
      <c r="G84" s="953">
        <v>1758</v>
      </c>
      <c r="H84" s="193">
        <v>1424</v>
      </c>
      <c r="I84" s="193">
        <v>19</v>
      </c>
      <c r="J84" s="432">
        <v>1173</v>
      </c>
      <c r="K84" s="187">
        <v>860</v>
      </c>
      <c r="L84" s="231"/>
    </row>
    <row r="85" spans="2:12" ht="16.149999999999999" thickBot="1">
      <c r="B85" s="209"/>
      <c r="C85" s="213">
        <v>4</v>
      </c>
      <c r="D85" s="232" t="s">
        <v>145</v>
      </c>
      <c r="E85" s="233" t="s">
        <v>146</v>
      </c>
      <c r="F85" s="200">
        <v>36</v>
      </c>
      <c r="G85" s="953">
        <v>1850</v>
      </c>
      <c r="H85" s="200">
        <v>1761</v>
      </c>
      <c r="I85" s="200">
        <v>5</v>
      </c>
      <c r="J85" s="432">
        <v>380</v>
      </c>
      <c r="K85" s="187">
        <v>340</v>
      </c>
      <c r="L85" s="234"/>
    </row>
    <row r="86" spans="2:12" ht="19.5" customHeight="1" thickBot="1">
      <c r="D86" s="204"/>
      <c r="E86" s="205"/>
      <c r="F86" s="205"/>
      <c r="G86" s="235">
        <f>SUM(G82:G85)</f>
        <v>4594</v>
      </c>
      <c r="H86" s="235">
        <f>SUM(H82:H85)</f>
        <v>4090</v>
      </c>
      <c r="I86" s="207"/>
      <c r="J86" s="207"/>
      <c r="K86" s="207"/>
    </row>
    <row r="87" spans="2:12" ht="15.6" thickBot="1">
      <c r="E87" s="1251" t="s">
        <v>168</v>
      </c>
      <c r="F87" s="1382"/>
      <c r="G87" s="1"/>
      <c r="H87" s="208">
        <f>H86*1</f>
        <v>4090</v>
      </c>
      <c r="I87" s="1"/>
      <c r="J87" s="1"/>
      <c r="K87" s="1"/>
    </row>
    <row r="88" spans="2:12">
      <c r="E88" s="1"/>
      <c r="F88" s="1"/>
      <c r="G88" s="1"/>
      <c r="H88" s="1"/>
      <c r="I88" s="1"/>
      <c r="J88" s="1"/>
      <c r="K88" s="1"/>
    </row>
    <row r="89" spans="2:12">
      <c r="E89" s="1"/>
      <c r="F89" s="1"/>
      <c r="G89" s="1"/>
      <c r="H89" s="1"/>
      <c r="I89" s="1"/>
      <c r="J89" s="1"/>
      <c r="K89" s="1"/>
    </row>
    <row r="90" spans="2:12">
      <c r="E90" s="1"/>
      <c r="F90" s="1"/>
      <c r="G90" s="1"/>
      <c r="H90" s="1"/>
      <c r="I90" s="1"/>
      <c r="J90" s="1"/>
      <c r="K90" s="1"/>
    </row>
    <row r="91" spans="2:12">
      <c r="E91" s="1"/>
      <c r="F91" s="1"/>
      <c r="G91" s="1"/>
      <c r="H91" s="1"/>
      <c r="I91" s="1"/>
      <c r="J91" s="1"/>
      <c r="K91" s="1"/>
    </row>
    <row r="92" spans="2:12">
      <c r="E92" s="1"/>
      <c r="F92" s="1"/>
      <c r="G92" s="1"/>
      <c r="H92" s="1"/>
      <c r="I92" s="1"/>
      <c r="J92" s="1"/>
      <c r="K92" s="1"/>
    </row>
    <row r="93" spans="2:12">
      <c r="E93" s="1"/>
      <c r="F93" s="1"/>
      <c r="G93" s="1"/>
      <c r="H93" s="1"/>
      <c r="I93" s="1"/>
      <c r="J93" s="1"/>
      <c r="K93" s="1"/>
    </row>
    <row r="94" spans="2:12">
      <c r="E94" s="1"/>
      <c r="F94" s="1"/>
      <c r="G94" s="1"/>
      <c r="H94" s="1"/>
      <c r="I94" s="1"/>
      <c r="J94" s="1"/>
      <c r="K94" s="1"/>
    </row>
    <row r="95" spans="2:12">
      <c r="E95" s="1"/>
      <c r="F95" s="1"/>
      <c r="G95" s="1"/>
      <c r="H95" s="1"/>
      <c r="I95" s="1"/>
      <c r="J95" s="1"/>
      <c r="K95" s="1"/>
    </row>
    <row r="96" spans="2:12">
      <c r="E96" s="1"/>
      <c r="F96" s="1"/>
      <c r="G96" s="1"/>
      <c r="H96" s="1"/>
      <c r="I96" s="1"/>
      <c r="J96" s="1"/>
      <c r="K96" s="1"/>
    </row>
    <row r="97" spans="5:11">
      <c r="E97" s="1"/>
      <c r="F97" s="1"/>
      <c r="G97" s="1"/>
      <c r="H97" s="1"/>
      <c r="I97" s="1"/>
      <c r="J97" s="1"/>
      <c r="K97" s="1"/>
    </row>
    <row r="98" spans="5:11">
      <c r="E98" s="1"/>
      <c r="F98" s="1"/>
      <c r="G98" s="1"/>
      <c r="H98" s="1"/>
      <c r="I98" s="1"/>
      <c r="J98" s="1"/>
      <c r="K98" s="1"/>
    </row>
    <row r="99" spans="5:11">
      <c r="E99" s="1"/>
      <c r="F99" s="1"/>
      <c r="G99" s="1"/>
      <c r="H99" s="1"/>
      <c r="I99" s="1"/>
      <c r="J99" s="1"/>
      <c r="K99" s="1"/>
    </row>
    <row r="100" spans="5:11">
      <c r="E100" s="1"/>
      <c r="F100" s="1"/>
      <c r="G100" s="1"/>
      <c r="H100" s="1"/>
      <c r="I100" s="1"/>
      <c r="J100" s="1"/>
      <c r="K100" s="1"/>
    </row>
    <row r="101" spans="5:11">
      <c r="E101" s="1"/>
      <c r="F101" s="1"/>
      <c r="G101" s="1"/>
      <c r="H101" s="1"/>
      <c r="I101" s="1"/>
      <c r="J101" s="1"/>
      <c r="K101" s="1"/>
    </row>
    <row r="102" spans="5:11">
      <c r="E102" s="1"/>
      <c r="F102" s="1"/>
      <c r="G102" s="1"/>
      <c r="H102" s="1"/>
      <c r="I102" s="1"/>
      <c r="J102" s="1"/>
      <c r="K102" s="1"/>
    </row>
    <row r="103" spans="5:11">
      <c r="E103" s="1"/>
      <c r="F103" s="1"/>
      <c r="G103" s="1"/>
      <c r="H103" s="1"/>
      <c r="I103" s="1"/>
      <c r="J103" s="1"/>
      <c r="K103" s="1"/>
    </row>
    <row r="104" spans="5:11">
      <c r="E104" s="1"/>
      <c r="F104" s="1"/>
      <c r="G104" s="1"/>
      <c r="H104" s="1"/>
      <c r="I104" s="1"/>
      <c r="J104" s="1"/>
      <c r="K104" s="1"/>
    </row>
    <row r="105" spans="5:11">
      <c r="E105" s="1"/>
      <c r="F105" s="1"/>
      <c r="G105" s="1"/>
      <c r="H105" s="1"/>
      <c r="I105" s="1"/>
      <c r="J105" s="1"/>
      <c r="K105" s="1"/>
    </row>
    <row r="106" spans="5:11">
      <c r="E106" s="1"/>
      <c r="F106" s="1"/>
      <c r="G106" s="1"/>
      <c r="H106" s="1"/>
      <c r="I106" s="1"/>
      <c r="J106" s="1"/>
      <c r="K106" s="1"/>
    </row>
    <row r="107" spans="5:11">
      <c r="E107" s="1"/>
      <c r="F107" s="1"/>
      <c r="G107" s="1"/>
      <c r="H107" s="1"/>
      <c r="I107" s="1"/>
      <c r="J107" s="1"/>
      <c r="K107" s="1"/>
    </row>
    <row r="108" spans="5:11">
      <c r="E108" s="1"/>
      <c r="F108" s="1"/>
      <c r="G108" s="1"/>
      <c r="H108" s="1"/>
      <c r="I108" s="1"/>
      <c r="J108" s="1"/>
      <c r="K108" s="1"/>
    </row>
    <row r="109" spans="5:11">
      <c r="E109" s="1"/>
      <c r="F109" s="1"/>
      <c r="G109" s="1"/>
      <c r="H109" s="1"/>
      <c r="I109" s="1"/>
      <c r="J109" s="1"/>
      <c r="K109" s="1"/>
    </row>
    <row r="110" spans="5:11">
      <c r="E110" s="1"/>
      <c r="F110" s="1"/>
      <c r="G110" s="1"/>
      <c r="H110" s="1"/>
      <c r="I110" s="1"/>
      <c r="J110" s="1"/>
      <c r="K110" s="1"/>
    </row>
    <row r="111" spans="5:11">
      <c r="E111" s="1"/>
      <c r="F111" s="1"/>
      <c r="G111" s="1"/>
      <c r="H111" s="1"/>
      <c r="I111" s="1"/>
      <c r="J111" s="1"/>
      <c r="K111" s="1"/>
    </row>
    <row r="112" spans="5:11">
      <c r="E112" s="1"/>
      <c r="F112" s="1"/>
      <c r="G112" s="1"/>
      <c r="H112" s="1"/>
      <c r="I112" s="1"/>
      <c r="J112" s="1"/>
      <c r="K112" s="1"/>
    </row>
    <row r="113" spans="5:11">
      <c r="E113" s="1"/>
      <c r="F113" s="1"/>
      <c r="G113" s="1"/>
      <c r="H113" s="1"/>
      <c r="I113" s="1"/>
      <c r="J113" s="1"/>
      <c r="K113" s="1"/>
    </row>
    <row r="114" spans="5:11">
      <c r="E114" s="1"/>
      <c r="F114" s="1"/>
      <c r="G114" s="1"/>
      <c r="H114" s="1"/>
      <c r="I114" s="1"/>
      <c r="J114" s="1"/>
      <c r="K114" s="1"/>
    </row>
    <row r="115" spans="5:11">
      <c r="E115" s="1"/>
      <c r="F115" s="1"/>
      <c r="G115" s="1"/>
      <c r="H115" s="1"/>
      <c r="I115" s="1"/>
      <c r="J115" s="1"/>
      <c r="K115" s="1"/>
    </row>
    <row r="116" spans="5:11">
      <c r="E116" s="1"/>
      <c r="F116" s="1"/>
      <c r="G116" s="1"/>
      <c r="H116" s="1"/>
      <c r="I116" s="1"/>
      <c r="J116" s="1"/>
      <c r="K116" s="1"/>
    </row>
    <row r="117" spans="5:11">
      <c r="E117" s="1"/>
      <c r="F117" s="1"/>
      <c r="G117" s="1"/>
      <c r="H117" s="1"/>
      <c r="I117" s="1"/>
      <c r="J117" s="1"/>
      <c r="K117" s="1"/>
    </row>
    <row r="118" spans="5:11">
      <c r="E118" s="1"/>
      <c r="F118" s="1"/>
      <c r="G118" s="1"/>
      <c r="H118" s="1"/>
      <c r="I118" s="1"/>
      <c r="J118" s="1"/>
      <c r="K118" s="1"/>
    </row>
    <row r="119" spans="5:11">
      <c r="E119" s="1"/>
      <c r="F119" s="1"/>
      <c r="G119" s="1"/>
      <c r="H119" s="1"/>
      <c r="I119" s="1"/>
      <c r="J119" s="1"/>
      <c r="K119" s="1"/>
    </row>
    <row r="120" spans="5:11">
      <c r="E120" s="1"/>
      <c r="F120" s="1"/>
      <c r="G120" s="1"/>
      <c r="H120" s="1"/>
      <c r="I120" s="1"/>
      <c r="J120" s="1"/>
      <c r="K120" s="1"/>
    </row>
    <row r="121" spans="5:11">
      <c r="E121" s="1"/>
      <c r="F121" s="1"/>
      <c r="G121" s="1"/>
      <c r="H121" s="1"/>
      <c r="I121" s="1"/>
      <c r="J121" s="1"/>
      <c r="K121" s="1"/>
    </row>
    <row r="122" spans="5:11">
      <c r="E122" s="1"/>
      <c r="F122" s="1"/>
      <c r="G122" s="1"/>
      <c r="H122" s="1"/>
      <c r="I122" s="1"/>
      <c r="J122" s="1"/>
      <c r="K122" s="1"/>
    </row>
    <row r="123" spans="5:11">
      <c r="E123" s="1"/>
      <c r="F123" s="1"/>
      <c r="G123" s="1"/>
      <c r="H123" s="1"/>
      <c r="I123" s="1"/>
      <c r="J123" s="1"/>
      <c r="K123" s="1"/>
    </row>
    <row r="124" spans="5:11">
      <c r="E124" s="1"/>
      <c r="F124" s="1"/>
      <c r="G124" s="1"/>
      <c r="H124" s="1"/>
      <c r="I124" s="1"/>
      <c r="J124" s="1"/>
      <c r="K124" s="1"/>
    </row>
    <row r="125" spans="5:11">
      <c r="E125" s="1"/>
      <c r="F125" s="1"/>
      <c r="G125" s="1"/>
      <c r="H125" s="1"/>
      <c r="I125" s="1"/>
      <c r="J125" s="1"/>
      <c r="K125" s="1"/>
    </row>
    <row r="126" spans="5:11">
      <c r="E126" s="1"/>
      <c r="F126" s="1"/>
      <c r="G126" s="1"/>
      <c r="H126" s="1"/>
      <c r="I126" s="1"/>
      <c r="J126" s="1"/>
      <c r="K126" s="1"/>
    </row>
    <row r="127" spans="5:11">
      <c r="E127" s="1"/>
      <c r="F127" s="1"/>
      <c r="G127" s="1"/>
      <c r="H127" s="1"/>
      <c r="I127" s="1"/>
      <c r="J127" s="1"/>
      <c r="K127" s="1"/>
    </row>
    <row r="128" spans="5:11">
      <c r="E128" s="1"/>
      <c r="F128" s="1"/>
      <c r="G128" s="1"/>
      <c r="H128" s="1"/>
      <c r="I128" s="1"/>
      <c r="J128" s="1"/>
      <c r="K128" s="1"/>
    </row>
    <row r="129" spans="5:11">
      <c r="E129" s="1"/>
      <c r="F129" s="1"/>
      <c r="G129" s="1"/>
      <c r="H129" s="1"/>
      <c r="I129" s="1"/>
      <c r="J129" s="1"/>
      <c r="K129" s="1"/>
    </row>
    <row r="130" spans="5:11">
      <c r="E130" s="1"/>
      <c r="F130" s="1"/>
      <c r="G130" s="1"/>
      <c r="H130" s="1"/>
      <c r="I130" s="1"/>
      <c r="J130" s="1"/>
      <c r="K130" s="1"/>
    </row>
    <row r="131" spans="5:11">
      <c r="E131" s="1"/>
      <c r="F131" s="1"/>
      <c r="G131" s="1"/>
      <c r="H131" s="1"/>
      <c r="I131" s="1"/>
      <c r="J131" s="1"/>
      <c r="K131" s="1"/>
    </row>
    <row r="132" spans="5:11">
      <c r="E132" s="1"/>
      <c r="F132" s="1"/>
      <c r="G132" s="1"/>
      <c r="H132" s="1"/>
      <c r="I132" s="1"/>
      <c r="J132" s="1"/>
      <c r="K132" s="1"/>
    </row>
    <row r="133" spans="5:11">
      <c r="E133" s="1"/>
      <c r="F133" s="1"/>
      <c r="G133" s="1"/>
      <c r="H133" s="1"/>
      <c r="I133" s="1"/>
      <c r="J133" s="1"/>
      <c r="K133" s="1"/>
    </row>
    <row r="134" spans="5:11">
      <c r="E134" s="1"/>
      <c r="F134" s="1"/>
      <c r="G134" s="1"/>
      <c r="H134" s="1"/>
      <c r="I134" s="1"/>
      <c r="J134" s="1"/>
      <c r="K134" s="1"/>
    </row>
    <row r="135" spans="5:11">
      <c r="E135" s="1"/>
      <c r="F135" s="1"/>
      <c r="G135" s="1"/>
      <c r="H135" s="1"/>
      <c r="I135" s="1"/>
      <c r="J135" s="1"/>
      <c r="K135" s="1"/>
    </row>
    <row r="136" spans="5:11">
      <c r="E136" s="1"/>
      <c r="F136" s="1"/>
      <c r="G136" s="1"/>
      <c r="H136" s="1"/>
      <c r="I136" s="1"/>
      <c r="J136" s="1"/>
      <c r="K136" s="1"/>
    </row>
    <row r="137" spans="5:11">
      <c r="E137" s="1"/>
      <c r="F137" s="1"/>
      <c r="G137" s="1"/>
      <c r="H137" s="1"/>
      <c r="I137" s="1"/>
      <c r="J137" s="1"/>
      <c r="K137" s="1"/>
    </row>
    <row r="138" spans="5:11">
      <c r="E138" s="1"/>
      <c r="F138" s="1"/>
      <c r="G138" s="1"/>
      <c r="H138" s="1"/>
      <c r="I138" s="1"/>
      <c r="J138" s="1"/>
      <c r="K138" s="1"/>
    </row>
    <row r="139" spans="5:11">
      <c r="E139" s="1"/>
      <c r="F139" s="1"/>
      <c r="G139" s="1"/>
      <c r="H139" s="1"/>
      <c r="I139" s="1"/>
      <c r="J139" s="1"/>
      <c r="K139" s="1"/>
    </row>
    <row r="140" spans="5:11">
      <c r="E140" s="1"/>
      <c r="F140" s="1"/>
      <c r="G140" s="1"/>
      <c r="H140" s="1"/>
      <c r="I140" s="1"/>
      <c r="J140" s="1"/>
      <c r="K140" s="1"/>
    </row>
    <row r="141" spans="5:11">
      <c r="E141" s="1"/>
      <c r="F141" s="1"/>
      <c r="G141" s="1"/>
      <c r="H141" s="1"/>
      <c r="I141" s="1"/>
      <c r="J141" s="1"/>
      <c r="K141" s="1"/>
    </row>
    <row r="142" spans="5:11">
      <c r="E142" s="1"/>
      <c r="F142" s="1"/>
      <c r="G142" s="1"/>
      <c r="H142" s="1"/>
      <c r="I142" s="1"/>
      <c r="J142" s="1"/>
      <c r="K142" s="1"/>
    </row>
    <row r="143" spans="5:11">
      <c r="E143" s="1"/>
      <c r="F143" s="1"/>
      <c r="G143" s="1"/>
      <c r="H143" s="1"/>
      <c r="I143" s="1"/>
      <c r="J143" s="1"/>
      <c r="K143" s="1"/>
    </row>
    <row r="144" spans="5:11">
      <c r="E144" s="1"/>
      <c r="F144" s="1"/>
      <c r="G144" s="1"/>
      <c r="H144" s="1"/>
      <c r="I144" s="1"/>
      <c r="J144" s="1"/>
      <c r="K144" s="1"/>
    </row>
    <row r="145" spans="5:11">
      <c r="E145" s="1"/>
      <c r="F145" s="1"/>
      <c r="G145" s="1"/>
      <c r="H145" s="1"/>
      <c r="I145" s="1"/>
      <c r="J145" s="1"/>
      <c r="K145" s="1"/>
    </row>
    <row r="146" spans="5:11">
      <c r="E146" s="1"/>
      <c r="F146" s="1"/>
      <c r="G146" s="1"/>
      <c r="H146" s="1"/>
      <c r="I146" s="1"/>
      <c r="J146" s="1"/>
      <c r="K146" s="1"/>
    </row>
    <row r="147" spans="5:11">
      <c r="E147" s="1"/>
      <c r="F147" s="1"/>
      <c r="G147" s="1"/>
      <c r="H147" s="1"/>
      <c r="I147" s="1"/>
      <c r="J147" s="1"/>
      <c r="K147" s="1"/>
    </row>
    <row r="148" spans="5:11">
      <c r="E148" s="1"/>
      <c r="F148" s="1"/>
      <c r="G148" s="1"/>
      <c r="H148" s="1"/>
      <c r="I148" s="1"/>
      <c r="J148" s="1"/>
      <c r="K148" s="1"/>
    </row>
    <row r="149" spans="5:11">
      <c r="E149" s="1"/>
      <c r="F149" s="1"/>
      <c r="G149" s="1"/>
      <c r="H149" s="1"/>
      <c r="I149" s="1"/>
      <c r="J149" s="1"/>
      <c r="K149" s="1"/>
    </row>
    <row r="150" spans="5:11">
      <c r="E150" s="1"/>
      <c r="F150" s="1"/>
      <c r="G150" s="1"/>
      <c r="H150" s="1"/>
      <c r="I150" s="1"/>
      <c r="J150" s="1"/>
      <c r="K150" s="1"/>
    </row>
    <row r="151" spans="5:11">
      <c r="E151" s="1"/>
      <c r="F151" s="1"/>
      <c r="G151" s="1"/>
      <c r="H151" s="1"/>
      <c r="I151" s="1"/>
      <c r="J151" s="1"/>
      <c r="K151" s="1"/>
    </row>
    <row r="152" spans="5:11">
      <c r="E152" s="1"/>
      <c r="F152" s="1"/>
      <c r="G152" s="1"/>
      <c r="H152" s="1"/>
      <c r="I152" s="1"/>
      <c r="J152" s="1"/>
      <c r="K152" s="1"/>
    </row>
    <row r="153" spans="5:11">
      <c r="E153" s="1"/>
      <c r="F153" s="1"/>
      <c r="G153" s="1"/>
      <c r="H153" s="1"/>
      <c r="I153" s="1"/>
      <c r="J153" s="1"/>
      <c r="K153" s="1"/>
    </row>
    <row r="154" spans="5:11">
      <c r="E154" s="1"/>
      <c r="F154" s="1"/>
      <c r="G154" s="1"/>
      <c r="H154" s="1"/>
      <c r="I154" s="1"/>
      <c r="J154" s="1"/>
      <c r="K154" s="1"/>
    </row>
    <row r="155" spans="5:11">
      <c r="E155" s="1"/>
      <c r="F155" s="1"/>
      <c r="G155" s="1"/>
      <c r="H155" s="1"/>
      <c r="I155" s="1"/>
      <c r="J155" s="1"/>
      <c r="K155" s="1"/>
    </row>
    <row r="156" spans="5:11">
      <c r="E156" s="1"/>
      <c r="F156" s="1"/>
      <c r="G156" s="1"/>
      <c r="H156" s="1"/>
      <c r="I156" s="1"/>
      <c r="J156" s="1"/>
      <c r="K156" s="1"/>
    </row>
    <row r="157" spans="5:11">
      <c r="E157" s="1"/>
      <c r="F157" s="1"/>
      <c r="G157" s="1"/>
      <c r="H157" s="1"/>
      <c r="I157" s="1"/>
      <c r="J157" s="1"/>
      <c r="K157" s="1"/>
    </row>
    <row r="158" spans="5:11">
      <c r="E158" s="1"/>
      <c r="F158" s="1"/>
      <c r="G158" s="1"/>
      <c r="H158" s="1"/>
      <c r="I158" s="1"/>
      <c r="J158" s="1"/>
      <c r="K158" s="1"/>
    </row>
    <row r="159" spans="5:11">
      <c r="E159" s="1"/>
      <c r="F159" s="1"/>
      <c r="G159" s="1"/>
      <c r="H159" s="1"/>
      <c r="I159" s="1"/>
      <c r="J159" s="1"/>
      <c r="K159" s="1"/>
    </row>
    <row r="160" spans="5:11">
      <c r="E160" s="1"/>
      <c r="F160" s="1"/>
      <c r="G160" s="1"/>
      <c r="H160" s="1"/>
      <c r="I160" s="1"/>
      <c r="J160" s="1"/>
      <c r="K160" s="1"/>
    </row>
    <row r="161" spans="5:11">
      <c r="E161" s="1"/>
      <c r="F161" s="1"/>
      <c r="G161" s="1"/>
      <c r="H161" s="1"/>
      <c r="I161" s="1"/>
      <c r="J161" s="1"/>
      <c r="K161" s="1"/>
    </row>
    <row r="162" spans="5:11">
      <c r="E162" s="1"/>
      <c r="F162" s="1"/>
      <c r="G162" s="1"/>
      <c r="H162" s="1"/>
      <c r="I162" s="1"/>
      <c r="J162" s="1"/>
      <c r="K162" s="1"/>
    </row>
    <row r="163" spans="5:11">
      <c r="E163" s="1"/>
      <c r="F163" s="1"/>
      <c r="G163" s="1"/>
      <c r="H163" s="1"/>
      <c r="I163" s="1"/>
      <c r="J163" s="1"/>
      <c r="K163" s="1"/>
    </row>
    <row r="164" spans="5:11">
      <c r="E164" s="1"/>
      <c r="F164" s="1"/>
      <c r="G164" s="1"/>
      <c r="H164" s="1"/>
      <c r="I164" s="1"/>
      <c r="J164" s="1"/>
      <c r="K164" s="1"/>
    </row>
    <row r="165" spans="5:11">
      <c r="E165" s="1"/>
      <c r="F165" s="1"/>
      <c r="G165" s="1"/>
      <c r="H165" s="1"/>
      <c r="I165" s="1"/>
      <c r="J165" s="1"/>
      <c r="K165" s="1"/>
    </row>
    <row r="166" spans="5:11">
      <c r="E166" s="1"/>
      <c r="F166" s="1"/>
      <c r="G166" s="1"/>
      <c r="H166" s="1"/>
      <c r="I166" s="1"/>
      <c r="J166" s="1"/>
      <c r="K166" s="1"/>
    </row>
    <row r="167" spans="5:11">
      <c r="E167" s="1"/>
      <c r="F167" s="1"/>
      <c r="G167" s="1"/>
      <c r="H167" s="1"/>
      <c r="I167" s="1"/>
      <c r="J167" s="1"/>
      <c r="K167" s="1"/>
    </row>
    <row r="168" spans="5:11">
      <c r="E168" s="1"/>
      <c r="F168" s="1"/>
      <c r="G168" s="1"/>
      <c r="H168" s="1"/>
      <c r="I168" s="1"/>
      <c r="J168" s="1"/>
      <c r="K168" s="1"/>
    </row>
    <row r="169" spans="5:11">
      <c r="E169" s="1"/>
      <c r="F169" s="1"/>
      <c r="G169" s="1"/>
      <c r="H169" s="1"/>
      <c r="I169" s="1"/>
      <c r="J169" s="1"/>
      <c r="K169" s="1"/>
    </row>
    <row r="170" spans="5:11">
      <c r="E170" s="1"/>
      <c r="F170" s="1"/>
      <c r="G170" s="1"/>
      <c r="H170" s="1"/>
      <c r="I170" s="1"/>
      <c r="J170" s="1"/>
      <c r="K170" s="1"/>
    </row>
    <row r="171" spans="5:11">
      <c r="E171" s="1"/>
      <c r="F171" s="1"/>
      <c r="G171" s="1"/>
      <c r="H171" s="1"/>
      <c r="I171" s="1"/>
      <c r="J171" s="1"/>
      <c r="K171" s="1"/>
    </row>
    <row r="172" spans="5:11">
      <c r="E172" s="1"/>
      <c r="F172" s="1"/>
      <c r="G172" s="1"/>
      <c r="H172" s="1"/>
      <c r="I172" s="1"/>
      <c r="J172" s="1"/>
      <c r="K172" s="1"/>
    </row>
    <row r="173" spans="5:11">
      <c r="E173" s="1"/>
      <c r="F173" s="1"/>
      <c r="G173" s="1"/>
      <c r="H173" s="1"/>
      <c r="I173" s="1"/>
      <c r="J173" s="1"/>
      <c r="K173" s="1"/>
    </row>
    <row r="174" spans="5:11">
      <c r="E174" s="1"/>
      <c r="F174" s="1"/>
      <c r="G174" s="1"/>
      <c r="H174" s="1"/>
      <c r="I174" s="1"/>
      <c r="J174" s="1"/>
      <c r="K174" s="1"/>
    </row>
    <row r="175" spans="5:11">
      <c r="E175" s="1"/>
      <c r="F175" s="1"/>
      <c r="G175" s="1"/>
      <c r="H175" s="1"/>
      <c r="I175" s="1"/>
      <c r="J175" s="1"/>
      <c r="K175" s="1"/>
    </row>
    <row r="176" spans="5:11">
      <c r="E176" s="1"/>
      <c r="F176" s="1"/>
      <c r="G176" s="1"/>
      <c r="H176" s="1"/>
      <c r="I176" s="1"/>
      <c r="J176" s="1"/>
      <c r="K176" s="1"/>
    </row>
    <row r="177" spans="5:11">
      <c r="E177" s="1"/>
      <c r="F177" s="1"/>
      <c r="G177" s="1"/>
      <c r="H177" s="1"/>
      <c r="I177" s="1"/>
      <c r="J177" s="1"/>
      <c r="K177" s="1"/>
    </row>
    <row r="178" spans="5:11">
      <c r="E178" s="1"/>
      <c r="F178" s="1"/>
      <c r="G178" s="1"/>
      <c r="H178" s="1"/>
      <c r="I178" s="1"/>
      <c r="J178" s="1"/>
      <c r="K178" s="1"/>
    </row>
    <row r="179" spans="5:11">
      <c r="E179" s="1"/>
      <c r="F179" s="1"/>
      <c r="G179" s="1"/>
      <c r="H179" s="1"/>
      <c r="I179" s="1"/>
      <c r="J179" s="1"/>
      <c r="K179" s="1"/>
    </row>
    <row r="180" spans="5:11">
      <c r="E180" s="1"/>
      <c r="F180" s="1"/>
      <c r="G180" s="1"/>
      <c r="H180" s="1"/>
      <c r="I180" s="1"/>
      <c r="J180" s="1"/>
      <c r="K180" s="1"/>
    </row>
    <row r="181" spans="5:11">
      <c r="E181" s="1"/>
      <c r="F181" s="1"/>
      <c r="G181" s="1"/>
      <c r="H181" s="1"/>
      <c r="I181" s="1"/>
      <c r="J181" s="1"/>
      <c r="K181" s="1"/>
    </row>
    <row r="182" spans="5:11">
      <c r="E182" s="1"/>
      <c r="F182" s="1"/>
      <c r="G182" s="1"/>
      <c r="H182" s="1"/>
      <c r="I182" s="1"/>
      <c r="J182" s="1"/>
      <c r="K182" s="1"/>
    </row>
    <row r="183" spans="5:11">
      <c r="E183" s="1"/>
      <c r="F183" s="1"/>
      <c r="G183" s="1"/>
      <c r="H183" s="1"/>
      <c r="I183" s="1"/>
      <c r="J183" s="1"/>
      <c r="K183" s="1"/>
    </row>
    <row r="184" spans="5:11">
      <c r="E184" s="1"/>
      <c r="F184" s="1"/>
      <c r="G184" s="1"/>
      <c r="H184" s="1"/>
      <c r="I184" s="1"/>
      <c r="J184" s="1"/>
      <c r="K184" s="1"/>
    </row>
    <row r="185" spans="5:11">
      <c r="E185" s="1"/>
      <c r="F185" s="1"/>
      <c r="G185" s="1"/>
      <c r="H185" s="1"/>
      <c r="I185" s="1"/>
      <c r="J185" s="1"/>
      <c r="K185" s="1"/>
    </row>
    <row r="186" spans="5:11">
      <c r="E186" s="1"/>
      <c r="F186" s="1"/>
      <c r="G186" s="1"/>
      <c r="H186" s="1"/>
      <c r="I186" s="1"/>
      <c r="J186" s="1"/>
      <c r="K186" s="1"/>
    </row>
    <row r="187" spans="5:11">
      <c r="E187" s="1"/>
      <c r="F187" s="1"/>
      <c r="G187" s="1"/>
      <c r="H187" s="1"/>
      <c r="I187" s="1"/>
      <c r="J187" s="1"/>
      <c r="K187" s="1"/>
    </row>
    <row r="188" spans="5:11">
      <c r="E188" s="1"/>
      <c r="F188" s="1"/>
      <c r="G188" s="1"/>
      <c r="H188" s="1"/>
      <c r="I188" s="1"/>
      <c r="J188" s="1"/>
      <c r="K188" s="1"/>
    </row>
    <row r="189" spans="5:11">
      <c r="E189" s="1"/>
      <c r="F189" s="1"/>
      <c r="G189" s="1"/>
      <c r="H189" s="1"/>
      <c r="I189" s="1"/>
      <c r="J189" s="1"/>
      <c r="K189" s="1"/>
    </row>
    <row r="190" spans="5:11">
      <c r="E190" s="1"/>
      <c r="F190" s="1"/>
      <c r="G190" s="1"/>
      <c r="H190" s="1"/>
      <c r="I190" s="1"/>
      <c r="J190" s="1"/>
      <c r="K190" s="1"/>
    </row>
    <row r="191" spans="5:11">
      <c r="E191" s="1"/>
      <c r="F191" s="1"/>
      <c r="G191" s="1"/>
      <c r="H191" s="1"/>
      <c r="I191" s="1"/>
      <c r="J191" s="1"/>
      <c r="K191" s="1"/>
    </row>
    <row r="192" spans="5:11">
      <c r="E192" s="1"/>
      <c r="F192" s="1"/>
      <c r="G192" s="1"/>
      <c r="H192" s="1"/>
      <c r="I192" s="1"/>
      <c r="J192" s="1"/>
      <c r="K192" s="1"/>
    </row>
    <row r="193" spans="5:11">
      <c r="E193" s="1"/>
      <c r="F193" s="1"/>
      <c r="G193" s="1"/>
      <c r="H193" s="1"/>
      <c r="I193" s="1"/>
      <c r="J193" s="1"/>
      <c r="K193" s="1"/>
    </row>
    <row r="194" spans="5:11">
      <c r="E194" s="1"/>
      <c r="F194" s="1"/>
      <c r="G194" s="1"/>
      <c r="H194" s="1"/>
      <c r="I194" s="1"/>
      <c r="J194" s="1"/>
      <c r="K194" s="1"/>
    </row>
    <row r="195" spans="5:11">
      <c r="E195" s="1"/>
      <c r="F195" s="1"/>
      <c r="G195" s="1"/>
      <c r="H195" s="1"/>
      <c r="I195" s="1"/>
      <c r="J195" s="1"/>
      <c r="K195" s="1"/>
    </row>
    <row r="196" spans="5:11">
      <c r="E196" s="1"/>
      <c r="F196" s="1"/>
      <c r="G196" s="1"/>
      <c r="H196" s="1"/>
      <c r="I196" s="1"/>
      <c r="J196" s="1"/>
      <c r="K196" s="1"/>
    </row>
    <row r="197" spans="5:11">
      <c r="E197" s="1"/>
      <c r="F197" s="1"/>
      <c r="G197" s="1"/>
      <c r="H197" s="1"/>
      <c r="I197" s="1"/>
      <c r="J197" s="1"/>
      <c r="K197" s="1"/>
    </row>
    <row r="198" spans="5:11">
      <c r="E198" s="1"/>
      <c r="F198" s="1"/>
      <c r="G198" s="1"/>
      <c r="H198" s="1"/>
      <c r="I198" s="1"/>
      <c r="J198" s="1"/>
      <c r="K198" s="1"/>
    </row>
    <row r="199" spans="5:11">
      <c r="E199" s="1"/>
      <c r="F199" s="1"/>
      <c r="G199" s="1"/>
      <c r="H199" s="1"/>
      <c r="I199" s="1"/>
      <c r="J199" s="1"/>
      <c r="K199" s="1"/>
    </row>
    <row r="200" spans="5:11">
      <c r="E200" s="1"/>
      <c r="F200" s="1"/>
      <c r="G200" s="1"/>
      <c r="H200" s="1"/>
      <c r="I200" s="1"/>
      <c r="J200" s="1"/>
      <c r="K200" s="1"/>
    </row>
    <row r="201" spans="5:11">
      <c r="E201" s="1"/>
      <c r="F201" s="1"/>
      <c r="G201" s="1"/>
      <c r="H201" s="1"/>
      <c r="I201" s="1"/>
      <c r="J201" s="1"/>
      <c r="K201" s="1"/>
    </row>
    <row r="202" spans="5:11">
      <c r="E202" s="1"/>
      <c r="F202" s="1"/>
      <c r="G202" s="1"/>
      <c r="H202" s="1"/>
      <c r="I202" s="1"/>
      <c r="J202" s="1"/>
      <c r="K202" s="1"/>
    </row>
    <row r="203" spans="5:11">
      <c r="E203" s="1"/>
      <c r="F203" s="1"/>
      <c r="G203" s="1"/>
      <c r="H203" s="1"/>
      <c r="I203" s="1"/>
      <c r="J203" s="1"/>
      <c r="K203" s="1"/>
    </row>
    <row r="204" spans="5:11">
      <c r="E204" s="1"/>
      <c r="F204" s="1"/>
      <c r="G204" s="1"/>
      <c r="H204" s="1"/>
      <c r="I204" s="1"/>
      <c r="J204" s="1"/>
      <c r="K204" s="1"/>
    </row>
    <row r="205" spans="5:11">
      <c r="E205" s="1"/>
      <c r="F205" s="1"/>
      <c r="G205" s="1"/>
      <c r="H205" s="1"/>
      <c r="I205" s="1"/>
      <c r="J205" s="1"/>
      <c r="K205" s="1"/>
    </row>
    <row r="206" spans="5:11">
      <c r="E206" s="1"/>
      <c r="F206" s="1"/>
      <c r="G206" s="1"/>
      <c r="H206" s="1"/>
      <c r="I206" s="1"/>
      <c r="J206" s="1"/>
      <c r="K206" s="1"/>
    </row>
    <row r="207" spans="5:11">
      <c r="E207" s="1"/>
      <c r="F207" s="1"/>
      <c r="G207" s="1"/>
      <c r="H207" s="1"/>
      <c r="I207" s="1"/>
      <c r="J207" s="1"/>
      <c r="K207" s="1"/>
    </row>
    <row r="208" spans="5:11">
      <c r="E208" s="1"/>
      <c r="F208" s="1"/>
      <c r="G208" s="1"/>
      <c r="H208" s="1"/>
      <c r="I208" s="1"/>
      <c r="J208" s="1"/>
      <c r="K208" s="1"/>
    </row>
    <row r="209" spans="5:11">
      <c r="E209" s="1"/>
      <c r="F209" s="1"/>
      <c r="G209" s="1"/>
      <c r="H209" s="1"/>
      <c r="I209" s="1"/>
      <c r="J209" s="1"/>
      <c r="K209" s="1"/>
    </row>
    <row r="210" spans="5:11">
      <c r="E210" s="1"/>
      <c r="F210" s="1"/>
      <c r="G210" s="1"/>
      <c r="H210" s="1"/>
      <c r="I210" s="1"/>
      <c r="J210" s="1"/>
      <c r="K210" s="1"/>
    </row>
    <row r="211" spans="5:11">
      <c r="E211" s="1"/>
      <c r="F211" s="1"/>
      <c r="G211" s="1"/>
      <c r="H211" s="1"/>
      <c r="I211" s="1"/>
      <c r="J211" s="1"/>
      <c r="K211" s="1"/>
    </row>
    <row r="212" spans="5:11">
      <c r="E212" s="1"/>
      <c r="F212" s="1"/>
      <c r="G212" s="1"/>
      <c r="H212" s="1"/>
      <c r="I212" s="1"/>
      <c r="J212" s="1"/>
      <c r="K212" s="1"/>
    </row>
    <row r="213" spans="5:11">
      <c r="E213" s="1"/>
      <c r="F213" s="1"/>
      <c r="G213" s="1"/>
      <c r="H213" s="1"/>
      <c r="I213" s="1"/>
      <c r="J213" s="1"/>
      <c r="K213" s="1"/>
    </row>
    <row r="214" spans="5:11">
      <c r="E214" s="1"/>
      <c r="F214" s="1"/>
      <c r="G214" s="1"/>
      <c r="H214" s="1"/>
      <c r="I214" s="1"/>
      <c r="J214" s="1"/>
      <c r="K214" s="1"/>
    </row>
    <row r="215" spans="5:11">
      <c r="E215" s="1"/>
      <c r="F215" s="1"/>
      <c r="G215" s="1"/>
      <c r="H215" s="1"/>
      <c r="I215" s="1"/>
      <c r="J215" s="1"/>
      <c r="K215" s="1"/>
    </row>
    <row r="216" spans="5:11">
      <c r="E216" s="1"/>
      <c r="F216" s="1"/>
      <c r="G216" s="1"/>
      <c r="H216" s="1"/>
      <c r="I216" s="1"/>
      <c r="J216" s="1"/>
      <c r="K216" s="1"/>
    </row>
    <row r="217" spans="5:11">
      <c r="E217" s="1"/>
      <c r="F217" s="1"/>
      <c r="G217" s="1"/>
      <c r="H217" s="1"/>
      <c r="I217" s="1"/>
      <c r="J217" s="1"/>
      <c r="K217" s="1"/>
    </row>
    <row r="218" spans="5:11">
      <c r="E218" s="1"/>
      <c r="F218" s="1"/>
      <c r="G218" s="1"/>
      <c r="H218" s="1"/>
      <c r="I218" s="1"/>
      <c r="J218" s="1"/>
      <c r="K218" s="1"/>
    </row>
    <row r="219" spans="5:11">
      <c r="E219" s="1"/>
      <c r="F219" s="1"/>
      <c r="G219" s="1"/>
      <c r="H219" s="1"/>
      <c r="I219" s="1"/>
      <c r="J219" s="1"/>
      <c r="K219" s="1"/>
    </row>
    <row r="220" spans="5:11">
      <c r="E220" s="1"/>
      <c r="F220" s="1"/>
      <c r="G220" s="1"/>
      <c r="H220" s="1"/>
      <c r="I220" s="1"/>
      <c r="J220" s="1"/>
      <c r="K220" s="1"/>
    </row>
    <row r="221" spans="5:11">
      <c r="E221" s="1"/>
      <c r="F221" s="1"/>
      <c r="G221" s="1"/>
      <c r="H221" s="1"/>
      <c r="I221" s="1"/>
      <c r="J221" s="1"/>
      <c r="K221" s="1"/>
    </row>
    <row r="222" spans="5:11">
      <c r="E222" s="1"/>
      <c r="F222" s="1"/>
      <c r="G222" s="1"/>
      <c r="H222" s="1"/>
      <c r="I222" s="1"/>
      <c r="J222" s="1"/>
      <c r="K222" s="1"/>
    </row>
    <row r="223" spans="5:11">
      <c r="E223" s="1"/>
      <c r="F223" s="1"/>
      <c r="G223" s="1"/>
      <c r="H223" s="1"/>
      <c r="I223" s="1"/>
      <c r="J223" s="1"/>
      <c r="K223" s="1"/>
    </row>
    <row r="224" spans="5:11">
      <c r="E224" s="1"/>
      <c r="F224" s="1"/>
      <c r="G224" s="1"/>
      <c r="H224" s="1"/>
      <c r="I224" s="1"/>
      <c r="J224" s="1"/>
      <c r="K224" s="1"/>
    </row>
    <row r="225" spans="5:11">
      <c r="E225" s="1"/>
      <c r="F225" s="1"/>
      <c r="G225" s="1"/>
      <c r="H225" s="1"/>
      <c r="I225" s="1"/>
      <c r="J225" s="1"/>
      <c r="K225" s="1"/>
    </row>
    <row r="226" spans="5:11">
      <c r="E226" s="1"/>
      <c r="F226" s="1"/>
      <c r="G226" s="1"/>
      <c r="H226" s="1"/>
      <c r="I226" s="1"/>
      <c r="J226" s="1"/>
      <c r="K226" s="1"/>
    </row>
    <row r="227" spans="5:11">
      <c r="E227" s="1"/>
      <c r="F227" s="1"/>
      <c r="G227" s="1"/>
      <c r="H227" s="1"/>
      <c r="I227" s="1"/>
      <c r="J227" s="1"/>
      <c r="K227" s="1"/>
    </row>
    <row r="228" spans="5:11">
      <c r="E228" s="1"/>
      <c r="F228" s="1"/>
      <c r="G228" s="1"/>
      <c r="H228" s="1"/>
      <c r="I228" s="1"/>
      <c r="J228" s="1"/>
      <c r="K228" s="1"/>
    </row>
    <row r="229" spans="5:11">
      <c r="E229" s="1"/>
      <c r="F229" s="1"/>
      <c r="G229" s="1"/>
      <c r="H229" s="1"/>
      <c r="I229" s="1"/>
      <c r="J229" s="1"/>
      <c r="K229" s="1"/>
    </row>
    <row r="230" spans="5:11">
      <c r="E230" s="1"/>
      <c r="F230" s="1"/>
      <c r="G230" s="1"/>
      <c r="H230" s="1"/>
      <c r="I230" s="1"/>
      <c r="J230" s="1"/>
      <c r="K230" s="1"/>
    </row>
    <row r="231" spans="5:11">
      <c r="E231" s="1"/>
      <c r="F231" s="1"/>
      <c r="G231" s="1"/>
      <c r="H231" s="1"/>
      <c r="I231" s="1"/>
      <c r="J231" s="1"/>
      <c r="K231" s="1"/>
    </row>
    <row r="232" spans="5:11">
      <c r="E232" s="1"/>
      <c r="F232" s="1"/>
      <c r="G232" s="1"/>
      <c r="H232" s="1"/>
      <c r="I232" s="1"/>
      <c r="J232" s="1"/>
      <c r="K232" s="1"/>
    </row>
    <row r="233" spans="5:11">
      <c r="E233" s="1"/>
      <c r="F233" s="1"/>
      <c r="G233" s="1"/>
      <c r="H233" s="1"/>
      <c r="I233" s="1"/>
      <c r="J233" s="1"/>
      <c r="K233" s="1"/>
    </row>
    <row r="234" spans="5:11">
      <c r="E234" s="1"/>
      <c r="F234" s="1"/>
      <c r="G234" s="1"/>
      <c r="H234" s="1"/>
      <c r="I234" s="1"/>
      <c r="J234" s="1"/>
      <c r="K234" s="1"/>
    </row>
    <row r="235" spans="5:11">
      <c r="E235" s="1"/>
      <c r="F235" s="1"/>
      <c r="G235" s="1"/>
      <c r="H235" s="1"/>
      <c r="I235" s="1"/>
      <c r="J235" s="1"/>
      <c r="K235" s="1"/>
    </row>
    <row r="236" spans="5:11">
      <c r="E236" s="1"/>
      <c r="F236" s="1"/>
      <c r="G236" s="1"/>
      <c r="H236" s="1"/>
      <c r="I236" s="1"/>
      <c r="J236" s="1"/>
      <c r="K236" s="1"/>
    </row>
    <row r="237" spans="5:11">
      <c r="E237" s="1"/>
      <c r="F237" s="1"/>
      <c r="G237" s="1"/>
      <c r="H237" s="1"/>
      <c r="I237" s="1"/>
      <c r="J237" s="1"/>
      <c r="K237" s="1"/>
    </row>
    <row r="238" spans="5:11">
      <c r="E238" s="1"/>
      <c r="F238" s="1"/>
      <c r="G238" s="1"/>
      <c r="H238" s="1"/>
      <c r="I238" s="1"/>
      <c r="J238" s="1"/>
      <c r="K238" s="1"/>
    </row>
    <row r="239" spans="5:11">
      <c r="E239" s="1"/>
      <c r="F239" s="1"/>
      <c r="G239" s="1"/>
      <c r="H239" s="1"/>
      <c r="I239" s="1"/>
      <c r="J239" s="1"/>
      <c r="K239" s="1"/>
    </row>
    <row r="240" spans="5:11">
      <c r="E240" s="1"/>
      <c r="F240" s="1"/>
      <c r="G240" s="1"/>
      <c r="H240" s="1"/>
      <c r="I240" s="1"/>
      <c r="J240" s="1"/>
      <c r="K240" s="1"/>
    </row>
    <row r="241" spans="5:11">
      <c r="E241" s="1"/>
      <c r="F241" s="1"/>
      <c r="G241" s="1"/>
      <c r="H241" s="1"/>
      <c r="I241" s="1"/>
      <c r="J241" s="1"/>
      <c r="K241" s="1"/>
    </row>
    <row r="242" spans="5:11">
      <c r="E242" s="1"/>
      <c r="F242" s="1"/>
      <c r="G242" s="1"/>
      <c r="H242" s="1"/>
      <c r="I242" s="1"/>
      <c r="J242" s="1"/>
      <c r="K242" s="1"/>
    </row>
    <row r="243" spans="5:11">
      <c r="E243" s="1"/>
      <c r="F243" s="1"/>
      <c r="G243" s="1"/>
      <c r="H243" s="1"/>
      <c r="I243" s="1"/>
      <c r="J243" s="1"/>
      <c r="K243" s="1"/>
    </row>
    <row r="244" spans="5:11">
      <c r="E244" s="1"/>
      <c r="F244" s="1"/>
      <c r="G244" s="1"/>
      <c r="H244" s="1"/>
      <c r="I244" s="1"/>
      <c r="J244" s="1"/>
      <c r="K244" s="1"/>
    </row>
    <row r="245" spans="5:11">
      <c r="E245" s="1"/>
      <c r="F245" s="1"/>
      <c r="G245" s="1"/>
      <c r="H245" s="1"/>
      <c r="I245" s="1"/>
      <c r="J245" s="1"/>
      <c r="K245" s="1"/>
    </row>
    <row r="246" spans="5:11">
      <c r="E246" s="1"/>
      <c r="F246" s="1"/>
      <c r="G246" s="1"/>
      <c r="H246" s="1"/>
      <c r="I246" s="1"/>
      <c r="J246" s="1"/>
      <c r="K246" s="1"/>
    </row>
    <row r="247" spans="5:11">
      <c r="E247" s="1"/>
      <c r="F247" s="1"/>
      <c r="G247" s="1"/>
      <c r="H247" s="1"/>
      <c r="I247" s="1"/>
      <c r="J247" s="1"/>
      <c r="K247" s="1"/>
    </row>
    <row r="248" spans="5:11">
      <c r="E248" s="1"/>
      <c r="F248" s="1"/>
      <c r="G248" s="1"/>
      <c r="H248" s="1"/>
      <c r="I248" s="1"/>
      <c r="J248" s="1"/>
      <c r="K248" s="1"/>
    </row>
    <row r="249" spans="5:11">
      <c r="E249" s="1"/>
      <c r="F249" s="1"/>
      <c r="G249" s="1"/>
      <c r="H249" s="1"/>
      <c r="I249" s="1"/>
      <c r="J249" s="1"/>
      <c r="K249" s="1"/>
    </row>
    <row r="250" spans="5:11">
      <c r="E250" s="1"/>
      <c r="F250" s="1"/>
      <c r="G250" s="1"/>
      <c r="H250" s="1"/>
      <c r="I250" s="1"/>
      <c r="J250" s="1"/>
      <c r="K250" s="1"/>
    </row>
    <row r="251" spans="5:11">
      <c r="E251" s="1"/>
      <c r="F251" s="1"/>
      <c r="G251" s="1"/>
      <c r="H251" s="1"/>
      <c r="I251" s="1"/>
      <c r="J251" s="1"/>
      <c r="K251" s="1"/>
    </row>
    <row r="252" spans="5:11">
      <c r="E252" s="1"/>
      <c r="F252" s="1"/>
      <c r="G252" s="1"/>
      <c r="H252" s="1"/>
      <c r="I252" s="1"/>
      <c r="J252" s="1"/>
      <c r="K252" s="1"/>
    </row>
    <row r="253" spans="5:11">
      <c r="E253" s="1"/>
      <c r="F253" s="1"/>
      <c r="G253" s="1"/>
      <c r="H253" s="1"/>
      <c r="I253" s="1"/>
      <c r="J253" s="1"/>
      <c r="K253" s="1"/>
    </row>
    <row r="254" spans="5:11">
      <c r="E254" s="1"/>
      <c r="F254" s="1"/>
      <c r="G254" s="1"/>
      <c r="H254" s="1"/>
      <c r="I254" s="1"/>
      <c r="J254" s="1"/>
      <c r="K254" s="1"/>
    </row>
    <row r="255" spans="5:11">
      <c r="E255" s="1"/>
      <c r="F255" s="1"/>
      <c r="G255" s="1"/>
      <c r="H255" s="1"/>
      <c r="I255" s="1"/>
      <c r="J255" s="1"/>
      <c r="K255" s="1"/>
    </row>
    <row r="256" spans="5:11">
      <c r="E256" s="1"/>
      <c r="F256" s="1"/>
      <c r="G256" s="1"/>
      <c r="H256" s="1"/>
      <c r="I256" s="1"/>
      <c r="J256" s="1"/>
      <c r="K256" s="1"/>
    </row>
    <row r="257" spans="5:11">
      <c r="E257" s="1"/>
      <c r="F257" s="1"/>
      <c r="G257" s="1"/>
      <c r="H257" s="1"/>
      <c r="I257" s="1"/>
      <c r="J257" s="1"/>
      <c r="K257" s="1"/>
    </row>
    <row r="258" spans="5:11">
      <c r="E258" s="1"/>
      <c r="F258" s="1"/>
      <c r="G258" s="1"/>
      <c r="H258" s="1"/>
      <c r="I258" s="1"/>
      <c r="J258" s="1"/>
      <c r="K258" s="1"/>
    </row>
    <row r="259" spans="5:11">
      <c r="E259" s="1"/>
      <c r="F259" s="1"/>
      <c r="G259" s="1"/>
      <c r="H259" s="1"/>
      <c r="I259" s="1"/>
      <c r="J259" s="1"/>
      <c r="K259" s="1"/>
    </row>
    <row r="260" spans="5:11">
      <c r="E260" s="1"/>
      <c r="F260" s="1"/>
      <c r="G260" s="1"/>
      <c r="H260" s="1"/>
      <c r="I260" s="1"/>
      <c r="J260" s="1"/>
      <c r="K260" s="1"/>
    </row>
    <row r="261" spans="5:11">
      <c r="E261" s="1"/>
      <c r="F261" s="1"/>
      <c r="G261" s="1"/>
      <c r="H261" s="1"/>
      <c r="I261" s="1"/>
      <c r="J261" s="1"/>
      <c r="K261" s="1"/>
    </row>
    <row r="262" spans="5:11">
      <c r="E262" s="1"/>
      <c r="F262" s="1"/>
      <c r="G262" s="1"/>
      <c r="H262" s="1"/>
      <c r="I262" s="1"/>
      <c r="J262" s="1"/>
      <c r="K262" s="1"/>
    </row>
    <row r="263" spans="5:11">
      <c r="E263" s="1"/>
      <c r="F263" s="1"/>
      <c r="G263" s="1"/>
      <c r="H263" s="1"/>
      <c r="I263" s="1"/>
      <c r="J263" s="1"/>
      <c r="K263" s="1"/>
    </row>
    <row r="264" spans="5:11">
      <c r="E264" s="1"/>
      <c r="F264" s="1"/>
      <c r="G264" s="1"/>
      <c r="H264" s="1"/>
      <c r="I264" s="1"/>
      <c r="J264" s="1"/>
      <c r="K264" s="1"/>
    </row>
    <row r="265" spans="5:11">
      <c r="E265" s="1"/>
      <c r="F265" s="1"/>
      <c r="G265" s="1"/>
      <c r="H265" s="1"/>
      <c r="I265" s="1"/>
      <c r="J265" s="1"/>
      <c r="K265" s="1"/>
    </row>
    <row r="266" spans="5:11">
      <c r="E266" s="1"/>
      <c r="F266" s="1"/>
      <c r="G266" s="1"/>
      <c r="H266" s="1"/>
      <c r="I266" s="1"/>
      <c r="J266" s="1"/>
      <c r="K266" s="1"/>
    </row>
    <row r="267" spans="5:11">
      <c r="E267" s="1"/>
      <c r="F267" s="1"/>
      <c r="G267" s="1"/>
      <c r="H267" s="1"/>
      <c r="I267" s="1"/>
      <c r="J267" s="1"/>
      <c r="K267" s="1"/>
    </row>
    <row r="268" spans="5:11">
      <c r="E268" s="1"/>
      <c r="F268" s="1"/>
      <c r="G268" s="1"/>
      <c r="H268" s="1"/>
      <c r="I268" s="1"/>
      <c r="J268" s="1"/>
      <c r="K268" s="1"/>
    </row>
    <row r="269" spans="5:11">
      <c r="E269" s="1"/>
      <c r="F269" s="1"/>
      <c r="G269" s="1"/>
      <c r="H269" s="1"/>
      <c r="I269" s="1"/>
      <c r="J269" s="1"/>
      <c r="K269" s="1"/>
    </row>
    <row r="270" spans="5:11">
      <c r="E270" s="1"/>
      <c r="F270" s="1"/>
      <c r="G270" s="1"/>
      <c r="H270" s="1"/>
      <c r="I270" s="1"/>
      <c r="J270" s="1"/>
      <c r="K270" s="1"/>
    </row>
    <row r="271" spans="5:11">
      <c r="E271" s="1"/>
      <c r="F271" s="1"/>
      <c r="G271" s="1"/>
      <c r="H271" s="1"/>
      <c r="I271" s="1"/>
      <c r="J271" s="1"/>
      <c r="K271" s="1"/>
    </row>
    <row r="272" spans="5:11">
      <c r="E272" s="1"/>
      <c r="F272" s="1"/>
      <c r="G272" s="1"/>
      <c r="H272" s="1"/>
      <c r="I272" s="1"/>
      <c r="J272" s="1"/>
      <c r="K272" s="1"/>
    </row>
    <row r="273" spans="5:11">
      <c r="E273" s="1"/>
      <c r="F273" s="1"/>
      <c r="G273" s="1"/>
      <c r="H273" s="1"/>
      <c r="I273" s="1"/>
      <c r="J273" s="1"/>
      <c r="K273" s="1"/>
    </row>
    <row r="274" spans="5:11">
      <c r="E274" s="1"/>
      <c r="F274" s="1"/>
      <c r="G274" s="1"/>
      <c r="H274" s="1"/>
      <c r="I274" s="1"/>
      <c r="J274" s="1"/>
      <c r="K274" s="1"/>
    </row>
    <row r="275" spans="5:11">
      <c r="E275" s="1"/>
      <c r="F275" s="1"/>
      <c r="G275" s="1"/>
      <c r="H275" s="1"/>
      <c r="I275" s="1"/>
      <c r="J275" s="1"/>
      <c r="K275" s="1"/>
    </row>
    <row r="276" spans="5:11">
      <c r="E276" s="1"/>
      <c r="F276" s="1"/>
      <c r="G276" s="1"/>
      <c r="H276" s="1"/>
      <c r="I276" s="1"/>
      <c r="J276" s="1"/>
      <c r="K276" s="1"/>
    </row>
    <row r="277" spans="5:11">
      <c r="E277" s="1"/>
      <c r="F277" s="1"/>
      <c r="G277" s="1"/>
      <c r="H277" s="1"/>
      <c r="I277" s="1"/>
      <c r="J277" s="1"/>
      <c r="K277" s="1"/>
    </row>
    <row r="278" spans="5:11">
      <c r="E278" s="1"/>
      <c r="F278" s="1"/>
      <c r="G278" s="1"/>
      <c r="H278" s="1"/>
      <c r="I278" s="1"/>
      <c r="J278" s="1"/>
      <c r="K278" s="1"/>
    </row>
    <row r="279" spans="5:11">
      <c r="E279" s="1"/>
      <c r="F279" s="1"/>
      <c r="G279" s="1"/>
      <c r="H279" s="1"/>
      <c r="I279" s="1"/>
      <c r="J279" s="1"/>
      <c r="K279" s="1"/>
    </row>
    <row r="280" spans="5:11">
      <c r="E280" s="1"/>
      <c r="F280" s="1"/>
      <c r="G280" s="1"/>
      <c r="H280" s="1"/>
      <c r="I280" s="1"/>
      <c r="J280" s="1"/>
      <c r="K280" s="1"/>
    </row>
    <row r="281" spans="5:11">
      <c r="E281" s="1"/>
      <c r="F281" s="1"/>
      <c r="G281" s="1"/>
      <c r="H281" s="1"/>
      <c r="I281" s="1"/>
      <c r="J281" s="1"/>
      <c r="K281" s="1"/>
    </row>
    <row r="282" spans="5:11">
      <c r="E282" s="1"/>
      <c r="F282" s="1"/>
      <c r="G282" s="1"/>
      <c r="H282" s="1"/>
      <c r="I282" s="1"/>
      <c r="J282" s="1"/>
      <c r="K282" s="1"/>
    </row>
    <row r="283" spans="5:11">
      <c r="E283" s="1"/>
      <c r="F283" s="1"/>
      <c r="G283" s="1"/>
      <c r="H283" s="1"/>
      <c r="I283" s="1"/>
      <c r="J283" s="1"/>
      <c r="K283" s="1"/>
    </row>
    <row r="284" spans="5:11">
      <c r="E284" s="1"/>
      <c r="F284" s="1"/>
      <c r="G284" s="1"/>
      <c r="H284" s="1"/>
      <c r="I284" s="1"/>
      <c r="J284" s="1"/>
      <c r="K284" s="1"/>
    </row>
    <row r="285" spans="5:11">
      <c r="E285" s="1"/>
      <c r="F285" s="1"/>
      <c r="G285" s="1"/>
      <c r="H285" s="1"/>
      <c r="I285" s="1"/>
      <c r="J285" s="1"/>
      <c r="K285" s="1"/>
    </row>
    <row r="286" spans="5:11">
      <c r="E286" s="1"/>
      <c r="F286" s="1"/>
      <c r="G286" s="1"/>
      <c r="H286" s="1"/>
      <c r="I286" s="1"/>
      <c r="J286" s="1"/>
      <c r="K286" s="1"/>
    </row>
    <row r="287" spans="5:11">
      <c r="E287" s="1"/>
      <c r="F287" s="1"/>
      <c r="G287" s="1"/>
      <c r="H287" s="1"/>
      <c r="I287" s="1"/>
      <c r="J287" s="1"/>
      <c r="K287" s="1"/>
    </row>
    <row r="288" spans="5:11">
      <c r="E288" s="1"/>
      <c r="F288" s="1"/>
      <c r="G288" s="1"/>
      <c r="H288" s="1"/>
      <c r="I288" s="1"/>
      <c r="J288" s="1"/>
      <c r="K288" s="1"/>
    </row>
    <row r="289" spans="5:11">
      <c r="E289" s="1"/>
      <c r="F289" s="1"/>
      <c r="G289" s="1"/>
      <c r="H289" s="1"/>
      <c r="I289" s="1"/>
      <c r="J289" s="1"/>
      <c r="K289" s="1"/>
    </row>
    <row r="290" spans="5:11">
      <c r="E290" s="1"/>
      <c r="F290" s="1"/>
      <c r="G290" s="1"/>
      <c r="H290" s="1"/>
      <c r="I290" s="1"/>
      <c r="J290" s="1"/>
      <c r="K290" s="1"/>
    </row>
    <row r="291" spans="5:11">
      <c r="E291" s="1"/>
      <c r="F291" s="1"/>
      <c r="G291" s="1"/>
      <c r="H291" s="1"/>
      <c r="I291" s="1"/>
      <c r="J291" s="1"/>
      <c r="K291" s="1"/>
    </row>
    <row r="292" spans="5:11">
      <c r="E292" s="1"/>
      <c r="F292" s="1"/>
      <c r="G292" s="1"/>
      <c r="H292" s="1"/>
      <c r="I292" s="1"/>
      <c r="J292" s="1"/>
      <c r="K292" s="1"/>
    </row>
    <row r="293" spans="5:11">
      <c r="E293" s="1"/>
      <c r="F293" s="1"/>
      <c r="G293" s="1"/>
      <c r="H293" s="1"/>
      <c r="I293" s="1"/>
      <c r="J293" s="1"/>
      <c r="K293" s="1"/>
    </row>
    <row r="294" spans="5:11">
      <c r="E294" s="1"/>
      <c r="F294" s="1"/>
      <c r="G294" s="1"/>
      <c r="H294" s="1"/>
      <c r="I294" s="1"/>
      <c r="J294" s="1"/>
      <c r="K294" s="1"/>
    </row>
    <row r="295" spans="5:11">
      <c r="E295" s="1"/>
      <c r="F295" s="1"/>
      <c r="G295" s="1"/>
      <c r="H295" s="1"/>
      <c r="I295" s="1"/>
      <c r="J295" s="1"/>
      <c r="K295" s="1"/>
    </row>
    <row r="296" spans="5:11">
      <c r="E296" s="1"/>
      <c r="F296" s="1"/>
      <c r="G296" s="1"/>
      <c r="H296" s="1"/>
      <c r="I296" s="1"/>
      <c r="J296" s="1"/>
      <c r="K296" s="1"/>
    </row>
    <row r="297" spans="5:11">
      <c r="E297" s="1"/>
      <c r="F297" s="1"/>
      <c r="G297" s="1"/>
      <c r="H297" s="1"/>
      <c r="I297" s="1"/>
      <c r="J297" s="1"/>
      <c r="K297" s="1"/>
    </row>
    <row r="298" spans="5:11">
      <c r="E298" s="1"/>
      <c r="F298" s="1"/>
      <c r="G298" s="1"/>
      <c r="H298" s="1"/>
      <c r="I298" s="1"/>
      <c r="J298" s="1"/>
      <c r="K298" s="1"/>
    </row>
    <row r="299" spans="5:11">
      <c r="E299" s="1"/>
      <c r="F299" s="1"/>
      <c r="G299" s="1"/>
      <c r="H299" s="1"/>
      <c r="I299" s="1"/>
      <c r="J299" s="1"/>
      <c r="K299" s="1"/>
    </row>
    <row r="300" spans="5:11">
      <c r="E300" s="1"/>
      <c r="F300" s="1"/>
      <c r="G300" s="1"/>
      <c r="H300" s="1"/>
      <c r="I300" s="1"/>
      <c r="J300" s="1"/>
      <c r="K300" s="1"/>
    </row>
    <row r="301" spans="5:11">
      <c r="E301" s="1"/>
      <c r="F301" s="1"/>
      <c r="G301" s="1"/>
      <c r="H301" s="1"/>
      <c r="I301" s="1"/>
      <c r="J301" s="1"/>
      <c r="K301" s="1"/>
    </row>
    <row r="302" spans="5:11">
      <c r="E302" s="1"/>
      <c r="F302" s="1"/>
      <c r="G302" s="1"/>
      <c r="H302" s="1"/>
      <c r="I302" s="1"/>
      <c r="J302" s="1"/>
      <c r="K302" s="1"/>
    </row>
    <row r="303" spans="5:11">
      <c r="E303" s="1"/>
      <c r="F303" s="1"/>
      <c r="G303" s="1"/>
      <c r="H303" s="1"/>
      <c r="I303" s="1"/>
      <c r="J303" s="1"/>
      <c r="K303" s="1"/>
    </row>
    <row r="304" spans="5:11">
      <c r="E304" s="1"/>
      <c r="F304" s="1"/>
      <c r="G304" s="1"/>
      <c r="H304" s="1"/>
      <c r="I304" s="1"/>
      <c r="J304" s="1"/>
      <c r="K304" s="1"/>
    </row>
    <row r="305" spans="5:11">
      <c r="E305" s="1"/>
      <c r="F305" s="1"/>
      <c r="G305" s="1"/>
      <c r="H305" s="1"/>
      <c r="I305" s="1"/>
      <c r="J305" s="1"/>
      <c r="K305" s="1"/>
    </row>
    <row r="306" spans="5:11">
      <c r="E306" s="1"/>
      <c r="F306" s="1"/>
      <c r="G306" s="1"/>
      <c r="H306" s="1"/>
      <c r="I306" s="1"/>
      <c r="J306" s="1"/>
      <c r="K306" s="1"/>
    </row>
    <row r="307" spans="5:11">
      <c r="E307" s="1"/>
      <c r="F307" s="1"/>
      <c r="G307" s="1"/>
      <c r="H307" s="1"/>
      <c r="I307" s="1"/>
      <c r="J307" s="1"/>
      <c r="K307" s="1"/>
    </row>
    <row r="308" spans="5:11">
      <c r="E308" s="1"/>
      <c r="F308" s="1"/>
      <c r="G308" s="1"/>
      <c r="H308" s="1"/>
      <c r="I308" s="1"/>
      <c r="J308" s="1"/>
      <c r="K308" s="1"/>
    </row>
    <row r="309" spans="5:11">
      <c r="E309" s="1"/>
      <c r="F309" s="1"/>
      <c r="G309" s="1"/>
      <c r="H309" s="1"/>
      <c r="I309" s="1"/>
      <c r="J309" s="1"/>
      <c r="K309" s="1"/>
    </row>
    <row r="310" spans="5:11">
      <c r="E310" s="1"/>
      <c r="F310" s="1"/>
      <c r="G310" s="1"/>
      <c r="H310" s="1"/>
      <c r="I310" s="1"/>
      <c r="J310" s="1"/>
      <c r="K310" s="1"/>
    </row>
    <row r="311" spans="5:11">
      <c r="E311" s="1"/>
      <c r="F311" s="1"/>
      <c r="G311" s="1"/>
      <c r="H311" s="1"/>
      <c r="I311" s="1"/>
      <c r="J311" s="1"/>
      <c r="K311" s="1"/>
    </row>
    <row r="312" spans="5:11">
      <c r="E312" s="1"/>
      <c r="F312" s="1"/>
      <c r="G312" s="1"/>
      <c r="H312" s="1"/>
      <c r="I312" s="1"/>
      <c r="J312" s="1"/>
      <c r="K312" s="1"/>
    </row>
    <row r="313" spans="5:11">
      <c r="E313" s="1"/>
      <c r="F313" s="1"/>
      <c r="G313" s="1"/>
      <c r="H313" s="1"/>
      <c r="I313" s="1"/>
      <c r="J313" s="1"/>
      <c r="K313" s="1"/>
    </row>
    <row r="314" spans="5:11">
      <c r="E314" s="1"/>
      <c r="F314" s="1"/>
      <c r="G314" s="1"/>
      <c r="H314" s="1"/>
      <c r="I314" s="1"/>
      <c r="J314" s="1"/>
      <c r="K314" s="1"/>
    </row>
    <row r="315" spans="5:11">
      <c r="E315" s="1"/>
      <c r="F315" s="1"/>
      <c r="G315" s="1"/>
      <c r="H315" s="1"/>
      <c r="I315" s="1"/>
      <c r="J315" s="1"/>
      <c r="K315" s="1"/>
    </row>
    <row r="316" spans="5:11">
      <c r="E316" s="1"/>
      <c r="F316" s="1"/>
      <c r="G316" s="1"/>
      <c r="H316" s="1"/>
      <c r="I316" s="1"/>
      <c r="J316" s="1"/>
      <c r="K316" s="1"/>
    </row>
    <row r="317" spans="5:11">
      <c r="E317" s="1"/>
      <c r="F317" s="1"/>
      <c r="G317" s="1"/>
      <c r="H317" s="1"/>
      <c r="I317" s="1"/>
      <c r="J317" s="1"/>
      <c r="K317" s="1"/>
    </row>
    <row r="318" spans="5:11">
      <c r="E318" s="1"/>
      <c r="F318" s="1"/>
      <c r="G318" s="1"/>
      <c r="H318" s="1"/>
      <c r="I318" s="1"/>
      <c r="J318" s="1"/>
      <c r="K318" s="1"/>
    </row>
    <row r="319" spans="5:11">
      <c r="E319" s="1"/>
      <c r="F319" s="1"/>
      <c r="G319" s="1"/>
      <c r="H319" s="1"/>
      <c r="I319" s="1"/>
      <c r="J319" s="1"/>
      <c r="K319" s="1"/>
    </row>
    <row r="320" spans="5:11">
      <c r="E320" s="1"/>
      <c r="F320" s="1"/>
      <c r="G320" s="1"/>
      <c r="H320" s="1"/>
      <c r="I320" s="1"/>
      <c r="J320" s="1"/>
      <c r="K320" s="1"/>
    </row>
    <row r="321" spans="5:11">
      <c r="E321" s="1"/>
      <c r="F321" s="1"/>
      <c r="G321" s="1"/>
      <c r="H321" s="1"/>
      <c r="I321" s="1"/>
      <c r="J321" s="1"/>
      <c r="K321" s="1"/>
    </row>
    <row r="322" spans="5:11">
      <c r="E322" s="1"/>
      <c r="F322" s="1"/>
      <c r="G322" s="1"/>
      <c r="H322" s="1"/>
      <c r="I322" s="1"/>
      <c r="J322" s="1"/>
      <c r="K322" s="1"/>
    </row>
    <row r="323" spans="5:11">
      <c r="E323" s="1"/>
      <c r="F323" s="1"/>
      <c r="G323" s="1"/>
      <c r="H323" s="1"/>
      <c r="I323" s="1"/>
      <c r="J323" s="1"/>
      <c r="K323" s="1"/>
    </row>
    <row r="324" spans="5:11">
      <c r="E324" s="1"/>
      <c r="F324" s="1"/>
      <c r="G324" s="1"/>
      <c r="H324" s="1"/>
      <c r="I324" s="1"/>
      <c r="J324" s="1"/>
      <c r="K324" s="1"/>
    </row>
    <row r="325" spans="5:11">
      <c r="E325" s="1"/>
      <c r="F325" s="1"/>
      <c r="G325" s="1"/>
      <c r="H325" s="1"/>
      <c r="I325" s="1"/>
      <c r="J325" s="1"/>
      <c r="K325" s="1"/>
    </row>
    <row r="326" spans="5:11">
      <c r="E326" s="1"/>
      <c r="F326" s="1"/>
      <c r="G326" s="1"/>
      <c r="H326" s="1"/>
      <c r="I326" s="1"/>
      <c r="J326" s="1"/>
      <c r="K326" s="1"/>
    </row>
    <row r="327" spans="5:11">
      <c r="E327" s="1"/>
      <c r="F327" s="1"/>
      <c r="G327" s="1"/>
      <c r="H327" s="1"/>
      <c r="I327" s="1"/>
      <c r="J327" s="1"/>
      <c r="K327" s="1"/>
    </row>
    <row r="328" spans="5:11">
      <c r="E328" s="1"/>
      <c r="F328" s="1"/>
      <c r="G328" s="1"/>
      <c r="H328" s="1"/>
      <c r="I328" s="1"/>
      <c r="J328" s="1"/>
      <c r="K328" s="1"/>
    </row>
    <row r="329" spans="5:11">
      <c r="E329" s="1"/>
      <c r="F329" s="1"/>
      <c r="G329" s="1"/>
      <c r="H329" s="1"/>
      <c r="I329" s="1"/>
      <c r="J329" s="1"/>
      <c r="K329" s="1"/>
    </row>
    <row r="330" spans="5:11">
      <c r="E330" s="1"/>
      <c r="F330" s="1"/>
      <c r="G330" s="1"/>
      <c r="H330" s="1"/>
      <c r="I330" s="1"/>
      <c r="J330" s="1"/>
      <c r="K330" s="1"/>
    </row>
    <row r="331" spans="5:11">
      <c r="E331" s="1"/>
      <c r="F331" s="1"/>
      <c r="G331" s="1"/>
      <c r="H331" s="1"/>
      <c r="I331" s="1"/>
      <c r="J331" s="1"/>
      <c r="K331" s="1"/>
    </row>
    <row r="332" spans="5:11">
      <c r="E332" s="1"/>
      <c r="F332" s="1"/>
      <c r="G332" s="1"/>
      <c r="H332" s="1"/>
      <c r="I332" s="1"/>
      <c r="J332" s="1"/>
      <c r="K332" s="1"/>
    </row>
    <row r="333" spans="5:11">
      <c r="E333" s="1"/>
      <c r="F333" s="1"/>
      <c r="G333" s="1"/>
      <c r="H333" s="1"/>
      <c r="I333" s="1"/>
      <c r="J333" s="1"/>
      <c r="K333" s="1"/>
    </row>
    <row r="334" spans="5:11">
      <c r="E334" s="1"/>
      <c r="F334" s="1"/>
      <c r="G334" s="1"/>
      <c r="H334" s="1"/>
      <c r="I334" s="1"/>
      <c r="J334" s="1"/>
      <c r="K334" s="1"/>
    </row>
    <row r="335" spans="5:11">
      <c r="E335" s="1"/>
      <c r="F335" s="1"/>
      <c r="G335" s="1"/>
      <c r="H335" s="1"/>
      <c r="I335" s="1"/>
      <c r="J335" s="1"/>
      <c r="K335" s="1"/>
    </row>
    <row r="336" spans="5:11">
      <c r="E336" s="1"/>
      <c r="F336" s="1"/>
      <c r="G336" s="1"/>
      <c r="H336" s="1"/>
      <c r="I336" s="1"/>
      <c r="J336" s="1"/>
      <c r="K336" s="1"/>
    </row>
    <row r="337" spans="5:11">
      <c r="E337" s="1"/>
      <c r="F337" s="1"/>
      <c r="G337" s="1"/>
      <c r="H337" s="1"/>
      <c r="I337" s="1"/>
      <c r="J337" s="1"/>
      <c r="K337" s="1"/>
    </row>
    <row r="338" spans="5:11">
      <c r="E338" s="1"/>
      <c r="F338" s="1"/>
      <c r="G338" s="1"/>
      <c r="H338" s="1"/>
      <c r="I338" s="1"/>
      <c r="J338" s="1"/>
      <c r="K338" s="1"/>
    </row>
    <row r="339" spans="5:11">
      <c r="E339" s="1"/>
      <c r="F339" s="1"/>
      <c r="G339" s="1"/>
      <c r="H339" s="1"/>
      <c r="I339" s="1"/>
      <c r="J339" s="1"/>
      <c r="K339" s="1"/>
    </row>
    <row r="340" spans="5:11">
      <c r="E340" s="1"/>
      <c r="F340" s="1"/>
      <c r="G340" s="1"/>
      <c r="H340" s="1"/>
      <c r="I340" s="1"/>
      <c r="J340" s="1"/>
      <c r="K340" s="1"/>
    </row>
    <row r="341" spans="5:11">
      <c r="E341" s="1"/>
      <c r="F341" s="1"/>
      <c r="G341" s="1"/>
      <c r="H341" s="1"/>
      <c r="I341" s="1"/>
      <c r="J341" s="1"/>
      <c r="K341" s="1"/>
    </row>
    <row r="342" spans="5:11">
      <c r="E342" s="1"/>
      <c r="F342" s="1"/>
      <c r="G342" s="1"/>
      <c r="H342" s="1"/>
      <c r="I342" s="1"/>
      <c r="J342" s="1"/>
      <c r="K342" s="1"/>
    </row>
    <row r="343" spans="5:11">
      <c r="E343" s="1"/>
      <c r="F343" s="1"/>
      <c r="G343" s="1"/>
      <c r="H343" s="1"/>
      <c r="I343" s="1"/>
      <c r="J343" s="1"/>
      <c r="K343" s="1"/>
    </row>
    <row r="344" spans="5:11">
      <c r="E344" s="1"/>
      <c r="F344" s="1"/>
      <c r="G344" s="1"/>
      <c r="H344" s="1"/>
      <c r="I344" s="1"/>
      <c r="J344" s="1"/>
      <c r="K344" s="1"/>
    </row>
    <row r="345" spans="5:11">
      <c r="E345" s="1"/>
      <c r="F345" s="1"/>
      <c r="G345" s="1"/>
      <c r="H345" s="1"/>
      <c r="I345" s="1"/>
      <c r="J345" s="1"/>
      <c r="K345" s="1"/>
    </row>
    <row r="346" spans="5:11">
      <c r="E346" s="1"/>
      <c r="F346" s="1"/>
      <c r="G346" s="1"/>
      <c r="H346" s="1"/>
      <c r="I346" s="1"/>
      <c r="J346" s="1"/>
      <c r="K346" s="1"/>
    </row>
    <row r="347" spans="5:11">
      <c r="E347" s="1"/>
      <c r="F347" s="1"/>
      <c r="G347" s="1"/>
      <c r="H347" s="1"/>
      <c r="I347" s="1"/>
      <c r="J347" s="1"/>
      <c r="K347" s="1"/>
    </row>
    <row r="348" spans="5:11">
      <c r="E348" s="1"/>
      <c r="F348" s="1"/>
      <c r="G348" s="1"/>
      <c r="H348" s="1"/>
      <c r="I348" s="1"/>
      <c r="J348" s="1"/>
      <c r="K348" s="1"/>
    </row>
    <row r="349" spans="5:11">
      <c r="E349" s="1"/>
      <c r="F349" s="1"/>
      <c r="G349" s="1"/>
      <c r="H349" s="1"/>
      <c r="I349" s="1"/>
      <c r="J349" s="1"/>
      <c r="K349" s="1"/>
    </row>
    <row r="350" spans="5:11">
      <c r="E350" s="1"/>
      <c r="F350" s="1"/>
      <c r="G350" s="1"/>
      <c r="H350" s="1"/>
      <c r="I350" s="1"/>
      <c r="J350" s="1"/>
      <c r="K350" s="1"/>
    </row>
    <row r="351" spans="5:11">
      <c r="E351" s="1"/>
      <c r="F351" s="1"/>
      <c r="G351" s="1"/>
      <c r="H351" s="1"/>
      <c r="I351" s="1"/>
      <c r="J351" s="1"/>
      <c r="K351" s="1"/>
    </row>
    <row r="352" spans="5:11">
      <c r="E352" s="1"/>
      <c r="F352" s="1"/>
      <c r="G352" s="1"/>
      <c r="H352" s="1"/>
      <c r="I352" s="1"/>
      <c r="J352" s="1"/>
      <c r="K352" s="1"/>
    </row>
    <row r="353" spans="5:11">
      <c r="E353" s="1"/>
      <c r="F353" s="1"/>
      <c r="G353" s="1"/>
      <c r="H353" s="1"/>
      <c r="I353" s="1"/>
      <c r="J353" s="1"/>
      <c r="K353" s="1"/>
    </row>
    <row r="354" spans="5:11">
      <c r="E354" s="1"/>
      <c r="F354" s="1"/>
      <c r="G354" s="1"/>
      <c r="H354" s="1"/>
      <c r="I354" s="1"/>
      <c r="J354" s="1"/>
      <c r="K354" s="1"/>
    </row>
    <row r="355" spans="5:11">
      <c r="E355" s="1"/>
      <c r="F355" s="1"/>
      <c r="G355" s="1"/>
      <c r="H355" s="1"/>
      <c r="I355" s="1"/>
      <c r="J355" s="1"/>
      <c r="K355" s="1"/>
    </row>
    <row r="356" spans="5:11">
      <c r="E356" s="1"/>
      <c r="F356" s="1"/>
      <c r="G356" s="1"/>
      <c r="H356" s="1"/>
      <c r="I356" s="1"/>
      <c r="J356" s="1"/>
      <c r="K356" s="1"/>
    </row>
    <row r="357" spans="5:11">
      <c r="E357" s="1"/>
      <c r="F357" s="1"/>
      <c r="G357" s="1"/>
      <c r="H357" s="1"/>
      <c r="I357" s="1"/>
      <c r="J357" s="1"/>
      <c r="K357" s="1"/>
    </row>
    <row r="358" spans="5:11">
      <c r="E358" s="1"/>
      <c r="F358" s="1"/>
      <c r="G358" s="1"/>
      <c r="H358" s="1"/>
      <c r="I358" s="1"/>
      <c r="J358" s="1"/>
      <c r="K358" s="1"/>
    </row>
    <row r="359" spans="5:11">
      <c r="E359" s="1"/>
      <c r="F359" s="1"/>
      <c r="G359" s="1"/>
      <c r="H359" s="1"/>
      <c r="I359" s="1"/>
      <c r="J359" s="1"/>
      <c r="K359" s="1"/>
    </row>
    <row r="360" spans="5:11">
      <c r="E360" s="1"/>
      <c r="F360" s="1"/>
      <c r="G360" s="1"/>
      <c r="H360" s="1"/>
      <c r="I360" s="1"/>
      <c r="J360" s="1"/>
      <c r="K360" s="1"/>
    </row>
    <row r="361" spans="5:11">
      <c r="E361" s="1"/>
      <c r="F361" s="1"/>
      <c r="G361" s="1"/>
      <c r="H361" s="1"/>
      <c r="I361" s="1"/>
      <c r="J361" s="1"/>
      <c r="K361" s="1"/>
    </row>
    <row r="362" spans="5:11">
      <c r="E362" s="1"/>
      <c r="F362" s="1"/>
      <c r="G362" s="1"/>
      <c r="H362" s="1"/>
      <c r="I362" s="1"/>
      <c r="J362" s="1"/>
      <c r="K362" s="1"/>
    </row>
    <row r="363" spans="5:11">
      <c r="E363" s="1"/>
      <c r="F363" s="1"/>
      <c r="G363" s="1"/>
      <c r="H363" s="1"/>
      <c r="I363" s="1"/>
      <c r="J363" s="1"/>
      <c r="K363" s="1"/>
    </row>
    <row r="364" spans="5:11">
      <c r="E364" s="1"/>
      <c r="F364" s="1"/>
      <c r="G364" s="1"/>
      <c r="H364" s="1"/>
      <c r="I364" s="1"/>
      <c r="J364" s="1"/>
      <c r="K364" s="1"/>
    </row>
    <row r="365" spans="5:11">
      <c r="E365" s="1"/>
      <c r="F365" s="1"/>
      <c r="G365" s="1"/>
      <c r="H365" s="1"/>
      <c r="I365" s="1"/>
      <c r="J365" s="1"/>
      <c r="K365" s="1"/>
    </row>
    <row r="366" spans="5:11">
      <c r="E366" s="1"/>
      <c r="F366" s="1"/>
      <c r="G366" s="1"/>
      <c r="H366" s="1"/>
      <c r="I366" s="1"/>
      <c r="J366" s="1"/>
      <c r="K366" s="1"/>
    </row>
    <row r="367" spans="5:11">
      <c r="E367" s="1"/>
      <c r="F367" s="1"/>
      <c r="G367" s="1"/>
      <c r="H367" s="1"/>
      <c r="I367" s="1"/>
      <c r="J367" s="1"/>
      <c r="K367" s="1"/>
    </row>
    <row r="368" spans="5:11">
      <c r="E368" s="1"/>
      <c r="F368" s="1"/>
      <c r="G368" s="1"/>
      <c r="H368" s="1"/>
      <c r="I368" s="1"/>
      <c r="J368" s="1"/>
      <c r="K368" s="1"/>
    </row>
    <row r="369" spans="5:11">
      <c r="E369" s="1"/>
      <c r="F369" s="1"/>
      <c r="G369" s="1"/>
      <c r="H369" s="1"/>
      <c r="I369" s="1"/>
      <c r="J369" s="1"/>
      <c r="K369" s="1"/>
    </row>
    <row r="370" spans="5:11">
      <c r="E370" s="1"/>
      <c r="F370" s="1"/>
      <c r="G370" s="1"/>
      <c r="H370" s="1"/>
      <c r="I370" s="1"/>
      <c r="J370" s="1"/>
      <c r="K370" s="1"/>
    </row>
    <row r="371" spans="5:11">
      <c r="E371" s="1"/>
      <c r="F371" s="1"/>
      <c r="G371" s="1"/>
      <c r="H371" s="1"/>
      <c r="I371" s="1"/>
      <c r="J371" s="1"/>
      <c r="K371" s="1"/>
    </row>
    <row r="372" spans="5:11">
      <c r="E372" s="1"/>
      <c r="F372" s="1"/>
      <c r="G372" s="1"/>
      <c r="H372" s="1"/>
      <c r="I372" s="1"/>
      <c r="J372" s="1"/>
      <c r="K372" s="1"/>
    </row>
    <row r="373" spans="5:11">
      <c r="E373" s="1"/>
      <c r="F373" s="1"/>
      <c r="G373" s="1"/>
      <c r="H373" s="1"/>
      <c r="I373" s="1"/>
      <c r="J373" s="1"/>
      <c r="K373" s="1"/>
    </row>
    <row r="374" spans="5:11">
      <c r="E374" s="1"/>
      <c r="F374" s="1"/>
      <c r="G374" s="1"/>
      <c r="H374" s="1"/>
      <c r="I374" s="1"/>
      <c r="J374" s="1"/>
      <c r="K374" s="1"/>
    </row>
    <row r="375" spans="5:11">
      <c r="E375" s="1"/>
      <c r="F375" s="1"/>
      <c r="G375" s="1"/>
      <c r="H375" s="1"/>
      <c r="I375" s="1"/>
      <c r="J375" s="1"/>
      <c r="K375" s="1"/>
    </row>
    <row r="376" spans="5:11">
      <c r="E376" s="1"/>
      <c r="F376" s="1"/>
      <c r="G376" s="1"/>
      <c r="H376" s="1"/>
      <c r="I376" s="1"/>
      <c r="J376" s="1"/>
      <c r="K376" s="1"/>
    </row>
    <row r="377" spans="5:11">
      <c r="E377" s="1"/>
      <c r="F377" s="1"/>
      <c r="G377" s="1"/>
      <c r="H377" s="1"/>
      <c r="I377" s="1"/>
      <c r="J377" s="1"/>
      <c r="K377" s="1"/>
    </row>
    <row r="378" spans="5:11">
      <c r="E378" s="1"/>
      <c r="F378" s="1"/>
      <c r="G378" s="1"/>
      <c r="H378" s="1"/>
      <c r="I378" s="1"/>
      <c r="J378" s="1"/>
      <c r="K378" s="1"/>
    </row>
    <row r="379" spans="5:11">
      <c r="E379" s="1"/>
      <c r="F379" s="1"/>
      <c r="G379" s="1"/>
      <c r="H379" s="1"/>
      <c r="I379" s="1"/>
      <c r="J379" s="1"/>
      <c r="K379" s="1"/>
    </row>
    <row r="380" spans="5:11">
      <c r="E380" s="1"/>
      <c r="F380" s="1"/>
      <c r="G380" s="1"/>
      <c r="H380" s="1"/>
      <c r="I380" s="1"/>
      <c r="J380" s="1"/>
      <c r="K380" s="1"/>
    </row>
    <row r="381" spans="5:11">
      <c r="E381" s="1"/>
      <c r="F381" s="1"/>
      <c r="G381" s="1"/>
      <c r="H381" s="1"/>
      <c r="I381" s="1"/>
      <c r="J381" s="1"/>
      <c r="K381" s="1"/>
    </row>
    <row r="382" spans="5:11">
      <c r="E382" s="1"/>
      <c r="F382" s="1"/>
      <c r="G382" s="1"/>
      <c r="H382" s="1"/>
      <c r="I382" s="1"/>
      <c r="J382" s="1"/>
      <c r="K382" s="1"/>
    </row>
    <row r="383" spans="5:11">
      <c r="E383" s="1"/>
      <c r="F383" s="1"/>
      <c r="G383" s="1"/>
      <c r="H383" s="1"/>
      <c r="I383" s="1"/>
      <c r="J383" s="1"/>
      <c r="K383" s="1"/>
    </row>
    <row r="384" spans="5:11">
      <c r="E384" s="1"/>
      <c r="F384" s="1"/>
      <c r="G384" s="1"/>
      <c r="H384" s="1"/>
      <c r="I384" s="1"/>
      <c r="J384" s="1"/>
      <c r="K384" s="1"/>
    </row>
    <row r="385" spans="5:11">
      <c r="E385" s="1"/>
      <c r="F385" s="1"/>
      <c r="G385" s="1"/>
      <c r="H385" s="1"/>
      <c r="I385" s="1"/>
      <c r="J385" s="1"/>
      <c r="K385" s="1"/>
    </row>
    <row r="386" spans="5:11">
      <c r="E386" s="1"/>
      <c r="F386" s="1"/>
      <c r="G386" s="1"/>
      <c r="H386" s="1"/>
      <c r="I386" s="1"/>
      <c r="J386" s="1"/>
      <c r="K386" s="1"/>
    </row>
    <row r="387" spans="5:11">
      <c r="E387" s="1"/>
      <c r="F387" s="1"/>
      <c r="G387" s="1"/>
      <c r="H387" s="1"/>
      <c r="I387" s="1"/>
      <c r="J387" s="1"/>
      <c r="K387" s="1"/>
    </row>
    <row r="388" spans="5:11">
      <c r="E388" s="1"/>
      <c r="F388" s="1"/>
      <c r="G388" s="1"/>
      <c r="H388" s="1"/>
      <c r="I388" s="1"/>
      <c r="J388" s="1"/>
      <c r="K388" s="1"/>
    </row>
    <row r="389" spans="5:11">
      <c r="E389" s="1"/>
      <c r="F389" s="1"/>
      <c r="G389" s="1"/>
      <c r="H389" s="1"/>
      <c r="I389" s="1"/>
      <c r="J389" s="1"/>
      <c r="K389" s="1"/>
    </row>
    <row r="390" spans="5:11">
      <c r="E390" s="1"/>
      <c r="F390" s="1"/>
      <c r="G390" s="1"/>
      <c r="H390" s="1"/>
      <c r="I390" s="1"/>
      <c r="J390" s="1"/>
      <c r="K390" s="1"/>
    </row>
    <row r="391" spans="5:11">
      <c r="E391" s="1"/>
      <c r="F391" s="1"/>
      <c r="G391" s="1"/>
      <c r="H391" s="1"/>
      <c r="I391" s="1"/>
      <c r="J391" s="1"/>
      <c r="K391" s="1"/>
    </row>
    <row r="392" spans="5:11">
      <c r="E392" s="1"/>
      <c r="F392" s="1"/>
      <c r="G392" s="1"/>
      <c r="H392" s="1"/>
      <c r="I392" s="1"/>
      <c r="J392" s="1"/>
      <c r="K392" s="1"/>
    </row>
    <row r="393" spans="5:11">
      <c r="E393" s="1"/>
      <c r="F393" s="1"/>
      <c r="G393" s="1"/>
      <c r="H393" s="1"/>
      <c r="I393" s="1"/>
      <c r="J393" s="1"/>
      <c r="K393" s="1"/>
    </row>
    <row r="394" spans="5:11">
      <c r="E394" s="1"/>
      <c r="F394" s="1"/>
      <c r="G394" s="1"/>
      <c r="H394" s="1"/>
      <c r="I394" s="1"/>
      <c r="J394" s="1"/>
      <c r="K394" s="1"/>
    </row>
    <row r="395" spans="5:11">
      <c r="E395" s="1"/>
      <c r="F395" s="1"/>
      <c r="G395" s="1"/>
      <c r="H395" s="1"/>
      <c r="I395" s="1"/>
      <c r="J395" s="1"/>
      <c r="K395" s="1"/>
    </row>
    <row r="396" spans="5:11">
      <c r="E396" s="1"/>
      <c r="F396" s="1"/>
      <c r="G396" s="1"/>
      <c r="H396" s="1"/>
      <c r="I396" s="1"/>
      <c r="J396" s="1"/>
      <c r="K396" s="1"/>
    </row>
    <row r="397" spans="5:11">
      <c r="E397" s="1"/>
      <c r="F397" s="1"/>
      <c r="G397" s="1"/>
      <c r="H397" s="1"/>
      <c r="I397" s="1"/>
      <c r="J397" s="1"/>
      <c r="K397" s="1"/>
    </row>
    <row r="398" spans="5:11">
      <c r="E398" s="1"/>
      <c r="F398" s="1"/>
      <c r="G398" s="1"/>
      <c r="H398" s="1"/>
      <c r="I398" s="1"/>
      <c r="J398" s="1"/>
      <c r="K398" s="1"/>
    </row>
    <row r="399" spans="5:11">
      <c r="E399" s="1"/>
      <c r="F399" s="1"/>
      <c r="G399" s="1"/>
      <c r="H399" s="1"/>
      <c r="I399" s="1"/>
      <c r="J399" s="1"/>
      <c r="K399" s="1"/>
    </row>
    <row r="400" spans="5:11">
      <c r="E400" s="1"/>
      <c r="F400" s="1"/>
      <c r="G400" s="1"/>
      <c r="H400" s="1"/>
      <c r="I400" s="1"/>
      <c r="J400" s="1"/>
      <c r="K400" s="1"/>
    </row>
    <row r="401" spans="5:11">
      <c r="E401" s="1"/>
      <c r="F401" s="1"/>
      <c r="G401" s="1"/>
      <c r="H401" s="1"/>
      <c r="I401" s="1"/>
      <c r="J401" s="1"/>
      <c r="K401" s="1"/>
    </row>
    <row r="402" spans="5:11">
      <c r="E402" s="1"/>
      <c r="F402" s="1"/>
      <c r="G402" s="1"/>
      <c r="H402" s="1"/>
      <c r="I402" s="1"/>
      <c r="J402" s="1"/>
      <c r="K402" s="1"/>
    </row>
    <row r="403" spans="5:11">
      <c r="E403" s="1"/>
      <c r="F403" s="1"/>
      <c r="G403" s="1"/>
      <c r="H403" s="1"/>
      <c r="I403" s="1"/>
      <c r="J403" s="1"/>
      <c r="K403" s="1"/>
    </row>
    <row r="404" spans="5:11">
      <c r="E404" s="1"/>
      <c r="F404" s="1"/>
      <c r="G404" s="1"/>
      <c r="H404" s="1"/>
      <c r="I404" s="1"/>
      <c r="J404" s="1"/>
      <c r="K404" s="1"/>
    </row>
    <row r="405" spans="5:11">
      <c r="E405" s="1"/>
      <c r="F405" s="1"/>
      <c r="G405" s="1"/>
      <c r="H405" s="1"/>
      <c r="I405" s="1"/>
      <c r="J405" s="1"/>
      <c r="K405" s="1"/>
    </row>
    <row r="406" spans="5:11">
      <c r="E406" s="1"/>
      <c r="F406" s="1"/>
      <c r="G406" s="1"/>
      <c r="H406" s="1"/>
      <c r="I406" s="1"/>
      <c r="J406" s="1"/>
      <c r="K406" s="1"/>
    </row>
    <row r="407" spans="5:11">
      <c r="E407" s="1"/>
      <c r="F407" s="1"/>
      <c r="G407" s="1"/>
      <c r="H407" s="1"/>
      <c r="I407" s="1"/>
      <c r="J407" s="1"/>
      <c r="K407" s="1"/>
    </row>
    <row r="408" spans="5:11">
      <c r="E408" s="1"/>
      <c r="F408" s="1"/>
      <c r="G408" s="1"/>
      <c r="H408" s="1"/>
      <c r="I408" s="1"/>
      <c r="J408" s="1"/>
      <c r="K408" s="1"/>
    </row>
    <row r="409" spans="5:11">
      <c r="E409" s="1"/>
      <c r="F409" s="1"/>
      <c r="G409" s="1"/>
      <c r="H409" s="1"/>
      <c r="I409" s="1"/>
      <c r="J409" s="1"/>
      <c r="K409" s="1"/>
    </row>
    <row r="410" spans="5:11">
      <c r="E410" s="1"/>
      <c r="F410" s="1"/>
      <c r="G410" s="1"/>
      <c r="H410" s="1"/>
      <c r="I410" s="1"/>
      <c r="J410" s="1"/>
      <c r="K410" s="1"/>
    </row>
    <row r="411" spans="5:11">
      <c r="E411" s="1"/>
      <c r="F411" s="1"/>
      <c r="G411" s="1"/>
      <c r="H411" s="1"/>
      <c r="I411" s="1"/>
      <c r="J411" s="1"/>
      <c r="K411" s="1"/>
    </row>
    <row r="412" spans="5:11">
      <c r="E412" s="1"/>
      <c r="F412" s="1"/>
      <c r="G412" s="1"/>
      <c r="H412" s="1"/>
      <c r="I412" s="1"/>
      <c r="J412" s="1"/>
      <c r="K412" s="1"/>
    </row>
    <row r="413" spans="5:11">
      <c r="E413" s="1"/>
      <c r="F413" s="1"/>
      <c r="G413" s="1"/>
      <c r="H413" s="1"/>
      <c r="I413" s="1"/>
      <c r="J413" s="1"/>
      <c r="K413" s="1"/>
    </row>
    <row r="414" spans="5:11">
      <c r="E414" s="1"/>
      <c r="F414" s="1"/>
      <c r="G414" s="1"/>
      <c r="H414" s="1"/>
      <c r="I414" s="1"/>
      <c r="J414" s="1"/>
      <c r="K414" s="1"/>
    </row>
    <row r="415" spans="5:11">
      <c r="E415" s="1"/>
      <c r="F415" s="1"/>
      <c r="G415" s="1"/>
      <c r="H415" s="1"/>
      <c r="I415" s="1"/>
      <c r="J415" s="1"/>
      <c r="K415" s="1"/>
    </row>
    <row r="416" spans="5:11">
      <c r="E416" s="1"/>
      <c r="F416" s="1"/>
      <c r="G416" s="1"/>
      <c r="H416" s="1"/>
      <c r="I416" s="1"/>
      <c r="J416" s="1"/>
      <c r="K416" s="1"/>
    </row>
    <row r="417" spans="5:11">
      <c r="E417" s="1"/>
      <c r="F417" s="1"/>
      <c r="G417" s="1"/>
      <c r="H417" s="1"/>
      <c r="I417" s="1"/>
      <c r="J417" s="1"/>
      <c r="K417" s="1"/>
    </row>
    <row r="418" spans="5:11">
      <c r="E418" s="1"/>
      <c r="F418" s="1"/>
      <c r="G418" s="1"/>
      <c r="H418" s="1"/>
      <c r="I418" s="1"/>
      <c r="J418" s="1"/>
      <c r="K418" s="1"/>
    </row>
    <row r="419" spans="5:11">
      <c r="E419" s="1"/>
      <c r="F419" s="1"/>
      <c r="G419" s="1"/>
      <c r="H419" s="1"/>
      <c r="I419" s="1"/>
      <c r="J419" s="1"/>
      <c r="K419" s="1"/>
    </row>
    <row r="420" spans="5:11">
      <c r="E420" s="1"/>
      <c r="F420" s="1"/>
      <c r="G420" s="1"/>
      <c r="H420" s="1"/>
      <c r="I420" s="1"/>
      <c r="J420" s="1"/>
      <c r="K420" s="1"/>
    </row>
    <row r="421" spans="5:11">
      <c r="E421" s="1"/>
      <c r="F421" s="1"/>
      <c r="G421" s="1"/>
      <c r="H421" s="1"/>
      <c r="I421" s="1"/>
      <c r="J421" s="1"/>
      <c r="K421" s="1"/>
    </row>
    <row r="422" spans="5:11">
      <c r="E422" s="1"/>
      <c r="F422" s="1"/>
      <c r="G422" s="1"/>
      <c r="H422" s="1"/>
      <c r="I422" s="1"/>
      <c r="J422" s="1"/>
      <c r="K422" s="1"/>
    </row>
    <row r="423" spans="5:11">
      <c r="E423" s="1"/>
      <c r="F423" s="1"/>
      <c r="G423" s="1"/>
      <c r="H423" s="1"/>
      <c r="I423" s="1"/>
      <c r="J423" s="1"/>
      <c r="K423" s="1"/>
    </row>
    <row r="424" spans="5:11">
      <c r="E424" s="1"/>
      <c r="F424" s="1"/>
      <c r="G424" s="1"/>
      <c r="H424" s="1"/>
      <c r="I424" s="1"/>
      <c r="J424" s="1"/>
      <c r="K424" s="1"/>
    </row>
    <row r="425" spans="5:11">
      <c r="E425" s="1"/>
      <c r="F425" s="1"/>
      <c r="G425" s="1"/>
      <c r="H425" s="1"/>
      <c r="I425" s="1"/>
      <c r="J425" s="1"/>
      <c r="K425" s="1"/>
    </row>
    <row r="426" spans="5:11">
      <c r="E426" s="1"/>
      <c r="F426" s="1"/>
      <c r="G426" s="1"/>
      <c r="H426" s="1"/>
      <c r="I426" s="1"/>
      <c r="J426" s="1"/>
      <c r="K426" s="1"/>
    </row>
    <row r="427" spans="5:11">
      <c r="E427" s="1"/>
      <c r="F427" s="1"/>
      <c r="G427" s="1"/>
      <c r="H427" s="1"/>
      <c r="I427" s="1"/>
      <c r="J427" s="1"/>
      <c r="K427" s="1"/>
    </row>
    <row r="428" spans="5:11">
      <c r="E428" s="1"/>
      <c r="F428" s="1"/>
      <c r="G428" s="1"/>
      <c r="H428" s="1"/>
      <c r="I428" s="1"/>
      <c r="J428" s="1"/>
      <c r="K428" s="1"/>
    </row>
    <row r="429" spans="5:11">
      <c r="E429" s="1"/>
      <c r="F429" s="1"/>
      <c r="G429" s="1"/>
      <c r="H429" s="1"/>
      <c r="I429" s="1"/>
      <c r="J429" s="1"/>
      <c r="K429" s="1"/>
    </row>
    <row r="430" spans="5:11">
      <c r="E430" s="1"/>
      <c r="F430" s="1"/>
      <c r="G430" s="1"/>
      <c r="H430" s="1"/>
      <c r="I430" s="1"/>
      <c r="J430" s="1"/>
      <c r="K430" s="1"/>
    </row>
    <row r="431" spans="5:11">
      <c r="E431" s="1"/>
      <c r="F431" s="1"/>
      <c r="G431" s="1"/>
      <c r="H431" s="1"/>
      <c r="I431" s="1"/>
      <c r="J431" s="1"/>
      <c r="K431" s="1"/>
    </row>
    <row r="432" spans="5:11">
      <c r="E432" s="1"/>
      <c r="F432" s="1"/>
      <c r="G432" s="1"/>
      <c r="H432" s="1"/>
      <c r="I432" s="1"/>
      <c r="J432" s="1"/>
      <c r="K432" s="1"/>
    </row>
    <row r="433" spans="5:11">
      <c r="E433" s="1"/>
      <c r="F433" s="1"/>
      <c r="G433" s="1"/>
      <c r="H433" s="1"/>
      <c r="I433" s="1"/>
      <c r="J433" s="1"/>
      <c r="K433" s="1"/>
    </row>
    <row r="434" spans="5:11">
      <c r="E434" s="1"/>
      <c r="F434" s="1"/>
      <c r="G434" s="1"/>
      <c r="H434" s="1"/>
      <c r="I434" s="1"/>
      <c r="J434" s="1"/>
      <c r="K434" s="1"/>
    </row>
    <row r="435" spans="5:11">
      <c r="E435" s="1"/>
      <c r="F435" s="1"/>
      <c r="G435" s="1"/>
      <c r="H435" s="1"/>
      <c r="I435" s="1"/>
      <c r="J435" s="1"/>
      <c r="K435" s="1"/>
    </row>
    <row r="436" spans="5:11">
      <c r="E436" s="1"/>
      <c r="F436" s="1"/>
      <c r="G436" s="1"/>
      <c r="H436" s="1"/>
      <c r="I436" s="1"/>
      <c r="J436" s="1"/>
      <c r="K436" s="1"/>
    </row>
    <row r="437" spans="5:11">
      <c r="E437" s="1"/>
      <c r="F437" s="1"/>
      <c r="G437" s="1"/>
      <c r="H437" s="1"/>
      <c r="I437" s="1"/>
      <c r="J437" s="1"/>
      <c r="K437" s="1"/>
    </row>
    <row r="438" spans="5:11">
      <c r="E438" s="1"/>
      <c r="F438" s="1"/>
      <c r="G438" s="1"/>
      <c r="H438" s="1"/>
      <c r="I438" s="1"/>
      <c r="J438" s="1"/>
      <c r="K438" s="1"/>
    </row>
    <row r="439" spans="5:11">
      <c r="E439" s="1"/>
      <c r="F439" s="1"/>
      <c r="G439" s="1"/>
      <c r="H439" s="1"/>
      <c r="I439" s="1"/>
      <c r="J439" s="1"/>
      <c r="K439" s="1"/>
    </row>
    <row r="440" spans="5:11">
      <c r="E440" s="1"/>
      <c r="F440" s="1"/>
      <c r="G440" s="1"/>
      <c r="H440" s="1"/>
      <c r="I440" s="1"/>
      <c r="J440" s="1"/>
      <c r="K440" s="1"/>
    </row>
    <row r="441" spans="5:11">
      <c r="E441" s="1"/>
      <c r="F441" s="1"/>
      <c r="G441" s="1"/>
      <c r="H441" s="1"/>
      <c r="I441" s="1"/>
      <c r="J441" s="1"/>
      <c r="K441" s="1"/>
    </row>
    <row r="442" spans="5:11">
      <c r="E442" s="1"/>
      <c r="F442" s="1"/>
      <c r="G442" s="1"/>
      <c r="H442" s="1"/>
      <c r="I442" s="1"/>
      <c r="J442" s="1"/>
      <c r="K442" s="1"/>
    </row>
    <row r="443" spans="5:11">
      <c r="E443" s="1"/>
      <c r="F443" s="1"/>
      <c r="G443" s="1"/>
      <c r="H443" s="1"/>
      <c r="I443" s="1"/>
      <c r="J443" s="1"/>
      <c r="K443" s="1"/>
    </row>
    <row r="444" spans="5:11">
      <c r="E444" s="1"/>
      <c r="F444" s="1"/>
      <c r="G444" s="1"/>
      <c r="H444" s="1"/>
      <c r="I444" s="1"/>
      <c r="J444" s="1"/>
      <c r="K444" s="1"/>
    </row>
    <row r="445" spans="5:11">
      <c r="E445" s="1"/>
      <c r="F445" s="1"/>
      <c r="G445" s="1"/>
      <c r="H445" s="1"/>
      <c r="I445" s="1"/>
      <c r="J445" s="1"/>
      <c r="K445" s="1"/>
    </row>
    <row r="446" spans="5:11">
      <c r="E446" s="1"/>
      <c r="F446" s="1"/>
      <c r="G446" s="1"/>
      <c r="H446" s="1"/>
      <c r="I446" s="1"/>
      <c r="J446" s="1"/>
      <c r="K446" s="1"/>
    </row>
    <row r="447" spans="5:11">
      <c r="E447" s="1"/>
      <c r="F447" s="1"/>
      <c r="G447" s="1"/>
      <c r="H447" s="1"/>
      <c r="I447" s="1"/>
      <c r="J447" s="1"/>
      <c r="K447" s="1"/>
    </row>
    <row r="448" spans="5:11">
      <c r="E448" s="1"/>
      <c r="F448" s="1"/>
      <c r="G448" s="1"/>
      <c r="H448" s="1"/>
      <c r="I448" s="1"/>
      <c r="J448" s="1"/>
      <c r="K448" s="1"/>
    </row>
    <row r="449" spans="5:11">
      <c r="E449" s="1"/>
      <c r="F449" s="1"/>
      <c r="G449" s="1"/>
      <c r="H449" s="1"/>
      <c r="I449" s="1"/>
      <c r="J449" s="1"/>
      <c r="K449" s="1"/>
    </row>
    <row r="450" spans="5:11">
      <c r="E450" s="1"/>
      <c r="F450" s="1"/>
      <c r="G450" s="1"/>
      <c r="H450" s="1"/>
      <c r="I450" s="1"/>
      <c r="J450" s="1"/>
      <c r="K450" s="1"/>
    </row>
    <row r="451" spans="5:11">
      <c r="E451" s="1"/>
      <c r="F451" s="1"/>
      <c r="G451" s="1"/>
      <c r="H451" s="1"/>
      <c r="I451" s="1"/>
      <c r="J451" s="1"/>
      <c r="K451" s="1"/>
    </row>
    <row r="452" spans="5:11">
      <c r="E452" s="1"/>
      <c r="F452" s="1"/>
      <c r="G452" s="1"/>
      <c r="H452" s="1"/>
      <c r="I452" s="1"/>
      <c r="J452" s="1"/>
      <c r="K452" s="1"/>
    </row>
    <row r="453" spans="5:11">
      <c r="E453" s="1"/>
      <c r="F453" s="1"/>
      <c r="G453" s="1"/>
      <c r="H453" s="1"/>
      <c r="I453" s="1"/>
      <c r="J453" s="1"/>
      <c r="K453" s="1"/>
    </row>
    <row r="454" spans="5:11">
      <c r="E454" s="1"/>
      <c r="F454" s="1"/>
      <c r="G454" s="1"/>
      <c r="H454" s="1"/>
      <c r="I454" s="1"/>
      <c r="J454" s="1"/>
      <c r="K454" s="1"/>
    </row>
    <row r="455" spans="5:11">
      <c r="E455" s="1"/>
      <c r="F455" s="1"/>
      <c r="G455" s="1"/>
      <c r="H455" s="1"/>
      <c r="I455" s="1"/>
      <c r="J455" s="1"/>
      <c r="K455" s="1"/>
    </row>
    <row r="456" spans="5:11">
      <c r="E456" s="1"/>
      <c r="F456" s="1"/>
      <c r="G456" s="1"/>
      <c r="H456" s="1"/>
      <c r="I456" s="1"/>
      <c r="J456" s="1"/>
      <c r="K456" s="1"/>
    </row>
    <row r="457" spans="5:11">
      <c r="E457" s="1"/>
      <c r="F457" s="1"/>
      <c r="G457" s="1"/>
      <c r="H457" s="1"/>
      <c r="I457" s="1"/>
      <c r="J457" s="1"/>
      <c r="K457" s="1"/>
    </row>
    <row r="458" spans="5:11">
      <c r="E458" s="1"/>
      <c r="F458" s="1"/>
      <c r="G458" s="1"/>
      <c r="H458" s="1"/>
      <c r="I458" s="1"/>
      <c r="J458" s="1"/>
      <c r="K458" s="1"/>
    </row>
    <row r="459" spans="5:11">
      <c r="E459" s="1"/>
      <c r="F459" s="1"/>
      <c r="G459" s="1"/>
      <c r="H459" s="1"/>
      <c r="I459" s="1"/>
      <c r="J459" s="1"/>
      <c r="K459" s="1"/>
    </row>
    <row r="460" spans="5:11">
      <c r="E460" s="1"/>
      <c r="F460" s="1"/>
      <c r="G460" s="1"/>
      <c r="H460" s="1"/>
      <c r="I460" s="1"/>
      <c r="J460" s="1"/>
      <c r="K460" s="1"/>
    </row>
    <row r="461" spans="5:11">
      <c r="E461" s="1"/>
      <c r="F461" s="1"/>
      <c r="G461" s="1"/>
      <c r="H461" s="1"/>
      <c r="I461" s="1"/>
      <c r="J461" s="1"/>
      <c r="K461" s="1"/>
    </row>
    <row r="462" spans="5:11">
      <c r="E462" s="1"/>
      <c r="F462" s="1"/>
      <c r="G462" s="1"/>
      <c r="H462" s="1"/>
      <c r="I462" s="1"/>
      <c r="J462" s="1"/>
      <c r="K462" s="1"/>
    </row>
    <row r="463" spans="5:11">
      <c r="E463" s="1"/>
      <c r="F463" s="1"/>
      <c r="G463" s="1"/>
      <c r="H463" s="1"/>
      <c r="I463" s="1"/>
      <c r="J463" s="1"/>
      <c r="K463" s="1"/>
    </row>
    <row r="464" spans="5:11">
      <c r="E464" s="1"/>
      <c r="F464" s="1"/>
      <c r="G464" s="1"/>
      <c r="H464" s="1"/>
      <c r="I464" s="1"/>
      <c r="J464" s="1"/>
      <c r="K464" s="1"/>
    </row>
    <row r="465" spans="5:11">
      <c r="E465" s="1"/>
      <c r="F465" s="1"/>
      <c r="G465" s="1"/>
      <c r="H465" s="1"/>
      <c r="I465" s="1"/>
      <c r="J465" s="1"/>
      <c r="K465" s="1"/>
    </row>
    <row r="466" spans="5:11">
      <c r="E466" s="1"/>
      <c r="F466" s="1"/>
      <c r="G466" s="1"/>
      <c r="H466" s="1"/>
      <c r="I466" s="1"/>
      <c r="J466" s="1"/>
      <c r="K466" s="1"/>
    </row>
    <row r="467" spans="5:11">
      <c r="E467" s="1"/>
      <c r="F467" s="1"/>
      <c r="G467" s="1"/>
      <c r="H467" s="1"/>
      <c r="I467" s="1"/>
      <c r="J467" s="1"/>
      <c r="K467" s="1"/>
    </row>
    <row r="468" spans="5:11">
      <c r="E468" s="1"/>
      <c r="F468" s="1"/>
      <c r="G468" s="1"/>
      <c r="H468" s="1"/>
      <c r="I468" s="1"/>
      <c r="J468" s="1"/>
      <c r="K468" s="1"/>
    </row>
    <row r="469" spans="5:11">
      <c r="E469" s="1"/>
      <c r="F469" s="1"/>
      <c r="G469" s="1"/>
      <c r="H469" s="1"/>
      <c r="I469" s="1"/>
      <c r="J469" s="1"/>
      <c r="K469" s="1"/>
    </row>
    <row r="470" spans="5:11">
      <c r="E470" s="1"/>
      <c r="F470" s="1"/>
      <c r="G470" s="1"/>
      <c r="H470" s="1"/>
      <c r="I470" s="1"/>
      <c r="J470" s="1"/>
      <c r="K470" s="1"/>
    </row>
    <row r="471" spans="5:11">
      <c r="E471" s="1"/>
      <c r="F471" s="1"/>
      <c r="G471" s="1"/>
      <c r="H471" s="1"/>
      <c r="I471" s="1"/>
      <c r="J471" s="1"/>
      <c r="K471" s="1"/>
    </row>
    <row r="472" spans="5:11">
      <c r="E472" s="1"/>
      <c r="F472" s="1"/>
      <c r="G472" s="1"/>
      <c r="H472" s="1"/>
      <c r="I472" s="1"/>
      <c r="J472" s="1"/>
      <c r="K472" s="1"/>
    </row>
    <row r="473" spans="5:11">
      <c r="E473" s="1"/>
      <c r="F473" s="1"/>
      <c r="G473" s="1"/>
      <c r="H473" s="1"/>
      <c r="I473" s="1"/>
      <c r="J473" s="1"/>
      <c r="K473" s="1"/>
    </row>
    <row r="474" spans="5:11">
      <c r="E474" s="1"/>
      <c r="F474" s="1"/>
      <c r="G474" s="1"/>
      <c r="H474" s="1"/>
      <c r="I474" s="1"/>
      <c r="J474" s="1"/>
      <c r="K474" s="1"/>
    </row>
    <row r="475" spans="5:11">
      <c r="E475" s="1"/>
      <c r="F475" s="1"/>
      <c r="G475" s="1"/>
      <c r="H475" s="1"/>
      <c r="I475" s="1"/>
      <c r="J475" s="1"/>
      <c r="K475" s="1"/>
    </row>
    <row r="476" spans="5:11">
      <c r="E476" s="1"/>
      <c r="F476" s="1"/>
      <c r="G476" s="1"/>
      <c r="H476" s="1"/>
      <c r="I476" s="1"/>
      <c r="J476" s="1"/>
      <c r="K476" s="1"/>
    </row>
    <row r="477" spans="5:11">
      <c r="E477" s="1"/>
      <c r="F477" s="1"/>
      <c r="G477" s="1"/>
      <c r="H477" s="1"/>
      <c r="I477" s="1"/>
      <c r="J477" s="1"/>
      <c r="K477" s="1"/>
    </row>
    <row r="478" spans="5:11">
      <c r="E478" s="1"/>
      <c r="F478" s="1"/>
      <c r="G478" s="1"/>
      <c r="H478" s="1"/>
      <c r="I478" s="1"/>
      <c r="J478" s="1"/>
      <c r="K478" s="1"/>
    </row>
    <row r="479" spans="5:11">
      <c r="E479" s="1"/>
      <c r="F479" s="1"/>
      <c r="G479" s="1"/>
      <c r="H479" s="1"/>
      <c r="I479" s="1"/>
      <c r="J479" s="1"/>
      <c r="K479" s="1"/>
    </row>
    <row r="480" spans="5:11">
      <c r="E480" s="1"/>
      <c r="F480" s="1"/>
      <c r="G480" s="1"/>
      <c r="H480" s="1"/>
      <c r="I480" s="1"/>
      <c r="J480" s="1"/>
      <c r="K480" s="1"/>
    </row>
    <row r="481" spans="5:11">
      <c r="E481" s="1"/>
      <c r="F481" s="1"/>
      <c r="G481" s="1"/>
      <c r="H481" s="1"/>
      <c r="I481" s="1"/>
      <c r="J481" s="1"/>
      <c r="K481" s="1"/>
    </row>
    <row r="482" spans="5:11">
      <c r="E482" s="1"/>
      <c r="F482" s="1"/>
      <c r="G482" s="1"/>
      <c r="H482" s="1"/>
      <c r="I482" s="1"/>
      <c r="J482" s="1"/>
      <c r="K482" s="1"/>
    </row>
    <row r="483" spans="5:11">
      <c r="E483" s="1"/>
      <c r="F483" s="1"/>
      <c r="G483" s="1"/>
      <c r="H483" s="1"/>
      <c r="I483" s="1"/>
      <c r="J483" s="1"/>
      <c r="K483" s="1"/>
    </row>
    <row r="484" spans="5:11">
      <c r="E484" s="1"/>
      <c r="F484" s="1"/>
      <c r="G484" s="1"/>
      <c r="H484" s="1"/>
      <c r="I484" s="1"/>
      <c r="J484" s="1"/>
      <c r="K484" s="1"/>
    </row>
    <row r="485" spans="5:11">
      <c r="E485" s="1"/>
      <c r="F485" s="1"/>
      <c r="G485" s="1"/>
      <c r="H485" s="1"/>
      <c r="I485" s="1"/>
      <c r="J485" s="1"/>
      <c r="K485" s="1"/>
    </row>
    <row r="486" spans="5:11">
      <c r="E486" s="1"/>
      <c r="F486" s="1"/>
      <c r="G486" s="1"/>
      <c r="H486" s="1"/>
      <c r="I486" s="1"/>
      <c r="J486" s="1"/>
      <c r="K486" s="1"/>
    </row>
    <row r="487" spans="5:11">
      <c r="E487" s="1"/>
      <c r="F487" s="1"/>
      <c r="G487" s="1"/>
      <c r="H487" s="1"/>
      <c r="I487" s="1"/>
      <c r="J487" s="1"/>
      <c r="K487" s="1"/>
    </row>
    <row r="488" spans="5:11">
      <c r="E488" s="1"/>
      <c r="F488" s="1"/>
      <c r="G488" s="1"/>
      <c r="H488" s="1"/>
      <c r="I488" s="1"/>
      <c r="J488" s="1"/>
      <c r="K488" s="1"/>
    </row>
    <row r="489" spans="5:11">
      <c r="E489" s="1"/>
      <c r="F489" s="1"/>
      <c r="G489" s="1"/>
      <c r="H489" s="1"/>
      <c r="I489" s="1"/>
      <c r="J489" s="1"/>
      <c r="K489" s="1"/>
    </row>
    <row r="490" spans="5:11">
      <c r="E490" s="1"/>
      <c r="F490" s="1"/>
      <c r="G490" s="1"/>
      <c r="H490" s="1"/>
      <c r="I490" s="1"/>
      <c r="J490" s="1"/>
      <c r="K490" s="1"/>
    </row>
    <row r="491" spans="5:11">
      <c r="E491" s="1"/>
      <c r="F491" s="1"/>
      <c r="G491" s="1"/>
      <c r="H491" s="1"/>
      <c r="I491" s="1"/>
      <c r="J491" s="1"/>
      <c r="K491" s="1"/>
    </row>
    <row r="492" spans="5:11">
      <c r="E492" s="1"/>
      <c r="F492" s="1"/>
      <c r="G492" s="1"/>
      <c r="H492" s="1"/>
      <c r="I492" s="1"/>
      <c r="J492" s="1"/>
      <c r="K492" s="1"/>
    </row>
    <row r="493" spans="5:11">
      <c r="E493" s="1"/>
      <c r="F493" s="1"/>
      <c r="G493" s="1"/>
      <c r="H493" s="1"/>
      <c r="I493" s="1"/>
      <c r="J493" s="1"/>
      <c r="K493" s="1"/>
    </row>
    <row r="494" spans="5:11">
      <c r="E494" s="1"/>
      <c r="F494" s="1"/>
      <c r="G494" s="1"/>
      <c r="H494" s="1"/>
      <c r="I494" s="1"/>
      <c r="J494" s="1"/>
      <c r="K494" s="1"/>
    </row>
    <row r="495" spans="5:11">
      <c r="E495" s="1"/>
      <c r="F495" s="1"/>
      <c r="G495" s="1"/>
      <c r="H495" s="1"/>
      <c r="I495" s="1"/>
      <c r="J495" s="1"/>
      <c r="K495" s="1"/>
    </row>
    <row r="496" spans="5:11">
      <c r="E496" s="1"/>
      <c r="F496" s="1"/>
      <c r="G496" s="1"/>
      <c r="H496" s="1"/>
      <c r="I496" s="1"/>
      <c r="J496" s="1"/>
      <c r="K496" s="1"/>
    </row>
    <row r="497" spans="5:11">
      <c r="E497" s="1"/>
      <c r="F497" s="1"/>
      <c r="G497" s="1"/>
      <c r="H497" s="1"/>
      <c r="I497" s="1"/>
      <c r="J497" s="1"/>
      <c r="K497" s="1"/>
    </row>
    <row r="498" spans="5:11">
      <c r="E498" s="1"/>
      <c r="F498" s="1"/>
      <c r="G498" s="1"/>
      <c r="H498" s="1"/>
      <c r="I498" s="1"/>
      <c r="J498" s="1"/>
      <c r="K498" s="1"/>
    </row>
    <row r="499" spans="5:11">
      <c r="E499" s="1"/>
      <c r="F499" s="1"/>
      <c r="G499" s="1"/>
      <c r="H499" s="1"/>
      <c r="I499" s="1"/>
      <c r="J499" s="1"/>
      <c r="K499" s="1"/>
    </row>
    <row r="500" spans="5:11">
      <c r="E500" s="1"/>
      <c r="F500" s="1"/>
      <c r="G500" s="1"/>
      <c r="H500" s="1"/>
      <c r="I500" s="1"/>
      <c r="J500" s="1"/>
      <c r="K500" s="1"/>
    </row>
    <row r="501" spans="5:11">
      <c r="E501" s="1"/>
      <c r="F501" s="1"/>
      <c r="G501" s="1"/>
      <c r="H501" s="1"/>
      <c r="I501" s="1"/>
      <c r="J501" s="1"/>
      <c r="K501" s="1"/>
    </row>
    <row r="502" spans="5:11">
      <c r="E502" s="1"/>
      <c r="F502" s="1"/>
      <c r="G502" s="1"/>
      <c r="H502" s="1"/>
      <c r="I502" s="1"/>
      <c r="J502" s="1"/>
      <c r="K502" s="1"/>
    </row>
    <row r="503" spans="5:11">
      <c r="E503" s="1"/>
      <c r="F503" s="1"/>
      <c r="G503" s="1"/>
      <c r="H503" s="1"/>
      <c r="I503" s="1"/>
      <c r="J503" s="1"/>
      <c r="K503" s="1"/>
    </row>
    <row r="504" spans="5:11">
      <c r="E504" s="1"/>
      <c r="F504" s="1"/>
      <c r="G504" s="1"/>
      <c r="H504" s="1"/>
      <c r="I504" s="1"/>
      <c r="J504" s="1"/>
      <c r="K504" s="1"/>
    </row>
    <row r="505" spans="5:11">
      <c r="E505" s="1"/>
      <c r="F505" s="1"/>
      <c r="G505" s="1"/>
      <c r="H505" s="1"/>
      <c r="I505" s="1"/>
      <c r="J505" s="1"/>
      <c r="K505" s="1"/>
    </row>
    <row r="506" spans="5:11">
      <c r="E506" s="1"/>
      <c r="F506" s="1"/>
      <c r="G506" s="1"/>
      <c r="H506" s="1"/>
      <c r="I506" s="1"/>
      <c r="J506" s="1"/>
      <c r="K506" s="1"/>
    </row>
    <row r="507" spans="5:11">
      <c r="E507" s="1"/>
      <c r="F507" s="1"/>
      <c r="G507" s="1"/>
      <c r="H507" s="1"/>
      <c r="I507" s="1"/>
      <c r="J507" s="1"/>
      <c r="K507" s="1"/>
    </row>
    <row r="508" spans="5:11">
      <c r="E508" s="1"/>
      <c r="F508" s="1"/>
      <c r="G508" s="1"/>
      <c r="H508" s="1"/>
      <c r="I508" s="1"/>
      <c r="J508" s="1"/>
      <c r="K508" s="1"/>
    </row>
    <row r="509" spans="5:11">
      <c r="E509" s="1"/>
      <c r="F509" s="1"/>
      <c r="G509" s="1"/>
      <c r="H509" s="1"/>
      <c r="I509" s="1"/>
      <c r="J509" s="1"/>
      <c r="K509" s="1"/>
    </row>
    <row r="510" spans="5:11">
      <c r="E510" s="1"/>
      <c r="F510" s="1"/>
      <c r="G510" s="1"/>
      <c r="H510" s="1"/>
      <c r="I510" s="1"/>
      <c r="J510" s="1"/>
      <c r="K510" s="1"/>
    </row>
    <row r="511" spans="5:11">
      <c r="E511" s="1"/>
      <c r="F511" s="1"/>
      <c r="G511" s="1"/>
      <c r="H511" s="1"/>
      <c r="I511" s="1"/>
      <c r="J511" s="1"/>
      <c r="K511" s="1"/>
    </row>
    <row r="512" spans="5:11">
      <c r="E512" s="1"/>
      <c r="F512" s="1"/>
      <c r="G512" s="1"/>
      <c r="H512" s="1"/>
      <c r="I512" s="1"/>
      <c r="J512" s="1"/>
      <c r="K512" s="1"/>
    </row>
    <row r="513" spans="5:11">
      <c r="E513" s="1"/>
      <c r="F513" s="1"/>
      <c r="G513" s="1"/>
      <c r="H513" s="1"/>
      <c r="I513" s="1"/>
      <c r="J513" s="1"/>
      <c r="K513" s="1"/>
    </row>
    <row r="514" spans="5:11">
      <c r="E514" s="1"/>
      <c r="F514" s="1"/>
      <c r="G514" s="1"/>
      <c r="H514" s="1"/>
      <c r="I514" s="1"/>
      <c r="J514" s="1"/>
      <c r="K514" s="1"/>
    </row>
    <row r="515" spans="5:11">
      <c r="E515" s="1"/>
      <c r="F515" s="1"/>
      <c r="G515" s="1"/>
      <c r="H515" s="1"/>
      <c r="I515" s="1"/>
      <c r="J515" s="1"/>
      <c r="K515" s="1"/>
    </row>
    <row r="516" spans="5:11">
      <c r="E516" s="1"/>
      <c r="F516" s="1"/>
      <c r="G516" s="1"/>
      <c r="H516" s="1"/>
      <c r="I516" s="1"/>
      <c r="J516" s="1"/>
      <c r="K516" s="1"/>
    </row>
    <row r="517" spans="5:11">
      <c r="E517" s="1"/>
      <c r="F517" s="1"/>
      <c r="G517" s="1"/>
      <c r="H517" s="1"/>
      <c r="I517" s="1"/>
      <c r="J517" s="1"/>
      <c r="K517" s="1"/>
    </row>
    <row r="518" spans="5:11">
      <c r="E518" s="1"/>
      <c r="F518" s="1"/>
      <c r="G518" s="1"/>
      <c r="H518" s="1"/>
      <c r="I518" s="1"/>
      <c r="J518" s="1"/>
      <c r="K518" s="1"/>
    </row>
    <row r="519" spans="5:11">
      <c r="E519" s="1"/>
      <c r="F519" s="1"/>
      <c r="G519" s="1"/>
      <c r="H519" s="1"/>
      <c r="I519" s="1"/>
      <c r="J519" s="1"/>
      <c r="K519" s="1"/>
    </row>
    <row r="520" spans="5:11">
      <c r="E520" s="1"/>
      <c r="F520" s="1"/>
      <c r="G520" s="1"/>
      <c r="H520" s="1"/>
      <c r="I520" s="1"/>
      <c r="J520" s="1"/>
      <c r="K520" s="1"/>
    </row>
    <row r="521" spans="5:11">
      <c r="E521" s="1"/>
      <c r="F521" s="1"/>
      <c r="G521" s="1"/>
      <c r="H521" s="1"/>
      <c r="I521" s="1"/>
      <c r="J521" s="1"/>
      <c r="K521" s="1"/>
    </row>
    <row r="522" spans="5:11">
      <c r="E522" s="1"/>
      <c r="F522" s="1"/>
      <c r="G522" s="1"/>
      <c r="H522" s="1"/>
      <c r="I522" s="1"/>
      <c r="J522" s="1"/>
      <c r="K522" s="1"/>
    </row>
    <row r="523" spans="5:11">
      <c r="E523" s="1"/>
      <c r="F523" s="1"/>
      <c r="G523" s="1"/>
      <c r="H523" s="1"/>
      <c r="I523" s="1"/>
      <c r="J523" s="1"/>
      <c r="K523" s="1"/>
    </row>
    <row r="524" spans="5:11">
      <c r="E524" s="1"/>
      <c r="F524" s="1"/>
      <c r="G524" s="1"/>
      <c r="H524" s="1"/>
      <c r="I524" s="1"/>
      <c r="J524" s="1"/>
      <c r="K524" s="1"/>
    </row>
    <row r="525" spans="5:11">
      <c r="E525" s="1"/>
      <c r="F525" s="1"/>
      <c r="G525" s="1"/>
      <c r="H525" s="1"/>
      <c r="I525" s="1"/>
      <c r="J525" s="1"/>
      <c r="K525" s="1"/>
    </row>
    <row r="526" spans="5:11">
      <c r="E526" s="1"/>
      <c r="F526" s="1"/>
      <c r="G526" s="1"/>
      <c r="H526" s="1"/>
      <c r="I526" s="1"/>
      <c r="J526" s="1"/>
      <c r="K526" s="1"/>
    </row>
    <row r="527" spans="5:11">
      <c r="E527" s="1"/>
      <c r="F527" s="1"/>
      <c r="G527" s="1"/>
      <c r="H527" s="1"/>
      <c r="I527" s="1"/>
      <c r="J527" s="1"/>
      <c r="K527" s="1"/>
    </row>
    <row r="528" spans="5:11">
      <c r="E528" s="1"/>
      <c r="F528" s="1"/>
      <c r="G528" s="1"/>
      <c r="H528" s="1"/>
      <c r="I528" s="1"/>
      <c r="J528" s="1"/>
      <c r="K528" s="1"/>
    </row>
    <row r="529" spans="5:11">
      <c r="E529" s="1"/>
      <c r="F529" s="1"/>
      <c r="G529" s="1"/>
      <c r="H529" s="1"/>
      <c r="I529" s="1"/>
      <c r="J529" s="1"/>
      <c r="K529" s="1"/>
    </row>
    <row r="530" spans="5:11">
      <c r="E530" s="1"/>
      <c r="F530" s="1"/>
      <c r="G530" s="1"/>
      <c r="H530" s="1"/>
      <c r="I530" s="1"/>
      <c r="J530" s="1"/>
      <c r="K530" s="1"/>
    </row>
    <row r="531" spans="5:11">
      <c r="E531" s="1"/>
      <c r="F531" s="1"/>
      <c r="G531" s="1"/>
      <c r="H531" s="1"/>
      <c r="I531" s="1"/>
      <c r="J531" s="1"/>
      <c r="K531" s="1"/>
    </row>
    <row r="532" spans="5:11">
      <c r="E532" s="1"/>
      <c r="F532" s="1"/>
      <c r="G532" s="1"/>
      <c r="H532" s="1"/>
      <c r="I532" s="1"/>
      <c r="J532" s="1"/>
      <c r="K532" s="1"/>
    </row>
    <row r="533" spans="5:11">
      <c r="E533" s="1"/>
      <c r="F533" s="1"/>
      <c r="G533" s="1"/>
      <c r="H533" s="1"/>
      <c r="I533" s="1"/>
      <c r="J533" s="1"/>
      <c r="K533" s="1"/>
    </row>
    <row r="534" spans="5:11">
      <c r="E534" s="1"/>
      <c r="F534" s="1"/>
      <c r="G534" s="1"/>
      <c r="H534" s="1"/>
      <c r="I534" s="1"/>
      <c r="J534" s="1"/>
      <c r="K534" s="1"/>
    </row>
    <row r="535" spans="5:11">
      <c r="E535" s="1"/>
      <c r="F535" s="1"/>
      <c r="G535" s="1"/>
      <c r="H535" s="1"/>
      <c r="I535" s="1"/>
      <c r="J535" s="1"/>
      <c r="K535" s="1"/>
    </row>
    <row r="536" spans="5:11">
      <c r="E536" s="1"/>
      <c r="F536" s="1"/>
      <c r="G536" s="1"/>
      <c r="H536" s="1"/>
      <c r="I536" s="1"/>
      <c r="J536" s="1"/>
      <c r="K536" s="1"/>
    </row>
    <row r="537" spans="5:11">
      <c r="E537" s="1"/>
      <c r="F537" s="1"/>
      <c r="G537" s="1"/>
      <c r="H537" s="1"/>
      <c r="I537" s="1"/>
      <c r="J537" s="1"/>
      <c r="K537" s="1"/>
    </row>
    <row r="538" spans="5:11">
      <c r="E538" s="1"/>
      <c r="F538" s="1"/>
      <c r="G538" s="1"/>
      <c r="H538" s="1"/>
      <c r="I538" s="1"/>
      <c r="J538" s="1"/>
      <c r="K538" s="1"/>
    </row>
    <row r="539" spans="5:11">
      <c r="E539" s="1"/>
      <c r="F539" s="1"/>
      <c r="G539" s="1"/>
      <c r="H539" s="1"/>
      <c r="I539" s="1"/>
      <c r="J539" s="1"/>
      <c r="K539" s="1"/>
    </row>
    <row r="540" spans="5:11">
      <c r="E540" s="1"/>
      <c r="F540" s="1"/>
      <c r="G540" s="1"/>
      <c r="H540" s="1"/>
      <c r="I540" s="1"/>
      <c r="J540" s="1"/>
      <c r="K540" s="1"/>
    </row>
    <row r="541" spans="5:11">
      <c r="E541" s="1"/>
      <c r="F541" s="1"/>
      <c r="G541" s="1"/>
      <c r="H541" s="1"/>
      <c r="I541" s="1"/>
      <c r="J541" s="1"/>
      <c r="K541" s="1"/>
    </row>
    <row r="542" spans="5:11">
      <c r="E542" s="1"/>
      <c r="F542" s="1"/>
      <c r="G542" s="1"/>
      <c r="H542" s="1"/>
      <c r="I542" s="1"/>
      <c r="J542" s="1"/>
      <c r="K542" s="1"/>
    </row>
    <row r="543" spans="5:11">
      <c r="E543" s="1"/>
      <c r="F543" s="1"/>
      <c r="G543" s="1"/>
      <c r="H543" s="1"/>
      <c r="I543" s="1"/>
      <c r="J543" s="1"/>
      <c r="K543" s="1"/>
    </row>
    <row r="544" spans="5:11">
      <c r="E544" s="1"/>
      <c r="F544" s="1"/>
      <c r="G544" s="1"/>
      <c r="H544" s="1"/>
      <c r="I544" s="1"/>
      <c r="J544" s="1"/>
      <c r="K544" s="1"/>
    </row>
    <row r="545" spans="5:11">
      <c r="E545" s="1"/>
      <c r="F545" s="1"/>
      <c r="G545" s="1"/>
      <c r="H545" s="1"/>
      <c r="I545" s="1"/>
      <c r="J545" s="1"/>
      <c r="K545" s="1"/>
    </row>
    <row r="546" spans="5:11">
      <c r="E546" s="1"/>
      <c r="F546" s="1"/>
      <c r="G546" s="1"/>
      <c r="H546" s="1"/>
      <c r="I546" s="1"/>
      <c r="J546" s="1"/>
      <c r="K546" s="1"/>
    </row>
    <row r="547" spans="5:11">
      <c r="E547" s="1"/>
      <c r="F547" s="1"/>
      <c r="G547" s="1"/>
      <c r="H547" s="1"/>
      <c r="I547" s="1"/>
      <c r="J547" s="1"/>
      <c r="K547" s="1"/>
    </row>
    <row r="548" spans="5:11">
      <c r="E548" s="1"/>
      <c r="F548" s="1"/>
      <c r="G548" s="1"/>
      <c r="H548" s="1"/>
      <c r="I548" s="1"/>
      <c r="J548" s="1"/>
      <c r="K548" s="1"/>
    </row>
    <row r="549" spans="5:11">
      <c r="E549" s="1"/>
      <c r="F549" s="1"/>
      <c r="G549" s="1"/>
      <c r="H549" s="1"/>
      <c r="I549" s="1"/>
      <c r="J549" s="1"/>
      <c r="K549" s="1"/>
    </row>
    <row r="550" spans="5:11">
      <c r="E550" s="1"/>
      <c r="F550" s="1"/>
      <c r="G550" s="1"/>
      <c r="H550" s="1"/>
      <c r="I550" s="1"/>
      <c r="J550" s="1"/>
      <c r="K550" s="1"/>
    </row>
    <row r="551" spans="5:11">
      <c r="E551" s="1"/>
      <c r="F551" s="1"/>
      <c r="G551" s="1"/>
      <c r="H551" s="1"/>
      <c r="I551" s="1"/>
      <c r="J551" s="1"/>
      <c r="K551" s="1"/>
    </row>
    <row r="552" spans="5:11">
      <c r="E552" s="1"/>
      <c r="F552" s="1"/>
      <c r="G552" s="1"/>
      <c r="H552" s="1"/>
      <c r="I552" s="1"/>
      <c r="J552" s="1"/>
      <c r="K552" s="1"/>
    </row>
    <row r="553" spans="5:11">
      <c r="E553" s="1"/>
      <c r="F553" s="1"/>
      <c r="G553" s="1"/>
      <c r="H553" s="1"/>
      <c r="I553" s="1"/>
      <c r="J553" s="1"/>
      <c r="K553" s="1"/>
    </row>
    <row r="554" spans="5:11">
      <c r="E554" s="1"/>
      <c r="F554" s="1"/>
      <c r="G554" s="1"/>
      <c r="H554" s="1"/>
      <c r="I554" s="1"/>
      <c r="J554" s="1"/>
      <c r="K554" s="1"/>
    </row>
    <row r="555" spans="5:11">
      <c r="E555" s="1"/>
      <c r="F555" s="1"/>
      <c r="G555" s="1"/>
      <c r="H555" s="1"/>
      <c r="I555" s="1"/>
      <c r="J555" s="1"/>
      <c r="K555" s="1"/>
    </row>
    <row r="556" spans="5:11">
      <c r="E556" s="1"/>
      <c r="F556" s="1"/>
      <c r="G556" s="1"/>
      <c r="H556" s="1"/>
      <c r="I556" s="1"/>
      <c r="J556" s="1"/>
      <c r="K556" s="1"/>
    </row>
    <row r="557" spans="5:11">
      <c r="E557" s="1"/>
      <c r="F557" s="1"/>
      <c r="G557" s="1"/>
      <c r="H557" s="1"/>
      <c r="I557" s="1"/>
      <c r="J557" s="1"/>
      <c r="K557" s="1"/>
    </row>
    <row r="558" spans="5:11">
      <c r="E558" s="1"/>
      <c r="F558" s="1"/>
      <c r="G558" s="1"/>
      <c r="H558" s="1"/>
      <c r="I558" s="1"/>
      <c r="J558" s="1"/>
      <c r="K558" s="1"/>
    </row>
    <row r="559" spans="5:11">
      <c r="E559" s="1"/>
      <c r="F559" s="1"/>
      <c r="G559" s="1"/>
      <c r="H559" s="1"/>
      <c r="I559" s="1"/>
      <c r="J559" s="1"/>
      <c r="K559" s="1"/>
    </row>
    <row r="560" spans="5:11">
      <c r="E560" s="1"/>
      <c r="F560" s="1"/>
      <c r="G560" s="1"/>
      <c r="H560" s="1"/>
      <c r="I560" s="1"/>
      <c r="J560" s="1"/>
      <c r="K560" s="1"/>
    </row>
    <row r="561" spans="5:11">
      <c r="E561" s="1"/>
      <c r="F561" s="1"/>
      <c r="G561" s="1"/>
      <c r="H561" s="1"/>
      <c r="I561" s="1"/>
      <c r="J561" s="1"/>
      <c r="K561" s="1"/>
    </row>
    <row r="562" spans="5:11">
      <c r="E562" s="1"/>
      <c r="F562" s="1"/>
      <c r="G562" s="1"/>
      <c r="H562" s="1"/>
      <c r="I562" s="1"/>
      <c r="J562" s="1"/>
      <c r="K562" s="1"/>
    </row>
    <row r="563" spans="5:11">
      <c r="E563" s="1"/>
      <c r="F563" s="1"/>
      <c r="G563" s="1"/>
      <c r="H563" s="1"/>
      <c r="I563" s="1"/>
      <c r="J563" s="1"/>
      <c r="K563" s="1"/>
    </row>
    <row r="564" spans="5:11">
      <c r="E564" s="1"/>
      <c r="F564" s="1"/>
      <c r="G564" s="1"/>
      <c r="H564" s="1"/>
      <c r="I564" s="1"/>
      <c r="J564" s="1"/>
      <c r="K564" s="1"/>
    </row>
    <row r="565" spans="5:11">
      <c r="E565" s="1"/>
      <c r="F565" s="1"/>
      <c r="G565" s="1"/>
      <c r="H565" s="1"/>
      <c r="I565" s="1"/>
      <c r="J565" s="1"/>
      <c r="K565" s="1"/>
    </row>
    <row r="566" spans="5:11">
      <c r="E566" s="1"/>
      <c r="F566" s="1"/>
      <c r="G566" s="1"/>
      <c r="H566" s="1"/>
      <c r="I566" s="1"/>
      <c r="J566" s="1"/>
      <c r="K566" s="1"/>
    </row>
    <row r="567" spans="5:11">
      <c r="E567" s="1"/>
      <c r="F567" s="1"/>
      <c r="G567" s="1"/>
      <c r="H567" s="1"/>
      <c r="I567" s="1"/>
      <c r="J567" s="1"/>
      <c r="K567" s="1"/>
    </row>
    <row r="568" spans="5:11">
      <c r="E568" s="1"/>
      <c r="F568" s="1"/>
      <c r="G568" s="1"/>
      <c r="H568" s="1"/>
      <c r="I568" s="1"/>
      <c r="J568" s="1"/>
      <c r="K568" s="1"/>
    </row>
    <row r="569" spans="5:11">
      <c r="E569" s="1"/>
      <c r="F569" s="1"/>
      <c r="G569" s="1"/>
      <c r="H569" s="1"/>
      <c r="I569" s="1"/>
      <c r="J569" s="1"/>
      <c r="K569" s="1"/>
    </row>
    <row r="570" spans="5:11">
      <c r="E570" s="1"/>
      <c r="F570" s="1"/>
      <c r="G570" s="1"/>
      <c r="H570" s="1"/>
      <c r="I570" s="1"/>
      <c r="J570" s="1"/>
      <c r="K570" s="1"/>
    </row>
    <row r="571" spans="5:11">
      <c r="E571" s="1"/>
      <c r="F571" s="1"/>
      <c r="G571" s="1"/>
      <c r="H571" s="1"/>
      <c r="I571" s="1"/>
      <c r="J571" s="1"/>
      <c r="K571" s="1"/>
    </row>
    <row r="572" spans="5:11">
      <c r="E572" s="1"/>
      <c r="F572" s="1"/>
      <c r="G572" s="1"/>
      <c r="H572" s="1"/>
      <c r="I572" s="1"/>
      <c r="J572" s="1"/>
      <c r="K572" s="1"/>
    </row>
    <row r="573" spans="5:11">
      <c r="E573" s="1"/>
      <c r="F573" s="1"/>
      <c r="G573" s="1"/>
      <c r="H573" s="1"/>
      <c r="I573" s="1"/>
      <c r="J573" s="1"/>
      <c r="K573" s="1"/>
    </row>
    <row r="574" spans="5:11">
      <c r="E574" s="1"/>
      <c r="F574" s="1"/>
      <c r="G574" s="1"/>
      <c r="H574" s="1"/>
      <c r="I574" s="1"/>
      <c r="J574" s="1"/>
      <c r="K574" s="1"/>
    </row>
    <row r="575" spans="5:11">
      <c r="E575" s="1"/>
      <c r="F575" s="1"/>
      <c r="G575" s="1"/>
      <c r="H575" s="1"/>
      <c r="I575" s="1"/>
      <c r="J575" s="1"/>
      <c r="K575" s="1"/>
    </row>
    <row r="576" spans="5:11">
      <c r="E576" s="1"/>
      <c r="F576" s="1"/>
      <c r="G576" s="1"/>
      <c r="H576" s="1"/>
      <c r="I576" s="1"/>
      <c r="J576" s="1"/>
      <c r="K576" s="1"/>
    </row>
    <row r="577" spans="5:11">
      <c r="E577" s="1"/>
      <c r="F577" s="1"/>
      <c r="G577" s="1"/>
      <c r="H577" s="1"/>
      <c r="I577" s="1"/>
      <c r="J577" s="1"/>
      <c r="K577" s="1"/>
    </row>
    <row r="578" spans="5:11">
      <c r="E578" s="1"/>
      <c r="F578" s="1"/>
      <c r="G578" s="1"/>
      <c r="H578" s="1"/>
      <c r="I578" s="1"/>
      <c r="J578" s="1"/>
      <c r="K578" s="1"/>
    </row>
    <row r="579" spans="5:11">
      <c r="E579" s="1"/>
      <c r="F579" s="1"/>
      <c r="G579" s="1"/>
      <c r="H579" s="1"/>
      <c r="I579" s="1"/>
      <c r="J579" s="1"/>
      <c r="K579" s="1"/>
    </row>
    <row r="580" spans="5:11">
      <c r="E580" s="1"/>
      <c r="F580" s="1"/>
      <c r="G580" s="1"/>
      <c r="H580" s="1"/>
      <c r="I580" s="1"/>
      <c r="J580" s="1"/>
      <c r="K580" s="1"/>
    </row>
    <row r="581" spans="5:11">
      <c r="E581" s="1"/>
      <c r="F581" s="1"/>
      <c r="G581" s="1"/>
      <c r="H581" s="1"/>
      <c r="I581" s="1"/>
      <c r="J581" s="1"/>
      <c r="K581" s="1"/>
    </row>
    <row r="582" spans="5:11">
      <c r="E582" s="1"/>
      <c r="F582" s="1"/>
      <c r="G582" s="1"/>
      <c r="H582" s="1"/>
      <c r="I582" s="1"/>
      <c r="J582" s="1"/>
      <c r="K582" s="1"/>
    </row>
    <row r="583" spans="5:11">
      <c r="E583" s="1"/>
      <c r="F583" s="1"/>
      <c r="G583" s="1"/>
      <c r="H583" s="1"/>
      <c r="I583" s="1"/>
      <c r="J583" s="1"/>
      <c r="K583" s="1"/>
    </row>
    <row r="584" spans="5:11">
      <c r="E584" s="1"/>
      <c r="F584" s="1"/>
      <c r="G584" s="1"/>
      <c r="H584" s="1"/>
      <c r="I584" s="1"/>
      <c r="J584" s="1"/>
      <c r="K584" s="1"/>
    </row>
    <row r="585" spans="5:11">
      <c r="E585" s="1"/>
      <c r="F585" s="1"/>
      <c r="G585" s="1"/>
      <c r="H585" s="1"/>
      <c r="I585" s="1"/>
      <c r="J585" s="1"/>
      <c r="K585" s="1"/>
    </row>
    <row r="586" spans="5:11">
      <c r="E586" s="1"/>
      <c r="F586" s="1"/>
      <c r="G586" s="1"/>
      <c r="H586" s="1"/>
      <c r="I586" s="1"/>
      <c r="J586" s="1"/>
      <c r="K586" s="1"/>
    </row>
    <row r="587" spans="5:11">
      <c r="E587" s="1"/>
      <c r="F587" s="1"/>
      <c r="G587" s="1"/>
      <c r="H587" s="1"/>
      <c r="I587" s="1"/>
      <c r="J587" s="1"/>
      <c r="K587" s="1"/>
    </row>
    <row r="588" spans="5:11">
      <c r="E588" s="1"/>
      <c r="F588" s="1"/>
      <c r="G588" s="1"/>
      <c r="H588" s="1"/>
      <c r="I588" s="1"/>
      <c r="J588" s="1"/>
      <c r="K588" s="1"/>
    </row>
    <row r="589" spans="5:11">
      <c r="E589" s="1"/>
      <c r="F589" s="1"/>
      <c r="G589" s="1"/>
      <c r="H589" s="1"/>
      <c r="I589" s="1"/>
      <c r="J589" s="1"/>
      <c r="K589" s="1"/>
    </row>
    <row r="590" spans="5:11">
      <c r="E590" s="1"/>
      <c r="F590" s="1"/>
      <c r="G590" s="1"/>
      <c r="H590" s="1"/>
      <c r="I590" s="1"/>
      <c r="J590" s="1"/>
      <c r="K590" s="1"/>
    </row>
    <row r="591" spans="5:11">
      <c r="E591" s="1"/>
      <c r="F591" s="1"/>
      <c r="G591" s="1"/>
      <c r="H591" s="1"/>
      <c r="I591" s="1"/>
      <c r="J591" s="1"/>
      <c r="K591" s="1"/>
    </row>
    <row r="592" spans="5:11">
      <c r="E592" s="1"/>
      <c r="F592" s="1"/>
      <c r="G592" s="1"/>
      <c r="H592" s="1"/>
      <c r="I592" s="1"/>
      <c r="J592" s="1"/>
      <c r="K592" s="1"/>
    </row>
    <row r="593" spans="5:11">
      <c r="E593" s="1"/>
      <c r="F593" s="1"/>
      <c r="G593" s="1"/>
      <c r="H593" s="1"/>
      <c r="I593" s="1"/>
      <c r="J593" s="1"/>
      <c r="K593" s="1"/>
    </row>
    <row r="594" spans="5:11">
      <c r="E594" s="1"/>
      <c r="F594" s="1"/>
      <c r="G594" s="1"/>
      <c r="H594" s="1"/>
      <c r="I594" s="1"/>
      <c r="J594" s="1"/>
      <c r="K594" s="1"/>
    </row>
    <row r="595" spans="5:11">
      <c r="E595" s="1"/>
      <c r="F595" s="1"/>
      <c r="G595" s="1"/>
      <c r="H595" s="1"/>
      <c r="I595" s="1"/>
      <c r="J595" s="1"/>
      <c r="K595" s="1"/>
    </row>
    <row r="596" spans="5:11">
      <c r="E596" s="1"/>
      <c r="F596" s="1"/>
      <c r="G596" s="1"/>
      <c r="H596" s="1"/>
      <c r="I596" s="1"/>
      <c r="J596" s="1"/>
      <c r="K596" s="1"/>
    </row>
    <row r="597" spans="5:11">
      <c r="E597" s="1"/>
      <c r="F597" s="1"/>
      <c r="G597" s="1"/>
      <c r="H597" s="1"/>
      <c r="I597" s="1"/>
      <c r="J597" s="1"/>
      <c r="K597" s="1"/>
    </row>
    <row r="598" spans="5:11">
      <c r="E598" s="1"/>
      <c r="F598" s="1"/>
      <c r="G598" s="1"/>
      <c r="H598" s="1"/>
      <c r="I598" s="1"/>
      <c r="J598" s="1"/>
      <c r="K598" s="1"/>
    </row>
    <row r="599" spans="5:11">
      <c r="E599" s="1"/>
      <c r="F599" s="1"/>
      <c r="G599" s="1"/>
      <c r="H599" s="1"/>
      <c r="I599" s="1"/>
      <c r="J599" s="1"/>
      <c r="K599" s="1"/>
    </row>
    <row r="600" spans="5:11">
      <c r="E600" s="1"/>
      <c r="F600" s="1"/>
      <c r="G600" s="1"/>
      <c r="H600" s="1"/>
      <c r="I600" s="1"/>
      <c r="J600" s="1"/>
      <c r="K600" s="1"/>
    </row>
    <row r="601" spans="5:11">
      <c r="E601" s="1"/>
      <c r="F601" s="1"/>
      <c r="G601" s="1"/>
      <c r="H601" s="1"/>
      <c r="I601" s="1"/>
      <c r="J601" s="1"/>
      <c r="K601" s="1"/>
    </row>
    <row r="602" spans="5:11">
      <c r="E602" s="1"/>
      <c r="F602" s="1"/>
      <c r="G602" s="1"/>
      <c r="H602" s="1"/>
      <c r="I602" s="1"/>
      <c r="J602" s="1"/>
      <c r="K602" s="1"/>
    </row>
    <row r="603" spans="5:11">
      <c r="E603" s="1"/>
      <c r="F603" s="1"/>
      <c r="G603" s="1"/>
      <c r="H603" s="1"/>
      <c r="I603" s="1"/>
      <c r="J603" s="1"/>
      <c r="K603" s="1"/>
    </row>
    <row r="604" spans="5:11">
      <c r="E604" s="1"/>
      <c r="F604" s="1"/>
      <c r="G604" s="1"/>
      <c r="H604" s="1"/>
      <c r="I604" s="1"/>
      <c r="J604" s="1"/>
      <c r="K604" s="1"/>
    </row>
    <row r="605" spans="5:11">
      <c r="E605" s="1"/>
      <c r="F605" s="1"/>
      <c r="G605" s="1"/>
      <c r="H605" s="1"/>
      <c r="I605" s="1"/>
      <c r="J605" s="1"/>
      <c r="K605" s="1"/>
    </row>
    <row r="606" spans="5:11">
      <c r="E606" s="1"/>
      <c r="F606" s="1"/>
      <c r="G606" s="1"/>
      <c r="H606" s="1"/>
      <c r="I606" s="1"/>
      <c r="J606" s="1"/>
      <c r="K606" s="1"/>
    </row>
    <row r="607" spans="5:11">
      <c r="E607" s="1"/>
      <c r="F607" s="1"/>
      <c r="G607" s="1"/>
      <c r="H607" s="1"/>
      <c r="I607" s="1"/>
      <c r="J607" s="1"/>
      <c r="K607" s="1"/>
    </row>
    <row r="608" spans="5:11">
      <c r="E608" s="1"/>
      <c r="F608" s="1"/>
      <c r="G608" s="1"/>
      <c r="H608" s="1"/>
      <c r="I608" s="1"/>
      <c r="J608" s="1"/>
      <c r="K608" s="1"/>
    </row>
    <row r="609" spans="5:11">
      <c r="E609" s="1"/>
      <c r="F609" s="1"/>
      <c r="G609" s="1"/>
      <c r="H609" s="1"/>
      <c r="I609" s="1"/>
      <c r="J609" s="1"/>
      <c r="K609" s="1"/>
    </row>
    <row r="610" spans="5:11">
      <c r="E610" s="1"/>
      <c r="F610" s="1"/>
      <c r="G610" s="1"/>
      <c r="H610" s="1"/>
      <c r="I610" s="1"/>
      <c r="J610" s="1"/>
      <c r="K610" s="1"/>
    </row>
    <row r="611" spans="5:11">
      <c r="E611" s="1"/>
      <c r="F611" s="1"/>
      <c r="G611" s="1"/>
      <c r="H611" s="1"/>
      <c r="I611" s="1"/>
      <c r="J611" s="1"/>
      <c r="K611" s="1"/>
    </row>
    <row r="612" spans="5:11">
      <c r="E612" s="1"/>
      <c r="F612" s="1"/>
      <c r="G612" s="1"/>
      <c r="H612" s="1"/>
      <c r="I612" s="1"/>
      <c r="J612" s="1"/>
      <c r="K612" s="1"/>
    </row>
    <row r="613" spans="5:11">
      <c r="E613" s="1"/>
      <c r="F613" s="1"/>
      <c r="G613" s="1"/>
      <c r="H613" s="1"/>
      <c r="I613" s="1"/>
      <c r="J613" s="1"/>
      <c r="K613" s="1"/>
    </row>
    <row r="614" spans="5:11">
      <c r="E614" s="1"/>
      <c r="F614" s="1"/>
      <c r="G614" s="1"/>
      <c r="H614" s="1"/>
      <c r="I614" s="1"/>
      <c r="J614" s="1"/>
      <c r="K614" s="1"/>
    </row>
    <row r="615" spans="5:11">
      <c r="E615" s="1"/>
      <c r="F615" s="1"/>
      <c r="G615" s="1"/>
      <c r="H615" s="1"/>
      <c r="I615" s="1"/>
      <c r="J615" s="1"/>
      <c r="K615" s="1"/>
    </row>
    <row r="616" spans="5:11">
      <c r="E616" s="1"/>
      <c r="F616" s="1"/>
      <c r="G616" s="1"/>
      <c r="H616" s="1"/>
      <c r="I616" s="1"/>
      <c r="J616" s="1"/>
      <c r="K616" s="1"/>
    </row>
    <row r="617" spans="5:11">
      <c r="E617" s="1"/>
      <c r="F617" s="1"/>
      <c r="G617" s="1"/>
      <c r="H617" s="1"/>
      <c r="I617" s="1"/>
      <c r="J617" s="1"/>
      <c r="K617" s="1"/>
    </row>
    <row r="618" spans="5:11">
      <c r="E618" s="1"/>
      <c r="F618" s="1"/>
      <c r="G618" s="1"/>
      <c r="H618" s="1"/>
      <c r="I618" s="1"/>
      <c r="J618" s="1"/>
      <c r="K618" s="1"/>
    </row>
    <row r="619" spans="5:11">
      <c r="E619" s="1"/>
      <c r="F619" s="1"/>
      <c r="G619" s="1"/>
      <c r="H619" s="1"/>
      <c r="I619" s="1"/>
      <c r="J619" s="1"/>
      <c r="K619" s="1"/>
    </row>
    <row r="620" spans="5:11">
      <c r="E620" s="1"/>
      <c r="F620" s="1"/>
      <c r="G620" s="1"/>
      <c r="H620" s="1"/>
      <c r="I620" s="1"/>
      <c r="J620" s="1"/>
      <c r="K620" s="1"/>
    </row>
    <row r="621" spans="5:11">
      <c r="E621" s="1"/>
      <c r="F621" s="1"/>
      <c r="G621" s="1"/>
      <c r="H621" s="1"/>
      <c r="I621" s="1"/>
      <c r="J621" s="1"/>
      <c r="K621" s="1"/>
    </row>
    <row r="622" spans="5:11">
      <c r="E622" s="1"/>
      <c r="F622" s="1"/>
      <c r="G622" s="1"/>
      <c r="H622" s="1"/>
      <c r="I622" s="1"/>
      <c r="J622" s="1"/>
      <c r="K622" s="1"/>
    </row>
    <row r="623" spans="5:11">
      <c r="E623" s="1"/>
      <c r="F623" s="1"/>
      <c r="G623" s="1"/>
      <c r="H623" s="1"/>
      <c r="I623" s="1"/>
      <c r="J623" s="1"/>
      <c r="K623" s="1"/>
    </row>
    <row r="624" spans="5:11">
      <c r="E624" s="1"/>
      <c r="F624" s="1"/>
      <c r="G624" s="1"/>
      <c r="H624" s="1"/>
      <c r="I624" s="1"/>
      <c r="J624" s="1"/>
      <c r="K624" s="1"/>
    </row>
    <row r="625" spans="5:11">
      <c r="E625" s="1"/>
      <c r="F625" s="1"/>
      <c r="G625" s="1"/>
      <c r="H625" s="1"/>
      <c r="I625" s="1"/>
      <c r="J625" s="1"/>
      <c r="K625" s="1"/>
    </row>
    <row r="626" spans="5:11">
      <c r="E626" s="1"/>
      <c r="F626" s="1"/>
      <c r="G626" s="1"/>
      <c r="H626" s="1"/>
      <c r="I626" s="1"/>
      <c r="J626" s="1"/>
      <c r="K626" s="1"/>
    </row>
    <row r="627" spans="5:11">
      <c r="E627" s="1"/>
      <c r="F627" s="1"/>
      <c r="G627" s="1"/>
      <c r="H627" s="1"/>
      <c r="I627" s="1"/>
      <c r="J627" s="1"/>
      <c r="K627" s="1"/>
    </row>
    <row r="628" spans="5:11">
      <c r="E628" s="1"/>
      <c r="F628" s="1"/>
      <c r="G628" s="1"/>
      <c r="H628" s="1"/>
      <c r="I628" s="1"/>
      <c r="J628" s="1"/>
      <c r="K628" s="1"/>
    </row>
    <row r="629" spans="5:11">
      <c r="E629" s="1"/>
      <c r="F629" s="1"/>
      <c r="G629" s="1"/>
      <c r="H629" s="1"/>
      <c r="I629" s="1"/>
      <c r="J629" s="1"/>
      <c r="K629" s="1"/>
    </row>
    <row r="630" spans="5:11">
      <c r="E630" s="1"/>
      <c r="F630" s="1"/>
      <c r="G630" s="1"/>
      <c r="H630" s="1"/>
      <c r="I630" s="1"/>
      <c r="J630" s="1"/>
      <c r="K630" s="1"/>
    </row>
    <row r="631" spans="5:11">
      <c r="E631" s="1"/>
      <c r="F631" s="1"/>
      <c r="G631" s="1"/>
      <c r="H631" s="1"/>
      <c r="I631" s="1"/>
      <c r="J631" s="1"/>
      <c r="K631" s="1"/>
    </row>
    <row r="632" spans="5:11">
      <c r="E632" s="1"/>
      <c r="F632" s="1"/>
      <c r="G632" s="1"/>
      <c r="H632" s="1"/>
      <c r="I632" s="1"/>
      <c r="J632" s="1"/>
      <c r="K632" s="1"/>
    </row>
    <row r="633" spans="5:11">
      <c r="E633" s="1"/>
      <c r="F633" s="1"/>
      <c r="G633" s="1"/>
      <c r="H633" s="1"/>
      <c r="I633" s="1"/>
      <c r="J633" s="1"/>
      <c r="K633" s="1"/>
    </row>
    <row r="634" spans="5:11">
      <c r="E634" s="1"/>
      <c r="F634" s="1"/>
      <c r="G634" s="1"/>
      <c r="H634" s="1"/>
      <c r="I634" s="1"/>
      <c r="J634" s="1"/>
      <c r="K634" s="1"/>
    </row>
    <row r="635" spans="5:11">
      <c r="E635" s="1"/>
      <c r="F635" s="1"/>
      <c r="G635" s="1"/>
      <c r="H635" s="1"/>
      <c r="I635" s="1"/>
      <c r="J635" s="1"/>
      <c r="K635" s="1"/>
    </row>
    <row r="636" spans="5:11">
      <c r="E636" s="1"/>
      <c r="F636" s="1"/>
      <c r="G636" s="1"/>
      <c r="H636" s="1"/>
      <c r="I636" s="1"/>
      <c r="J636" s="1"/>
      <c r="K636" s="1"/>
    </row>
    <row r="637" spans="5:11">
      <c r="E637" s="1"/>
      <c r="F637" s="1"/>
      <c r="G637" s="1"/>
      <c r="H637" s="1"/>
      <c r="I637" s="1"/>
      <c r="J637" s="1"/>
      <c r="K637" s="1"/>
    </row>
    <row r="638" spans="5:11">
      <c r="E638" s="1"/>
      <c r="F638" s="1"/>
      <c r="G638" s="1"/>
      <c r="H638" s="1"/>
      <c r="I638" s="1"/>
      <c r="J638" s="1"/>
      <c r="K638" s="1"/>
    </row>
    <row r="639" spans="5:11">
      <c r="E639" s="1"/>
      <c r="F639" s="1"/>
      <c r="G639" s="1"/>
      <c r="H639" s="1"/>
      <c r="I639" s="1"/>
      <c r="J639" s="1"/>
      <c r="K639" s="1"/>
    </row>
    <row r="640" spans="5:11">
      <c r="E640" s="1"/>
      <c r="F640" s="1"/>
      <c r="G640" s="1"/>
      <c r="H640" s="1"/>
      <c r="I640" s="1"/>
      <c r="J640" s="1"/>
      <c r="K640" s="1"/>
    </row>
    <row r="641" spans="5:11">
      <c r="E641" s="1"/>
      <c r="F641" s="1"/>
      <c r="G641" s="1"/>
      <c r="H641" s="1"/>
      <c r="I641" s="1"/>
      <c r="J641" s="1"/>
      <c r="K641" s="1"/>
    </row>
    <row r="642" spans="5:11">
      <c r="E642" s="1"/>
      <c r="F642" s="1"/>
      <c r="G642" s="1"/>
      <c r="H642" s="1"/>
      <c r="I642" s="1"/>
      <c r="J642" s="1"/>
      <c r="K642" s="1"/>
    </row>
    <row r="643" spans="5:11">
      <c r="E643" s="1"/>
      <c r="F643" s="1"/>
      <c r="G643" s="1"/>
      <c r="H643" s="1"/>
      <c r="I643" s="1"/>
      <c r="J643" s="1"/>
      <c r="K643" s="1"/>
    </row>
    <row r="644" spans="5:11">
      <c r="E644" s="1"/>
      <c r="F644" s="1"/>
      <c r="G644" s="1"/>
      <c r="H644" s="1"/>
      <c r="I644" s="1"/>
      <c r="J644" s="1"/>
      <c r="K644" s="1"/>
    </row>
    <row r="645" spans="5:11">
      <c r="E645" s="1"/>
      <c r="F645" s="1"/>
      <c r="G645" s="1"/>
      <c r="H645" s="1"/>
      <c r="I645" s="1"/>
      <c r="J645" s="1"/>
      <c r="K645" s="1"/>
    </row>
    <row r="646" spans="5:11">
      <c r="E646" s="1"/>
      <c r="F646" s="1"/>
      <c r="G646" s="1"/>
      <c r="H646" s="1"/>
      <c r="I646" s="1"/>
      <c r="J646" s="1"/>
      <c r="K646" s="1"/>
    </row>
    <row r="647" spans="5:11">
      <c r="E647" s="1"/>
      <c r="F647" s="1"/>
      <c r="G647" s="1"/>
      <c r="H647" s="1"/>
      <c r="I647" s="1"/>
      <c r="J647" s="1"/>
      <c r="K647" s="1"/>
    </row>
    <row r="648" spans="5:11">
      <c r="E648" s="1"/>
      <c r="F648" s="1"/>
      <c r="G648" s="1"/>
      <c r="H648" s="1"/>
      <c r="I648" s="1"/>
      <c r="J648" s="1"/>
      <c r="K648" s="1"/>
    </row>
    <row r="649" spans="5:11">
      <c r="E649" s="1"/>
      <c r="F649" s="1"/>
      <c r="G649" s="1"/>
      <c r="H649" s="1"/>
      <c r="I649" s="1"/>
      <c r="J649" s="1"/>
      <c r="K649" s="1"/>
    </row>
    <row r="650" spans="5:11">
      <c r="E650" s="1"/>
      <c r="F650" s="1"/>
      <c r="G650" s="1"/>
      <c r="H650" s="1"/>
      <c r="I650" s="1"/>
      <c r="J650" s="1"/>
      <c r="K650" s="1"/>
    </row>
    <row r="651" spans="5:11">
      <c r="E651" s="1"/>
      <c r="F651" s="1"/>
      <c r="G651" s="1"/>
      <c r="H651" s="1"/>
      <c r="I651" s="1"/>
      <c r="J651" s="1"/>
      <c r="K651" s="1"/>
    </row>
    <row r="652" spans="5:11">
      <c r="E652" s="1"/>
      <c r="F652" s="1"/>
      <c r="G652" s="1"/>
      <c r="H652" s="1"/>
      <c r="I652" s="1"/>
      <c r="J652" s="1"/>
      <c r="K652" s="1"/>
    </row>
    <row r="653" spans="5:11">
      <c r="E653" s="1"/>
      <c r="F653" s="1"/>
      <c r="G653" s="1"/>
      <c r="H653" s="1"/>
      <c r="I653" s="1"/>
      <c r="J653" s="1"/>
      <c r="K653" s="1"/>
    </row>
    <row r="654" spans="5:11">
      <c r="E654" s="1"/>
      <c r="F654" s="1"/>
      <c r="G654" s="1"/>
      <c r="H654" s="1"/>
      <c r="I654" s="1"/>
      <c r="J654" s="1"/>
      <c r="K654" s="1"/>
    </row>
    <row r="655" spans="5:11">
      <c r="E655" s="1"/>
      <c r="F655" s="1"/>
      <c r="G655" s="1"/>
      <c r="H655" s="1"/>
      <c r="I655" s="1"/>
      <c r="J655" s="1"/>
      <c r="K655" s="1"/>
    </row>
    <row r="656" spans="5:11">
      <c r="E656" s="1"/>
      <c r="F656" s="1"/>
      <c r="G656" s="1"/>
      <c r="H656" s="1"/>
      <c r="I656" s="1"/>
      <c r="J656" s="1"/>
      <c r="K656" s="1"/>
    </row>
    <row r="657" spans="5:11">
      <c r="E657" s="1"/>
      <c r="F657" s="1"/>
      <c r="G657" s="1"/>
      <c r="H657" s="1"/>
      <c r="I657" s="1"/>
      <c r="J657" s="1"/>
      <c r="K657" s="1"/>
    </row>
    <row r="658" spans="5:11">
      <c r="E658" s="1"/>
      <c r="F658" s="1"/>
      <c r="G658" s="1"/>
      <c r="H658" s="1"/>
      <c r="I658" s="1"/>
      <c r="J658" s="1"/>
      <c r="K658" s="1"/>
    </row>
    <row r="659" spans="5:11">
      <c r="E659" s="1"/>
      <c r="F659" s="1"/>
      <c r="G659" s="1"/>
      <c r="H659" s="1"/>
      <c r="I659" s="1"/>
      <c r="J659" s="1"/>
      <c r="K659" s="1"/>
    </row>
    <row r="660" spans="5:11">
      <c r="E660" s="1"/>
      <c r="F660" s="1"/>
      <c r="G660" s="1"/>
      <c r="H660" s="1"/>
      <c r="I660" s="1"/>
      <c r="J660" s="1"/>
      <c r="K660" s="1"/>
    </row>
    <row r="661" spans="5:11">
      <c r="E661" s="1"/>
      <c r="F661" s="1"/>
      <c r="G661" s="1"/>
      <c r="H661" s="1"/>
      <c r="I661" s="1"/>
      <c r="J661" s="1"/>
      <c r="K661" s="1"/>
    </row>
    <row r="662" spans="5:11">
      <c r="E662" s="1"/>
      <c r="F662" s="1"/>
      <c r="G662" s="1"/>
      <c r="H662" s="1"/>
      <c r="I662" s="1"/>
      <c r="J662" s="1"/>
      <c r="K662" s="1"/>
    </row>
    <row r="663" spans="5:11">
      <c r="E663" s="1"/>
      <c r="F663" s="1"/>
      <c r="G663" s="1"/>
      <c r="H663" s="1"/>
      <c r="I663" s="1"/>
      <c r="J663" s="1"/>
      <c r="K663" s="1"/>
    </row>
    <row r="664" spans="5:11">
      <c r="E664" s="1"/>
      <c r="F664" s="1"/>
      <c r="G664" s="1"/>
      <c r="H664" s="1"/>
      <c r="I664" s="1"/>
      <c r="J664" s="1"/>
      <c r="K664" s="1"/>
    </row>
    <row r="665" spans="5:11">
      <c r="E665" s="1"/>
      <c r="F665" s="1"/>
      <c r="G665" s="1"/>
      <c r="H665" s="1"/>
      <c r="I665" s="1"/>
      <c r="J665" s="1"/>
      <c r="K665" s="1"/>
    </row>
    <row r="666" spans="5:11">
      <c r="E666" s="1"/>
      <c r="F666" s="1"/>
      <c r="G666" s="1"/>
      <c r="H666" s="1"/>
      <c r="I666" s="1"/>
      <c r="J666" s="1"/>
      <c r="K666" s="1"/>
    </row>
    <row r="667" spans="5:11">
      <c r="E667" s="1"/>
      <c r="F667" s="1"/>
      <c r="G667" s="1"/>
      <c r="H667" s="1"/>
      <c r="I667" s="1"/>
      <c r="J667" s="1"/>
      <c r="K667" s="1"/>
    </row>
    <row r="668" spans="5:11">
      <c r="E668" s="1"/>
      <c r="F668" s="1"/>
      <c r="G668" s="1"/>
      <c r="H668" s="1"/>
      <c r="I668" s="1"/>
      <c r="J668" s="1"/>
      <c r="K668" s="1"/>
    </row>
    <row r="669" spans="5:11">
      <c r="E669" s="1"/>
      <c r="F669" s="1"/>
      <c r="G669" s="1"/>
      <c r="H669" s="1"/>
      <c r="I669" s="1"/>
      <c r="J669" s="1"/>
      <c r="K669" s="1"/>
    </row>
    <row r="670" spans="5:11">
      <c r="E670" s="1"/>
      <c r="F670" s="1"/>
      <c r="G670" s="1"/>
      <c r="H670" s="1"/>
      <c r="I670" s="1"/>
      <c r="J670" s="1"/>
      <c r="K670" s="1"/>
    </row>
    <row r="671" spans="5:11">
      <c r="E671" s="1"/>
      <c r="F671" s="1"/>
      <c r="G671" s="1"/>
      <c r="H671" s="1"/>
      <c r="I671" s="1"/>
      <c r="J671" s="1"/>
      <c r="K671" s="1"/>
    </row>
    <row r="672" spans="5:11">
      <c r="E672" s="1"/>
      <c r="F672" s="1"/>
      <c r="G672" s="1"/>
      <c r="H672" s="1"/>
      <c r="I672" s="1"/>
      <c r="J672" s="1"/>
      <c r="K672" s="1"/>
    </row>
    <row r="673" spans="5:11">
      <c r="E673" s="1"/>
      <c r="F673" s="1"/>
      <c r="G673" s="1"/>
      <c r="H673" s="1"/>
      <c r="I673" s="1"/>
      <c r="J673" s="1"/>
      <c r="K673" s="1"/>
    </row>
    <row r="674" spans="5:11">
      <c r="E674" s="1"/>
      <c r="F674" s="1"/>
      <c r="G674" s="1"/>
      <c r="H674" s="1"/>
      <c r="I674" s="1"/>
      <c r="J674" s="1"/>
      <c r="K674" s="1"/>
    </row>
    <row r="675" spans="5:11">
      <c r="E675" s="1"/>
      <c r="F675" s="1"/>
      <c r="G675" s="1"/>
      <c r="H675" s="1"/>
      <c r="I675" s="1"/>
      <c r="J675" s="1"/>
      <c r="K675" s="1"/>
    </row>
    <row r="676" spans="5:11">
      <c r="E676" s="1"/>
      <c r="F676" s="1"/>
      <c r="G676" s="1"/>
      <c r="H676" s="1"/>
      <c r="I676" s="1"/>
      <c r="J676" s="1"/>
      <c r="K676" s="1"/>
    </row>
    <row r="677" spans="5:11">
      <c r="E677" s="1"/>
      <c r="F677" s="1"/>
      <c r="G677" s="1"/>
      <c r="H677" s="1"/>
      <c r="I677" s="1"/>
      <c r="J677" s="1"/>
      <c r="K677" s="1"/>
    </row>
    <row r="678" spans="5:11">
      <c r="E678" s="1"/>
      <c r="F678" s="1"/>
      <c r="G678" s="1"/>
      <c r="H678" s="1"/>
      <c r="I678" s="1"/>
      <c r="J678" s="1"/>
      <c r="K678" s="1"/>
    </row>
    <row r="679" spans="5:11">
      <c r="E679" s="1"/>
      <c r="F679" s="1"/>
      <c r="G679" s="1"/>
      <c r="H679" s="1"/>
      <c r="I679" s="1"/>
      <c r="J679" s="1"/>
      <c r="K679" s="1"/>
    </row>
    <row r="680" spans="5:11">
      <c r="E680" s="1"/>
      <c r="F680" s="1"/>
      <c r="G680" s="1"/>
      <c r="H680" s="1"/>
      <c r="I680" s="1"/>
      <c r="J680" s="1"/>
      <c r="K680" s="1"/>
    </row>
    <row r="681" spans="5:11">
      <c r="E681" s="1"/>
      <c r="F681" s="1"/>
      <c r="G681" s="1"/>
      <c r="H681" s="1"/>
      <c r="I681" s="1"/>
      <c r="J681" s="1"/>
      <c r="K681" s="1"/>
    </row>
    <row r="682" spans="5:11">
      <c r="E682" s="1"/>
      <c r="F682" s="1"/>
      <c r="G682" s="1"/>
      <c r="H682" s="1"/>
      <c r="I682" s="1"/>
      <c r="J682" s="1"/>
      <c r="K682" s="1"/>
    </row>
    <row r="683" spans="5:11">
      <c r="E683" s="1"/>
      <c r="F683" s="1"/>
      <c r="G683" s="1"/>
      <c r="H683" s="1"/>
      <c r="I683" s="1"/>
      <c r="J683" s="1"/>
      <c r="K683" s="1"/>
    </row>
    <row r="684" spans="5:11">
      <c r="E684" s="1"/>
      <c r="F684" s="1"/>
      <c r="G684" s="1"/>
      <c r="H684" s="1"/>
      <c r="I684" s="1"/>
      <c r="J684" s="1"/>
      <c r="K684" s="1"/>
    </row>
    <row r="685" spans="5:11">
      <c r="E685" s="1"/>
      <c r="F685" s="1"/>
      <c r="G685" s="1"/>
      <c r="H685" s="1"/>
      <c r="I685" s="1"/>
      <c r="J685" s="1"/>
      <c r="K685" s="1"/>
    </row>
    <row r="686" spans="5:11">
      <c r="E686" s="1"/>
      <c r="F686" s="1"/>
      <c r="G686" s="1"/>
      <c r="H686" s="1"/>
      <c r="I686" s="1"/>
      <c r="J686" s="1"/>
      <c r="K686" s="1"/>
    </row>
    <row r="687" spans="5:11">
      <c r="E687" s="1"/>
      <c r="F687" s="1"/>
      <c r="G687" s="1"/>
      <c r="H687" s="1"/>
      <c r="I687" s="1"/>
      <c r="J687" s="1"/>
      <c r="K687" s="1"/>
    </row>
    <row r="688" spans="5:11">
      <c r="E688" s="1"/>
      <c r="F688" s="1"/>
      <c r="G688" s="1"/>
      <c r="H688" s="1"/>
      <c r="I688" s="1"/>
      <c r="J688" s="1"/>
      <c r="K688" s="1"/>
    </row>
    <row r="689" spans="5:11">
      <c r="E689" s="1"/>
      <c r="F689" s="1"/>
      <c r="G689" s="1"/>
      <c r="H689" s="1"/>
      <c r="I689" s="1"/>
      <c r="J689" s="1"/>
      <c r="K689" s="1"/>
    </row>
    <row r="690" spans="5:11">
      <c r="E690" s="1"/>
      <c r="F690" s="1"/>
      <c r="G690" s="1"/>
      <c r="H690" s="1"/>
      <c r="I690" s="1"/>
      <c r="J690" s="1"/>
      <c r="K690" s="1"/>
    </row>
    <row r="691" spans="5:11">
      <c r="E691" s="1"/>
      <c r="F691" s="1"/>
      <c r="G691" s="1"/>
      <c r="H691" s="1"/>
      <c r="I691" s="1"/>
      <c r="J691" s="1"/>
      <c r="K691" s="1"/>
    </row>
    <row r="692" spans="5:11">
      <c r="E692" s="1"/>
      <c r="F692" s="1"/>
      <c r="G692" s="1"/>
      <c r="H692" s="1"/>
      <c r="I692" s="1"/>
      <c r="J692" s="1"/>
      <c r="K692" s="1"/>
    </row>
    <row r="693" spans="5:11">
      <c r="E693" s="1"/>
      <c r="F693" s="1"/>
      <c r="G693" s="1"/>
      <c r="H693" s="1"/>
      <c r="I693" s="1"/>
      <c r="J693" s="1"/>
      <c r="K693" s="1"/>
    </row>
    <row r="694" spans="5:11">
      <c r="E694" s="1"/>
      <c r="F694" s="1"/>
      <c r="G694" s="1"/>
      <c r="H694" s="1"/>
      <c r="I694" s="1"/>
      <c r="J694" s="1"/>
      <c r="K694" s="1"/>
    </row>
    <row r="695" spans="5:11">
      <c r="E695" s="1"/>
      <c r="F695" s="1"/>
      <c r="G695" s="1"/>
      <c r="H695" s="1"/>
      <c r="I695" s="1"/>
      <c r="J695" s="1"/>
      <c r="K695" s="1"/>
    </row>
    <row r="696" spans="5:11">
      <c r="E696" s="1"/>
      <c r="F696" s="1"/>
      <c r="G696" s="1"/>
      <c r="H696" s="1"/>
      <c r="I696" s="1"/>
      <c r="J696" s="1"/>
      <c r="K696" s="1"/>
    </row>
    <row r="697" spans="5:11">
      <c r="E697" s="1"/>
      <c r="F697" s="1"/>
      <c r="G697" s="1"/>
      <c r="H697" s="1"/>
      <c r="I697" s="1"/>
      <c r="J697" s="1"/>
      <c r="K697" s="1"/>
    </row>
    <row r="698" spans="5:11">
      <c r="E698" s="1"/>
      <c r="F698" s="1"/>
      <c r="G698" s="1"/>
      <c r="H698" s="1"/>
      <c r="I698" s="1"/>
      <c r="J698" s="1"/>
      <c r="K698" s="1"/>
    </row>
    <row r="699" spans="5:11">
      <c r="E699" s="1"/>
      <c r="F699" s="1"/>
      <c r="G699" s="1"/>
      <c r="H699" s="1"/>
      <c r="I699" s="1"/>
      <c r="J699" s="1"/>
      <c r="K699" s="1"/>
    </row>
    <row r="700" spans="5:11">
      <c r="E700" s="1"/>
      <c r="F700" s="1"/>
      <c r="G700" s="1"/>
      <c r="H700" s="1"/>
      <c r="I700" s="1"/>
      <c r="J700" s="1"/>
      <c r="K700" s="1"/>
    </row>
    <row r="701" spans="5:11">
      <c r="E701" s="1"/>
      <c r="F701" s="1"/>
      <c r="G701" s="1"/>
      <c r="H701" s="1"/>
      <c r="I701" s="1"/>
      <c r="J701" s="1"/>
      <c r="K701" s="1"/>
    </row>
    <row r="702" spans="5:11">
      <c r="E702" s="1"/>
      <c r="F702" s="1"/>
      <c r="G702" s="1"/>
      <c r="H702" s="1"/>
      <c r="I702" s="1"/>
      <c r="J702" s="1"/>
      <c r="K702" s="1"/>
    </row>
    <row r="703" spans="5:11">
      <c r="E703" s="1"/>
      <c r="F703" s="1"/>
      <c r="G703" s="1"/>
      <c r="H703" s="1"/>
      <c r="I703" s="1"/>
      <c r="J703" s="1"/>
      <c r="K703" s="1"/>
    </row>
    <row r="704" spans="5:11">
      <c r="E704" s="1"/>
      <c r="F704" s="1"/>
      <c r="G704" s="1"/>
      <c r="H704" s="1"/>
      <c r="I704" s="1"/>
      <c r="J704" s="1"/>
      <c r="K704" s="1"/>
    </row>
    <row r="705" spans="5:11">
      <c r="E705" s="1"/>
      <c r="F705" s="1"/>
      <c r="G705" s="1"/>
      <c r="H705" s="1"/>
      <c r="I705" s="1"/>
      <c r="J705" s="1"/>
      <c r="K705" s="1"/>
    </row>
    <row r="706" spans="5:11">
      <c r="E706" s="1"/>
      <c r="F706" s="1"/>
      <c r="G706" s="1"/>
      <c r="H706" s="1"/>
      <c r="I706" s="1"/>
      <c r="J706" s="1"/>
      <c r="K706" s="1"/>
    </row>
    <row r="707" spans="5:11">
      <c r="E707" s="1"/>
      <c r="F707" s="1"/>
      <c r="G707" s="1"/>
      <c r="H707" s="1"/>
      <c r="I707" s="1"/>
      <c r="J707" s="1"/>
      <c r="K707" s="1"/>
    </row>
    <row r="708" spans="5:11">
      <c r="E708" s="1"/>
      <c r="F708" s="1"/>
      <c r="G708" s="1"/>
      <c r="H708" s="1"/>
      <c r="I708" s="1"/>
      <c r="J708" s="1"/>
      <c r="K708" s="1"/>
    </row>
    <row r="709" spans="5:11">
      <c r="E709" s="1"/>
      <c r="F709" s="1"/>
      <c r="G709" s="1"/>
      <c r="H709" s="1"/>
      <c r="I709" s="1"/>
      <c r="J709" s="1"/>
      <c r="K709" s="1"/>
    </row>
    <row r="710" spans="5:11">
      <c r="E710" s="1"/>
      <c r="F710" s="1"/>
      <c r="G710" s="1"/>
      <c r="H710" s="1"/>
      <c r="I710" s="1"/>
      <c r="J710" s="1"/>
      <c r="K710" s="1"/>
    </row>
    <row r="711" spans="5:11">
      <c r="E711" s="1"/>
      <c r="F711" s="1"/>
      <c r="G711" s="1"/>
      <c r="H711" s="1"/>
      <c r="I711" s="1"/>
      <c r="J711" s="1"/>
      <c r="K711" s="1"/>
    </row>
    <row r="712" spans="5:11">
      <c r="E712" s="1"/>
      <c r="F712" s="1"/>
      <c r="G712" s="1"/>
      <c r="H712" s="1"/>
      <c r="I712" s="1"/>
      <c r="J712" s="1"/>
      <c r="K712" s="1"/>
    </row>
    <row r="713" spans="5:11">
      <c r="E713" s="1"/>
      <c r="F713" s="1"/>
      <c r="G713" s="1"/>
      <c r="H713" s="1"/>
      <c r="I713" s="1"/>
      <c r="J713" s="1"/>
      <c r="K713" s="1"/>
    </row>
    <row r="714" spans="5:11">
      <c r="E714" s="1"/>
      <c r="F714" s="1"/>
      <c r="G714" s="1"/>
      <c r="H714" s="1"/>
      <c r="I714" s="1"/>
      <c r="J714" s="1"/>
      <c r="K714" s="1"/>
    </row>
    <row r="715" spans="5:11">
      <c r="E715" s="1"/>
      <c r="F715" s="1"/>
      <c r="G715" s="1"/>
      <c r="H715" s="1"/>
      <c r="I715" s="1"/>
      <c r="J715" s="1"/>
      <c r="K715" s="1"/>
    </row>
    <row r="716" spans="5:11">
      <c r="E716" s="1"/>
      <c r="F716" s="1"/>
      <c r="G716" s="1"/>
      <c r="H716" s="1"/>
      <c r="I716" s="1"/>
      <c r="J716" s="1"/>
      <c r="K716" s="1"/>
    </row>
    <row r="717" spans="5:11">
      <c r="E717" s="1"/>
      <c r="F717" s="1"/>
      <c r="G717" s="1"/>
      <c r="H717" s="1"/>
      <c r="I717" s="1"/>
      <c r="J717" s="1"/>
      <c r="K717" s="1"/>
    </row>
    <row r="718" spans="5:11">
      <c r="E718" s="1"/>
      <c r="F718" s="1"/>
      <c r="G718" s="1"/>
      <c r="H718" s="1"/>
      <c r="I718" s="1"/>
      <c r="J718" s="1"/>
      <c r="K718" s="1"/>
    </row>
    <row r="719" spans="5:11">
      <c r="E719" s="1"/>
      <c r="F719" s="1"/>
      <c r="G719" s="1"/>
      <c r="H719" s="1"/>
      <c r="I719" s="1"/>
      <c r="J719" s="1"/>
      <c r="K719" s="1"/>
    </row>
    <row r="720" spans="5:11">
      <c r="E720" s="1"/>
      <c r="F720" s="1"/>
      <c r="G720" s="1"/>
      <c r="H720" s="1"/>
      <c r="I720" s="1"/>
      <c r="J720" s="1"/>
      <c r="K720" s="1"/>
    </row>
    <row r="721" spans="5:11">
      <c r="E721" s="1"/>
      <c r="F721" s="1"/>
      <c r="G721" s="1"/>
      <c r="H721" s="1"/>
      <c r="I721" s="1"/>
      <c r="J721" s="1"/>
      <c r="K721" s="1"/>
    </row>
    <row r="722" spans="5:11">
      <c r="E722" s="1"/>
      <c r="F722" s="1"/>
      <c r="G722" s="1"/>
      <c r="H722" s="1"/>
      <c r="I722" s="1"/>
      <c r="J722" s="1"/>
      <c r="K722" s="1"/>
    </row>
    <row r="723" spans="5:11">
      <c r="E723" s="1"/>
      <c r="F723" s="1"/>
      <c r="G723" s="1"/>
      <c r="H723" s="1"/>
      <c r="I723" s="1"/>
      <c r="J723" s="1"/>
      <c r="K723" s="1"/>
    </row>
    <row r="724" spans="5:11">
      <c r="E724" s="1"/>
      <c r="F724" s="1"/>
      <c r="G724" s="1"/>
      <c r="H724" s="1"/>
      <c r="I724" s="1"/>
      <c r="J724" s="1"/>
      <c r="K724" s="1"/>
    </row>
    <row r="725" spans="5:11">
      <c r="E725" s="1"/>
      <c r="F725" s="1"/>
      <c r="G725" s="1"/>
      <c r="H725" s="1"/>
      <c r="I725" s="1"/>
      <c r="J725" s="1"/>
      <c r="K725" s="1"/>
    </row>
    <row r="726" spans="5:11">
      <c r="E726" s="1"/>
      <c r="F726" s="1"/>
      <c r="G726" s="1"/>
      <c r="H726" s="1"/>
      <c r="I726" s="1"/>
      <c r="J726" s="1"/>
      <c r="K726" s="1"/>
    </row>
    <row r="727" spans="5:11">
      <c r="E727" s="1"/>
      <c r="F727" s="1"/>
      <c r="G727" s="1"/>
      <c r="H727" s="1"/>
      <c r="I727" s="1"/>
      <c r="J727" s="1"/>
      <c r="K727" s="1"/>
    </row>
    <row r="728" spans="5:11">
      <c r="E728" s="1"/>
      <c r="F728" s="1"/>
      <c r="G728" s="1"/>
      <c r="H728" s="1"/>
      <c r="I728" s="1"/>
      <c r="J728" s="1"/>
      <c r="K728" s="1"/>
    </row>
    <row r="729" spans="5:11">
      <c r="E729" s="1"/>
      <c r="F729" s="1"/>
      <c r="G729" s="1"/>
      <c r="H729" s="1"/>
      <c r="I729" s="1"/>
      <c r="J729" s="1"/>
      <c r="K729" s="1"/>
    </row>
    <row r="730" spans="5:11">
      <c r="E730" s="1"/>
      <c r="F730" s="1"/>
      <c r="G730" s="1"/>
      <c r="H730" s="1"/>
      <c r="I730" s="1"/>
      <c r="J730" s="1"/>
      <c r="K730" s="1"/>
    </row>
    <row r="731" spans="5:11">
      <c r="E731" s="1"/>
      <c r="F731" s="1"/>
      <c r="G731" s="1"/>
      <c r="H731" s="1"/>
      <c r="I731" s="1"/>
      <c r="J731" s="1"/>
      <c r="K731" s="1"/>
    </row>
    <row r="732" spans="5:11">
      <c r="E732" s="1"/>
      <c r="F732" s="1"/>
      <c r="G732" s="1"/>
      <c r="H732" s="1"/>
      <c r="I732" s="1"/>
      <c r="J732" s="1"/>
      <c r="K732" s="1"/>
    </row>
    <row r="733" spans="5:11">
      <c r="E733" s="1"/>
      <c r="F733" s="1"/>
      <c r="G733" s="1"/>
      <c r="H733" s="1"/>
      <c r="I733" s="1"/>
      <c r="J733" s="1"/>
      <c r="K733" s="1"/>
    </row>
    <row r="734" spans="5:11">
      <c r="E734" s="1"/>
      <c r="F734" s="1"/>
      <c r="G734" s="1"/>
      <c r="H734" s="1"/>
      <c r="I734" s="1"/>
      <c r="J734" s="1"/>
      <c r="K734" s="1"/>
    </row>
    <row r="735" spans="5:11">
      <c r="E735" s="1"/>
      <c r="F735" s="1"/>
      <c r="G735" s="1"/>
      <c r="H735" s="1"/>
      <c r="I735" s="1"/>
      <c r="J735" s="1"/>
      <c r="K735" s="1"/>
    </row>
    <row r="736" spans="5:11">
      <c r="E736" s="1"/>
      <c r="F736" s="1"/>
      <c r="G736" s="1"/>
      <c r="H736" s="1"/>
      <c r="I736" s="1"/>
      <c r="J736" s="1"/>
      <c r="K736" s="1"/>
    </row>
    <row r="737" spans="5:11">
      <c r="E737" s="1"/>
      <c r="F737" s="1"/>
      <c r="G737" s="1"/>
      <c r="H737" s="1"/>
      <c r="I737" s="1"/>
      <c r="J737" s="1"/>
      <c r="K737" s="1"/>
    </row>
    <row r="738" spans="5:11">
      <c r="E738" s="1"/>
      <c r="F738" s="1"/>
      <c r="G738" s="1"/>
      <c r="H738" s="1"/>
      <c r="I738" s="1"/>
      <c r="J738" s="1"/>
      <c r="K738" s="1"/>
    </row>
    <row r="739" spans="5:11">
      <c r="E739" s="1"/>
      <c r="F739" s="1"/>
      <c r="G739" s="1"/>
      <c r="H739" s="1"/>
      <c r="I739" s="1"/>
      <c r="J739" s="1"/>
      <c r="K739" s="1"/>
    </row>
    <row r="740" spans="5:11">
      <c r="E740" s="1"/>
      <c r="F740" s="1"/>
      <c r="G740" s="1"/>
      <c r="H740" s="1"/>
      <c r="I740" s="1"/>
      <c r="J740" s="1"/>
      <c r="K740" s="1"/>
    </row>
    <row r="741" spans="5:11">
      <c r="E741" s="1"/>
      <c r="F741" s="1"/>
      <c r="G741" s="1"/>
      <c r="H741" s="1"/>
      <c r="I741" s="1"/>
      <c r="J741" s="1"/>
      <c r="K741" s="1"/>
    </row>
    <row r="742" spans="5:11">
      <c r="E742" s="1"/>
      <c r="F742" s="1"/>
      <c r="G742" s="1"/>
      <c r="H742" s="1"/>
      <c r="I742" s="1"/>
      <c r="J742" s="1"/>
      <c r="K742" s="1"/>
    </row>
    <row r="743" spans="5:11">
      <c r="E743" s="1"/>
      <c r="F743" s="1"/>
      <c r="G743" s="1"/>
      <c r="H743" s="1"/>
      <c r="I743" s="1"/>
      <c r="J743" s="1"/>
      <c r="K743" s="1"/>
    </row>
    <row r="744" spans="5:11">
      <c r="E744" s="1"/>
      <c r="F744" s="1"/>
      <c r="G744" s="1"/>
      <c r="H744" s="1"/>
      <c r="I744" s="1"/>
      <c r="J744" s="1"/>
      <c r="K744" s="1"/>
    </row>
    <row r="745" spans="5:11">
      <c r="E745" s="1"/>
      <c r="F745" s="1"/>
      <c r="G745" s="1"/>
      <c r="H745" s="1"/>
      <c r="I745" s="1"/>
      <c r="J745" s="1"/>
      <c r="K745" s="1"/>
    </row>
    <row r="746" spans="5:11">
      <c r="E746" s="1"/>
      <c r="F746" s="1"/>
      <c r="G746" s="1"/>
      <c r="H746" s="1"/>
      <c r="I746" s="1"/>
      <c r="J746" s="1"/>
      <c r="K746" s="1"/>
    </row>
    <row r="747" spans="5:11">
      <c r="E747" s="1"/>
      <c r="F747" s="1"/>
      <c r="G747" s="1"/>
      <c r="H747" s="1"/>
      <c r="I747" s="1"/>
      <c r="J747" s="1"/>
      <c r="K747" s="1"/>
    </row>
    <row r="748" spans="5:11">
      <c r="E748" s="1"/>
      <c r="F748" s="1"/>
      <c r="G748" s="1"/>
      <c r="H748" s="1"/>
      <c r="I748" s="1"/>
      <c r="J748" s="1"/>
      <c r="K748" s="1"/>
    </row>
    <row r="749" spans="5:11">
      <c r="E749" s="1"/>
      <c r="F749" s="1"/>
      <c r="G749" s="1"/>
      <c r="H749" s="1"/>
      <c r="I749" s="1"/>
      <c r="J749" s="1"/>
      <c r="K749" s="1"/>
    </row>
    <row r="750" spans="5:11">
      <c r="E750" s="1"/>
      <c r="F750" s="1"/>
      <c r="G750" s="1"/>
      <c r="H750" s="1"/>
      <c r="I750" s="1"/>
      <c r="J750" s="1"/>
      <c r="K750" s="1"/>
    </row>
    <row r="751" spans="5:11">
      <c r="E751" s="1"/>
      <c r="F751" s="1"/>
      <c r="G751" s="1"/>
      <c r="H751" s="1"/>
      <c r="I751" s="1"/>
      <c r="J751" s="1"/>
      <c r="K751" s="1"/>
    </row>
    <row r="752" spans="5:11">
      <c r="E752" s="1"/>
      <c r="F752" s="1"/>
      <c r="G752" s="1"/>
      <c r="H752" s="1"/>
      <c r="I752" s="1"/>
      <c r="J752" s="1"/>
      <c r="K752" s="1"/>
    </row>
    <row r="753" spans="5:11">
      <c r="E753" s="1"/>
      <c r="F753" s="1"/>
      <c r="G753" s="1"/>
      <c r="H753" s="1"/>
      <c r="I753" s="1"/>
      <c r="J753" s="1"/>
      <c r="K753" s="1"/>
    </row>
    <row r="754" spans="5:11">
      <c r="E754" s="1"/>
      <c r="F754" s="1"/>
      <c r="G754" s="1"/>
      <c r="H754" s="1"/>
      <c r="I754" s="1"/>
      <c r="J754" s="1"/>
      <c r="K754" s="1"/>
    </row>
    <row r="755" spans="5:11">
      <c r="E755" s="1"/>
      <c r="F755" s="1"/>
      <c r="G755" s="1"/>
      <c r="H755" s="1"/>
      <c r="I755" s="1"/>
      <c r="J755" s="1"/>
      <c r="K755" s="1"/>
    </row>
    <row r="756" spans="5:11">
      <c r="E756" s="1"/>
      <c r="F756" s="1"/>
      <c r="G756" s="1"/>
      <c r="H756" s="1"/>
      <c r="I756" s="1"/>
      <c r="J756" s="1"/>
      <c r="K756" s="1"/>
    </row>
    <row r="757" spans="5:11">
      <c r="E757" s="1"/>
      <c r="F757" s="1"/>
      <c r="G757" s="1"/>
      <c r="H757" s="1"/>
      <c r="I757" s="1"/>
      <c r="J757" s="1"/>
      <c r="K757" s="1"/>
    </row>
    <row r="758" spans="5:11">
      <c r="E758" s="1"/>
      <c r="F758" s="1"/>
      <c r="G758" s="1"/>
      <c r="H758" s="1"/>
      <c r="I758" s="1"/>
      <c r="J758" s="1"/>
      <c r="K758" s="1"/>
    </row>
    <row r="759" spans="5:11">
      <c r="E759" s="1"/>
      <c r="F759" s="1"/>
      <c r="G759" s="1"/>
      <c r="H759" s="1"/>
      <c r="I759" s="1"/>
      <c r="J759" s="1"/>
      <c r="K759" s="1"/>
    </row>
    <row r="760" spans="5:11">
      <c r="E760" s="1"/>
      <c r="F760" s="1"/>
      <c r="G760" s="1"/>
      <c r="H760" s="1"/>
      <c r="I760" s="1"/>
      <c r="J760" s="1"/>
      <c r="K760" s="1"/>
    </row>
    <row r="761" spans="5:11">
      <c r="E761" s="1"/>
      <c r="F761" s="1"/>
      <c r="G761" s="1"/>
      <c r="H761" s="1"/>
      <c r="I761" s="1"/>
      <c r="J761" s="1"/>
      <c r="K761" s="1"/>
    </row>
    <row r="762" spans="5:11">
      <c r="E762" s="1"/>
      <c r="F762" s="1"/>
      <c r="G762" s="1"/>
      <c r="H762" s="1"/>
      <c r="I762" s="1"/>
      <c r="J762" s="1"/>
      <c r="K762" s="1"/>
    </row>
    <row r="763" spans="5:11">
      <c r="E763" s="1"/>
      <c r="F763" s="1"/>
      <c r="G763" s="1"/>
      <c r="H763" s="1"/>
      <c r="I763" s="1"/>
      <c r="J763" s="1"/>
      <c r="K763" s="1"/>
    </row>
    <row r="764" spans="5:11">
      <c r="E764" s="1"/>
      <c r="F764" s="1"/>
      <c r="G764" s="1"/>
      <c r="H764" s="1"/>
      <c r="I764" s="1"/>
      <c r="J764" s="1"/>
      <c r="K764" s="1"/>
    </row>
    <row r="765" spans="5:11">
      <c r="E765" s="1"/>
      <c r="F765" s="1"/>
      <c r="G765" s="1"/>
      <c r="H765" s="1"/>
      <c r="I765" s="1"/>
      <c r="J765" s="1"/>
      <c r="K765" s="1"/>
    </row>
    <row r="766" spans="5:11">
      <c r="E766" s="1"/>
      <c r="F766" s="1"/>
      <c r="G766" s="1"/>
      <c r="H766" s="1"/>
      <c r="I766" s="1"/>
      <c r="J766" s="1"/>
      <c r="K766" s="1"/>
    </row>
    <row r="767" spans="5:11">
      <c r="E767" s="1"/>
      <c r="F767" s="1"/>
      <c r="G767" s="1"/>
      <c r="H767" s="1"/>
      <c r="I767" s="1"/>
      <c r="J767" s="1"/>
      <c r="K767" s="1"/>
    </row>
    <row r="768" spans="5:11">
      <c r="E768" s="1"/>
      <c r="F768" s="1"/>
      <c r="G768" s="1"/>
      <c r="H768" s="1"/>
      <c r="I768" s="1"/>
      <c r="J768" s="1"/>
      <c r="K768" s="1"/>
    </row>
    <row r="769" spans="5:11">
      <c r="E769" s="1"/>
      <c r="F769" s="1"/>
      <c r="G769" s="1"/>
      <c r="H769" s="1"/>
      <c r="I769" s="1"/>
      <c r="J769" s="1"/>
      <c r="K769" s="1"/>
    </row>
    <row r="770" spans="5:11">
      <c r="E770" s="1"/>
      <c r="F770" s="1"/>
      <c r="G770" s="1"/>
      <c r="H770" s="1"/>
      <c r="I770" s="1"/>
      <c r="J770" s="1"/>
      <c r="K770" s="1"/>
    </row>
    <row r="771" spans="5:11">
      <c r="E771" s="1"/>
      <c r="F771" s="1"/>
      <c r="G771" s="1"/>
      <c r="H771" s="1"/>
      <c r="I771" s="1"/>
      <c r="J771" s="1"/>
      <c r="K771" s="1"/>
    </row>
    <row r="772" spans="5:11">
      <c r="E772" s="1"/>
      <c r="F772" s="1"/>
      <c r="G772" s="1"/>
      <c r="H772" s="1"/>
      <c r="I772" s="1"/>
      <c r="J772" s="1"/>
      <c r="K772" s="1"/>
    </row>
    <row r="773" spans="5:11">
      <c r="E773" s="1"/>
      <c r="F773" s="1"/>
      <c r="G773" s="1"/>
      <c r="H773" s="1"/>
      <c r="I773" s="1"/>
      <c r="J773" s="1"/>
      <c r="K773" s="1"/>
    </row>
    <row r="774" spans="5:11">
      <c r="E774" s="1"/>
      <c r="F774" s="1"/>
      <c r="G774" s="1"/>
      <c r="H774" s="1"/>
      <c r="I774" s="1"/>
      <c r="J774" s="1"/>
      <c r="K774" s="1"/>
    </row>
    <row r="775" spans="5:11">
      <c r="E775" s="1"/>
      <c r="F775" s="1"/>
      <c r="G775" s="1"/>
      <c r="H775" s="1"/>
      <c r="I775" s="1"/>
      <c r="J775" s="1"/>
      <c r="K775" s="1"/>
    </row>
    <row r="776" spans="5:11">
      <c r="E776" s="1"/>
      <c r="F776" s="1"/>
      <c r="G776" s="1"/>
      <c r="H776" s="1"/>
      <c r="I776" s="1"/>
      <c r="J776" s="1"/>
      <c r="K776" s="1"/>
    </row>
    <row r="777" spans="5:11">
      <c r="E777" s="1"/>
      <c r="F777" s="1"/>
      <c r="G777" s="1"/>
      <c r="H777" s="1"/>
      <c r="I777" s="1"/>
      <c r="J777" s="1"/>
      <c r="K777" s="1"/>
    </row>
    <row r="778" spans="5:11">
      <c r="E778" s="1"/>
      <c r="F778" s="1"/>
      <c r="G778" s="1"/>
      <c r="H778" s="1"/>
      <c r="I778" s="1"/>
      <c r="J778" s="1"/>
      <c r="K778" s="1"/>
    </row>
    <row r="779" spans="5:11">
      <c r="E779" s="1"/>
      <c r="F779" s="1"/>
      <c r="G779" s="1"/>
      <c r="H779" s="1"/>
      <c r="I779" s="1"/>
      <c r="J779" s="1"/>
      <c r="K779" s="1"/>
    </row>
    <row r="780" spans="5:11">
      <c r="E780" s="1"/>
      <c r="F780" s="1"/>
      <c r="G780" s="1"/>
      <c r="H780" s="1"/>
      <c r="I780" s="1"/>
      <c r="J780" s="1"/>
      <c r="K780" s="1"/>
    </row>
    <row r="781" spans="5:11">
      <c r="E781" s="1"/>
      <c r="F781" s="1"/>
      <c r="G781" s="1"/>
      <c r="H781" s="1"/>
      <c r="I781" s="1"/>
      <c r="J781" s="1"/>
      <c r="K781" s="1"/>
    </row>
    <row r="782" spans="5:11">
      <c r="E782" s="1"/>
      <c r="F782" s="1"/>
      <c r="G782" s="1"/>
      <c r="H782" s="1"/>
      <c r="I782" s="1"/>
      <c r="J782" s="1"/>
      <c r="K782" s="1"/>
    </row>
    <row r="783" spans="5:11">
      <c r="E783" s="1"/>
      <c r="F783" s="1"/>
      <c r="G783" s="1"/>
      <c r="H783" s="1"/>
      <c r="I783" s="1"/>
      <c r="J783" s="1"/>
      <c r="K783" s="1"/>
    </row>
    <row r="784" spans="5:11">
      <c r="E784" s="1"/>
      <c r="F784" s="1"/>
      <c r="G784" s="1"/>
      <c r="H784" s="1"/>
      <c r="I784" s="1"/>
      <c r="J784" s="1"/>
      <c r="K784" s="1"/>
    </row>
    <row r="785" spans="5:11">
      <c r="E785" s="1"/>
      <c r="F785" s="1"/>
      <c r="G785" s="1"/>
      <c r="H785" s="1"/>
      <c r="I785" s="1"/>
      <c r="J785" s="1"/>
      <c r="K785" s="1"/>
    </row>
    <row r="786" spans="5:11">
      <c r="E786" s="1"/>
      <c r="F786" s="1"/>
      <c r="G786" s="1"/>
      <c r="H786" s="1"/>
      <c r="I786" s="1"/>
      <c r="J786" s="1"/>
      <c r="K786" s="1"/>
    </row>
    <row r="787" spans="5:11">
      <c r="E787" s="1"/>
      <c r="F787" s="1"/>
      <c r="G787" s="1"/>
      <c r="H787" s="1"/>
      <c r="I787" s="1"/>
      <c r="J787" s="1"/>
      <c r="K787" s="1"/>
    </row>
    <row r="788" spans="5:11">
      <c r="E788" s="1"/>
      <c r="F788" s="1"/>
      <c r="G788" s="1"/>
      <c r="H788" s="1"/>
      <c r="I788" s="1"/>
      <c r="J788" s="1"/>
      <c r="K788" s="1"/>
    </row>
    <row r="789" spans="5:11">
      <c r="E789" s="1"/>
      <c r="F789" s="1"/>
      <c r="G789" s="1"/>
      <c r="H789" s="1"/>
      <c r="I789" s="1"/>
      <c r="J789" s="1"/>
      <c r="K789" s="1"/>
    </row>
    <row r="790" spans="5:11">
      <c r="E790" s="1"/>
      <c r="F790" s="1"/>
      <c r="G790" s="1"/>
      <c r="H790" s="1"/>
      <c r="I790" s="1"/>
      <c r="J790" s="1"/>
      <c r="K790" s="1"/>
    </row>
    <row r="791" spans="5:11">
      <c r="E791" s="1"/>
      <c r="F791" s="1"/>
      <c r="G791" s="1"/>
      <c r="H791" s="1"/>
      <c r="I791" s="1"/>
      <c r="J791" s="1"/>
      <c r="K791" s="1"/>
    </row>
    <row r="792" spans="5:11">
      <c r="E792" s="1"/>
      <c r="F792" s="1"/>
      <c r="G792" s="1"/>
      <c r="H792" s="1"/>
      <c r="I792" s="1"/>
      <c r="J792" s="1"/>
      <c r="K792" s="1"/>
    </row>
    <row r="793" spans="5:11">
      <c r="E793" s="1"/>
      <c r="F793" s="1"/>
      <c r="G793" s="1"/>
      <c r="H793" s="1"/>
      <c r="I793" s="1"/>
      <c r="J793" s="1"/>
      <c r="K793" s="1"/>
    </row>
    <row r="794" spans="5:11">
      <c r="E794" s="1"/>
      <c r="F794" s="1"/>
      <c r="G794" s="1"/>
      <c r="H794" s="1"/>
      <c r="I794" s="1"/>
      <c r="J794" s="1"/>
      <c r="K794" s="1"/>
    </row>
    <row r="795" spans="5:11">
      <c r="E795" s="1"/>
      <c r="F795" s="1"/>
      <c r="G795" s="1"/>
      <c r="H795" s="1"/>
      <c r="I795" s="1"/>
      <c r="J795" s="1"/>
      <c r="K795" s="1"/>
    </row>
    <row r="796" spans="5:11">
      <c r="E796" s="1"/>
      <c r="F796" s="1"/>
      <c r="G796" s="1"/>
      <c r="H796" s="1"/>
      <c r="I796" s="1"/>
      <c r="J796" s="1"/>
      <c r="K796" s="1"/>
    </row>
    <row r="797" spans="5:11">
      <c r="E797" s="1"/>
      <c r="F797" s="1"/>
      <c r="G797" s="1"/>
      <c r="H797" s="1"/>
      <c r="I797" s="1"/>
      <c r="J797" s="1"/>
      <c r="K797" s="1"/>
    </row>
    <row r="798" spans="5:11">
      <c r="E798" s="1"/>
      <c r="F798" s="1"/>
      <c r="G798" s="1"/>
      <c r="H798" s="1"/>
      <c r="I798" s="1"/>
      <c r="J798" s="1"/>
      <c r="K798" s="1"/>
    </row>
    <row r="799" spans="5:11">
      <c r="E799" s="1"/>
      <c r="F799" s="1"/>
      <c r="G799" s="1"/>
      <c r="H799" s="1"/>
      <c r="I799" s="1"/>
      <c r="J799" s="1"/>
      <c r="K799" s="1"/>
    </row>
    <row r="800" spans="5:11">
      <c r="E800" s="1"/>
      <c r="F800" s="1"/>
      <c r="G800" s="1"/>
      <c r="H800" s="1"/>
      <c r="I800" s="1"/>
      <c r="J800" s="1"/>
      <c r="K800" s="1"/>
    </row>
    <row r="801" spans="5:11">
      <c r="E801" s="1"/>
      <c r="F801" s="1"/>
      <c r="G801" s="1"/>
      <c r="H801" s="1"/>
      <c r="I801" s="1"/>
      <c r="J801" s="1"/>
      <c r="K801" s="1"/>
    </row>
    <row r="802" spans="5:11">
      <c r="E802" s="1"/>
      <c r="F802" s="1"/>
      <c r="G802" s="1"/>
      <c r="H802" s="1"/>
      <c r="I802" s="1"/>
      <c r="J802" s="1"/>
      <c r="K802" s="1"/>
    </row>
    <row r="803" spans="5:11">
      <c r="E803" s="1"/>
      <c r="F803" s="1"/>
      <c r="G803" s="1"/>
      <c r="H803" s="1"/>
      <c r="I803" s="1"/>
      <c r="J803" s="1"/>
      <c r="K803" s="1"/>
    </row>
    <row r="804" spans="5:11">
      <c r="E804" s="1"/>
      <c r="F804" s="1"/>
      <c r="G804" s="1"/>
      <c r="H804" s="1"/>
      <c r="I804" s="1"/>
      <c r="J804" s="1"/>
      <c r="K804" s="1"/>
    </row>
    <row r="805" spans="5:11">
      <c r="E805" s="1"/>
      <c r="F805" s="1"/>
      <c r="G805" s="1"/>
      <c r="H805" s="1"/>
      <c r="I805" s="1"/>
      <c r="J805" s="1"/>
      <c r="K805" s="1"/>
    </row>
    <row r="806" spans="5:11">
      <c r="E806" s="1"/>
      <c r="F806" s="1"/>
      <c r="G806" s="1"/>
      <c r="H806" s="1"/>
      <c r="I806" s="1"/>
      <c r="J806" s="1"/>
      <c r="K806" s="1"/>
    </row>
    <row r="807" spans="5:11">
      <c r="E807" s="1"/>
      <c r="F807" s="1"/>
      <c r="G807" s="1"/>
      <c r="H807" s="1"/>
      <c r="I807" s="1"/>
      <c r="J807" s="1"/>
      <c r="K807" s="1"/>
    </row>
    <row r="808" spans="5:11">
      <c r="E808" s="1"/>
      <c r="F808" s="1"/>
      <c r="G808" s="1"/>
      <c r="H808" s="1"/>
      <c r="I808" s="1"/>
      <c r="J808" s="1"/>
      <c r="K808" s="1"/>
    </row>
    <row r="809" spans="5:11">
      <c r="E809" s="1"/>
      <c r="F809" s="1"/>
      <c r="G809" s="1"/>
      <c r="H809" s="1"/>
      <c r="I809" s="1"/>
      <c r="J809" s="1"/>
      <c r="K809" s="1"/>
    </row>
    <row r="810" spans="5:11">
      <c r="E810" s="1"/>
      <c r="F810" s="1"/>
      <c r="G810" s="1"/>
      <c r="H810" s="1"/>
      <c r="I810" s="1"/>
      <c r="J810" s="1"/>
      <c r="K810" s="1"/>
    </row>
    <row r="811" spans="5:11">
      <c r="E811" s="1"/>
      <c r="F811" s="1"/>
      <c r="G811" s="1"/>
      <c r="H811" s="1"/>
      <c r="I811" s="1"/>
      <c r="J811" s="1"/>
      <c r="K811" s="1"/>
    </row>
    <row r="812" spans="5:11">
      <c r="E812" s="1"/>
      <c r="F812" s="1"/>
      <c r="G812" s="1"/>
      <c r="H812" s="1"/>
      <c r="I812" s="1"/>
      <c r="J812" s="1"/>
      <c r="K812" s="1"/>
    </row>
    <row r="813" spans="5:11">
      <c r="E813" s="1"/>
      <c r="F813" s="1"/>
      <c r="G813" s="1"/>
      <c r="H813" s="1"/>
      <c r="I813" s="1"/>
      <c r="J813" s="1"/>
      <c r="K813" s="1"/>
    </row>
    <row r="814" spans="5:11">
      <c r="E814" s="1"/>
      <c r="F814" s="1"/>
      <c r="G814" s="1"/>
      <c r="H814" s="1"/>
      <c r="I814" s="1"/>
      <c r="J814" s="1"/>
      <c r="K814" s="1"/>
    </row>
    <row r="815" spans="5:11">
      <c r="E815" s="1"/>
      <c r="F815" s="1"/>
      <c r="G815" s="1"/>
      <c r="H815" s="1"/>
      <c r="I815" s="1"/>
      <c r="J815" s="1"/>
      <c r="K815" s="1"/>
    </row>
    <row r="816" spans="5:11">
      <c r="E816" s="1"/>
      <c r="F816" s="1"/>
      <c r="G816" s="1"/>
      <c r="H816" s="1"/>
      <c r="I816" s="1"/>
      <c r="J816" s="1"/>
      <c r="K816" s="1"/>
    </row>
    <row r="817" spans="5:11">
      <c r="E817" s="1"/>
      <c r="F817" s="1"/>
      <c r="G817" s="1"/>
      <c r="H817" s="1"/>
      <c r="I817" s="1"/>
      <c r="J817" s="1"/>
      <c r="K817" s="1"/>
    </row>
    <row r="818" spans="5:11">
      <c r="E818" s="1"/>
      <c r="F818" s="1"/>
      <c r="G818" s="1"/>
      <c r="H818" s="1"/>
      <c r="I818" s="1"/>
      <c r="J818" s="1"/>
      <c r="K818" s="1"/>
    </row>
    <row r="819" spans="5:11">
      <c r="E819" s="1"/>
      <c r="F819" s="1"/>
      <c r="G819" s="1"/>
      <c r="H819" s="1"/>
      <c r="I819" s="1"/>
      <c r="J819" s="1"/>
      <c r="K819" s="1"/>
    </row>
    <row r="820" spans="5:11">
      <c r="E820" s="1"/>
      <c r="F820" s="1"/>
      <c r="G820" s="1"/>
      <c r="H820" s="1"/>
      <c r="I820" s="1"/>
      <c r="J820" s="1"/>
      <c r="K820" s="1"/>
    </row>
    <row r="821" spans="5:11">
      <c r="E821" s="1"/>
      <c r="F821" s="1"/>
      <c r="G821" s="1"/>
      <c r="H821" s="1"/>
      <c r="I821" s="1"/>
      <c r="J821" s="1"/>
      <c r="K821" s="1"/>
    </row>
    <row r="822" spans="5:11">
      <c r="E822" s="1"/>
      <c r="F822" s="1"/>
      <c r="G822" s="1"/>
      <c r="H822" s="1"/>
      <c r="I822" s="1"/>
      <c r="J822" s="1"/>
      <c r="K822" s="1"/>
    </row>
    <row r="823" spans="5:11">
      <c r="E823" s="1"/>
      <c r="F823" s="1"/>
      <c r="G823" s="1"/>
      <c r="H823" s="1"/>
      <c r="I823" s="1"/>
      <c r="J823" s="1"/>
      <c r="K823" s="1"/>
    </row>
    <row r="824" spans="5:11">
      <c r="E824" s="1"/>
      <c r="F824" s="1"/>
      <c r="G824" s="1"/>
      <c r="H824" s="1"/>
      <c r="I824" s="1"/>
      <c r="J824" s="1"/>
      <c r="K824" s="1"/>
    </row>
    <row r="825" spans="5:11">
      <c r="E825" s="1"/>
      <c r="F825" s="1"/>
      <c r="G825" s="1"/>
      <c r="H825" s="1"/>
      <c r="I825" s="1"/>
      <c r="J825" s="1"/>
      <c r="K825" s="1"/>
    </row>
    <row r="826" spans="5:11">
      <c r="E826" s="1"/>
      <c r="F826" s="1"/>
      <c r="G826" s="1"/>
      <c r="H826" s="1"/>
      <c r="I826" s="1"/>
      <c r="J826" s="1"/>
      <c r="K826" s="1"/>
    </row>
    <row r="827" spans="5:11">
      <c r="E827" s="1"/>
      <c r="F827" s="1"/>
      <c r="G827" s="1"/>
      <c r="H827" s="1"/>
      <c r="I827" s="1"/>
      <c r="J827" s="1"/>
      <c r="K827" s="1"/>
    </row>
    <row r="828" spans="5:11">
      <c r="E828" s="1"/>
      <c r="F828" s="1"/>
      <c r="G828" s="1"/>
      <c r="H828" s="1"/>
      <c r="I828" s="1"/>
      <c r="J828" s="1"/>
      <c r="K828" s="1"/>
    </row>
    <row r="829" spans="5:11">
      <c r="E829" s="1"/>
      <c r="F829" s="1"/>
      <c r="G829" s="1"/>
      <c r="H829" s="1"/>
      <c r="I829" s="1"/>
      <c r="J829" s="1"/>
      <c r="K829" s="1"/>
    </row>
    <row r="830" spans="5:11">
      <c r="E830" s="1"/>
      <c r="F830" s="1"/>
      <c r="G830" s="1"/>
      <c r="H830" s="1"/>
      <c r="I830" s="1"/>
      <c r="J830" s="1"/>
      <c r="K830" s="1"/>
    </row>
    <row r="831" spans="5:11">
      <c r="E831" s="1"/>
      <c r="F831" s="1"/>
      <c r="G831" s="1"/>
      <c r="H831" s="1"/>
      <c r="I831" s="1"/>
      <c r="J831" s="1"/>
      <c r="K831" s="1"/>
    </row>
    <row r="832" spans="5:11">
      <c r="E832" s="1"/>
      <c r="F832" s="1"/>
      <c r="G832" s="1"/>
      <c r="H832" s="1"/>
      <c r="I832" s="1"/>
      <c r="J832" s="1"/>
      <c r="K832" s="1"/>
    </row>
    <row r="833" spans="5:11">
      <c r="E833" s="1"/>
      <c r="F833" s="1"/>
      <c r="G833" s="1"/>
      <c r="H833" s="1"/>
      <c r="I833" s="1"/>
      <c r="J833" s="1"/>
      <c r="K833" s="1"/>
    </row>
    <row r="834" spans="5:11">
      <c r="E834" s="1"/>
      <c r="F834" s="1"/>
      <c r="G834" s="1"/>
      <c r="H834" s="1"/>
      <c r="I834" s="1"/>
      <c r="J834" s="1"/>
      <c r="K834" s="1"/>
    </row>
    <row r="835" spans="5:11">
      <c r="E835" s="1"/>
      <c r="F835" s="1"/>
      <c r="G835" s="1"/>
      <c r="H835" s="1"/>
      <c r="I835" s="1"/>
      <c r="J835" s="1"/>
      <c r="K835" s="1"/>
    </row>
    <row r="836" spans="5:11">
      <c r="E836" s="1"/>
      <c r="F836" s="1"/>
      <c r="G836" s="1"/>
      <c r="H836" s="1"/>
      <c r="I836" s="1"/>
      <c r="J836" s="1"/>
      <c r="K836" s="1"/>
    </row>
    <row r="837" spans="5:11">
      <c r="E837" s="1"/>
      <c r="F837" s="1"/>
      <c r="G837" s="1"/>
      <c r="H837" s="1"/>
      <c r="I837" s="1"/>
      <c r="J837" s="1"/>
      <c r="K837" s="1"/>
    </row>
    <row r="838" spans="5:11">
      <c r="E838" s="1"/>
      <c r="F838" s="1"/>
      <c r="G838" s="1"/>
      <c r="H838" s="1"/>
      <c r="I838" s="1"/>
      <c r="J838" s="1"/>
      <c r="K838" s="1"/>
    </row>
    <row r="839" spans="5:11">
      <c r="E839" s="1"/>
      <c r="F839" s="1"/>
      <c r="G839" s="1"/>
      <c r="H839" s="1"/>
      <c r="I839" s="1"/>
      <c r="J839" s="1"/>
      <c r="K839" s="1"/>
    </row>
    <row r="840" spans="5:11">
      <c r="E840" s="1"/>
      <c r="F840" s="1"/>
      <c r="G840" s="1"/>
      <c r="H840" s="1"/>
      <c r="I840" s="1"/>
      <c r="J840" s="1"/>
      <c r="K840" s="1"/>
    </row>
    <row r="841" spans="5:11">
      <c r="E841" s="1"/>
      <c r="F841" s="1"/>
      <c r="G841" s="1"/>
      <c r="H841" s="1"/>
      <c r="I841" s="1"/>
      <c r="J841" s="1"/>
      <c r="K841" s="1"/>
    </row>
    <row r="842" spans="5:11">
      <c r="E842" s="1"/>
      <c r="F842" s="1"/>
      <c r="G842" s="1"/>
      <c r="H842" s="1"/>
      <c r="I842" s="1"/>
      <c r="J842" s="1"/>
      <c r="K842" s="1"/>
    </row>
    <row r="843" spans="5:11">
      <c r="E843" s="1"/>
      <c r="F843" s="1"/>
      <c r="G843" s="1"/>
      <c r="H843" s="1"/>
      <c r="I843" s="1"/>
      <c r="J843" s="1"/>
      <c r="K843" s="1"/>
    </row>
    <row r="844" spans="5:11">
      <c r="E844" s="1"/>
      <c r="F844" s="1"/>
      <c r="G844" s="1"/>
      <c r="H844" s="1"/>
      <c r="I844" s="1"/>
      <c r="J844" s="1"/>
      <c r="K844" s="1"/>
    </row>
    <row r="845" spans="5:11">
      <c r="E845" s="1"/>
      <c r="F845" s="1"/>
      <c r="G845" s="1"/>
      <c r="H845" s="1"/>
      <c r="I845" s="1"/>
      <c r="J845" s="1"/>
      <c r="K845" s="1"/>
    </row>
    <row r="846" spans="5:11">
      <c r="E846" s="1"/>
      <c r="F846" s="1"/>
      <c r="G846" s="1"/>
      <c r="H846" s="1"/>
      <c r="I846" s="1"/>
      <c r="J846" s="1"/>
      <c r="K846" s="1"/>
    </row>
    <row r="847" spans="5:11">
      <c r="E847" s="1"/>
      <c r="F847" s="1"/>
      <c r="G847" s="1"/>
      <c r="H847" s="1"/>
      <c r="I847" s="1"/>
      <c r="J847" s="1"/>
      <c r="K847" s="1"/>
    </row>
    <row r="848" spans="5:11">
      <c r="E848" s="1"/>
      <c r="F848" s="1"/>
      <c r="G848" s="1"/>
      <c r="H848" s="1"/>
      <c r="I848" s="1"/>
      <c r="J848" s="1"/>
      <c r="K848" s="1"/>
    </row>
    <row r="849" spans="5:11">
      <c r="E849" s="1"/>
      <c r="F849" s="1"/>
      <c r="G849" s="1"/>
      <c r="H849" s="1"/>
      <c r="I849" s="1"/>
      <c r="J849" s="1"/>
      <c r="K849" s="1"/>
    </row>
    <row r="850" spans="5:11">
      <c r="E850" s="1"/>
      <c r="F850" s="1"/>
      <c r="G850" s="1"/>
      <c r="H850" s="1"/>
      <c r="I850" s="1"/>
      <c r="J850" s="1"/>
      <c r="K850" s="1"/>
    </row>
    <row r="851" spans="5:11">
      <c r="E851" s="1"/>
      <c r="F851" s="1"/>
      <c r="G851" s="1"/>
      <c r="H851" s="1"/>
      <c r="I851" s="1"/>
      <c r="J851" s="1"/>
      <c r="K851" s="1"/>
    </row>
    <row r="852" spans="5:11">
      <c r="E852" s="1"/>
      <c r="F852" s="1"/>
      <c r="G852" s="1"/>
      <c r="H852" s="1"/>
      <c r="I852" s="1"/>
      <c r="J852" s="1"/>
      <c r="K852" s="1"/>
    </row>
    <row r="853" spans="5:11">
      <c r="E853" s="1"/>
      <c r="F853" s="1"/>
      <c r="G853" s="1"/>
      <c r="H853" s="1"/>
      <c r="I853" s="1"/>
      <c r="J853" s="1"/>
      <c r="K853" s="1"/>
    </row>
    <row r="854" spans="5:11">
      <c r="E854" s="1"/>
      <c r="F854" s="1"/>
      <c r="G854" s="1"/>
      <c r="H854" s="1"/>
      <c r="I854" s="1"/>
      <c r="J854" s="1"/>
      <c r="K854" s="1"/>
    </row>
    <row r="855" spans="5:11">
      <c r="E855" s="1"/>
      <c r="F855" s="1"/>
      <c r="G855" s="1"/>
      <c r="H855" s="1"/>
      <c r="I855" s="1"/>
      <c r="J855" s="1"/>
      <c r="K855" s="1"/>
    </row>
    <row r="856" spans="5:11">
      <c r="E856" s="1"/>
      <c r="F856" s="1"/>
      <c r="G856" s="1"/>
      <c r="H856" s="1"/>
      <c r="I856" s="1"/>
      <c r="J856" s="1"/>
      <c r="K856" s="1"/>
    </row>
    <row r="857" spans="5:11">
      <c r="E857" s="1"/>
      <c r="F857" s="1"/>
      <c r="G857" s="1"/>
      <c r="H857" s="1"/>
      <c r="I857" s="1"/>
      <c r="J857" s="1"/>
      <c r="K857" s="1"/>
    </row>
    <row r="858" spans="5:11">
      <c r="E858" s="1"/>
      <c r="F858" s="1"/>
      <c r="G858" s="1"/>
      <c r="H858" s="1"/>
      <c r="I858" s="1"/>
      <c r="J858" s="1"/>
      <c r="K858" s="1"/>
    </row>
    <row r="859" spans="5:11">
      <c r="E859" s="1"/>
      <c r="F859" s="1"/>
      <c r="G859" s="1"/>
      <c r="H859" s="1"/>
      <c r="I859" s="1"/>
      <c r="J859" s="1"/>
      <c r="K859" s="1"/>
    </row>
    <row r="860" spans="5:11">
      <c r="E860" s="1"/>
      <c r="F860" s="1"/>
      <c r="G860" s="1"/>
      <c r="H860" s="1"/>
      <c r="I860" s="1"/>
      <c r="J860" s="1"/>
      <c r="K860" s="1"/>
    </row>
    <row r="861" spans="5:11">
      <c r="E861" s="1"/>
      <c r="F861" s="1"/>
      <c r="G861" s="1"/>
      <c r="H861" s="1"/>
      <c r="I861" s="1"/>
      <c r="J861" s="1"/>
      <c r="K861" s="1"/>
    </row>
    <row r="862" spans="5:11">
      <c r="E862" s="1"/>
      <c r="F862" s="1"/>
      <c r="G862" s="1"/>
      <c r="H862" s="1"/>
      <c r="I862" s="1"/>
      <c r="J862" s="1"/>
      <c r="K862" s="1"/>
    </row>
    <row r="863" spans="5:11">
      <c r="E863" s="1"/>
      <c r="F863" s="1"/>
      <c r="G863" s="1"/>
      <c r="H863" s="1"/>
      <c r="I863" s="1"/>
      <c r="J863" s="1"/>
      <c r="K863" s="1"/>
    </row>
    <row r="864" spans="5:11">
      <c r="E864" s="1"/>
      <c r="F864" s="1"/>
      <c r="G864" s="1"/>
      <c r="H864" s="1"/>
      <c r="I864" s="1"/>
      <c r="J864" s="1"/>
      <c r="K864" s="1"/>
    </row>
    <row r="865" spans="5:11">
      <c r="E865" s="1"/>
      <c r="F865" s="1"/>
      <c r="G865" s="1"/>
      <c r="H865" s="1"/>
      <c r="I865" s="1"/>
      <c r="J865" s="1"/>
      <c r="K865" s="1"/>
    </row>
    <row r="866" spans="5:11">
      <c r="E866" s="1"/>
      <c r="F866" s="1"/>
      <c r="G866" s="1"/>
      <c r="H866" s="1"/>
      <c r="I866" s="1"/>
      <c r="J866" s="1"/>
      <c r="K866" s="1"/>
    </row>
    <row r="867" spans="5:11">
      <c r="E867" s="1"/>
      <c r="F867" s="1"/>
      <c r="G867" s="1"/>
      <c r="H867" s="1"/>
      <c r="I867" s="1"/>
      <c r="J867" s="1"/>
      <c r="K867" s="1"/>
    </row>
    <row r="868" spans="5:11">
      <c r="E868" s="1"/>
      <c r="F868" s="1"/>
      <c r="G868" s="1"/>
      <c r="H868" s="1"/>
      <c r="I868" s="1"/>
      <c r="J868" s="1"/>
      <c r="K868" s="1"/>
    </row>
    <row r="869" spans="5:11">
      <c r="E869" s="1"/>
      <c r="F869" s="1"/>
      <c r="G869" s="1"/>
      <c r="H869" s="1"/>
      <c r="I869" s="1"/>
      <c r="J869" s="1"/>
      <c r="K869" s="1"/>
    </row>
    <row r="870" spans="5:11">
      <c r="E870" s="1"/>
      <c r="F870" s="1"/>
      <c r="G870" s="1"/>
      <c r="H870" s="1"/>
      <c r="I870" s="1"/>
      <c r="J870" s="1"/>
      <c r="K870" s="1"/>
    </row>
    <row r="871" spans="5:11">
      <c r="E871" s="1"/>
      <c r="F871" s="1"/>
      <c r="G871" s="1"/>
      <c r="H871" s="1"/>
      <c r="I871" s="1"/>
      <c r="J871" s="1"/>
      <c r="K871" s="1"/>
    </row>
    <row r="872" spans="5:11">
      <c r="E872" s="1"/>
      <c r="F872" s="1"/>
      <c r="G872" s="1"/>
      <c r="H872" s="1"/>
      <c r="I872" s="1"/>
      <c r="J872" s="1"/>
      <c r="K872" s="1"/>
    </row>
    <row r="873" spans="5:11">
      <c r="E873" s="1"/>
      <c r="F873" s="1"/>
      <c r="G873" s="1"/>
      <c r="H873" s="1"/>
      <c r="I873" s="1"/>
      <c r="J873" s="1"/>
      <c r="K873" s="1"/>
    </row>
    <row r="874" spans="5:11">
      <c r="E874" s="1"/>
      <c r="F874" s="1"/>
      <c r="G874" s="1"/>
      <c r="H874" s="1"/>
      <c r="I874" s="1"/>
      <c r="J874" s="1"/>
      <c r="K874" s="1"/>
    </row>
    <row r="875" spans="5:11">
      <c r="E875" s="1"/>
      <c r="F875" s="1"/>
      <c r="G875" s="1"/>
      <c r="H875" s="1"/>
      <c r="I875" s="1"/>
      <c r="J875" s="1"/>
      <c r="K875" s="1"/>
    </row>
    <row r="876" spans="5:11">
      <c r="E876" s="1"/>
      <c r="F876" s="1"/>
      <c r="G876" s="1"/>
      <c r="H876" s="1"/>
      <c r="I876" s="1"/>
      <c r="J876" s="1"/>
      <c r="K876" s="1"/>
    </row>
    <row r="877" spans="5:11">
      <c r="E877" s="1"/>
      <c r="F877" s="1"/>
      <c r="G877" s="1"/>
      <c r="H877" s="1"/>
      <c r="I877" s="1"/>
      <c r="J877" s="1"/>
      <c r="K877" s="1"/>
    </row>
    <row r="878" spans="5:11">
      <c r="E878" s="1"/>
      <c r="F878" s="1"/>
      <c r="G878" s="1"/>
      <c r="H878" s="1"/>
      <c r="I878" s="1"/>
      <c r="J878" s="1"/>
      <c r="K878" s="1"/>
    </row>
    <row r="879" spans="5:11">
      <c r="E879" s="1"/>
      <c r="F879" s="1"/>
      <c r="G879" s="1"/>
      <c r="H879" s="1"/>
      <c r="I879" s="1"/>
      <c r="J879" s="1"/>
      <c r="K879" s="1"/>
    </row>
    <row r="880" spans="5:11">
      <c r="E880" s="1"/>
      <c r="F880" s="1"/>
      <c r="G880" s="1"/>
      <c r="H880" s="1"/>
      <c r="I880" s="1"/>
      <c r="J880" s="1"/>
      <c r="K880" s="1"/>
    </row>
    <row r="881" spans="5:11">
      <c r="E881" s="1"/>
      <c r="F881" s="1"/>
      <c r="G881" s="1"/>
      <c r="H881" s="1"/>
      <c r="I881" s="1"/>
      <c r="J881" s="1"/>
      <c r="K881" s="1"/>
    </row>
    <row r="882" spans="5:11">
      <c r="E882" s="1"/>
      <c r="F882" s="1"/>
      <c r="G882" s="1"/>
      <c r="H882" s="1"/>
      <c r="I882" s="1"/>
      <c r="J882" s="1"/>
      <c r="K882" s="1"/>
    </row>
    <row r="883" spans="5:11">
      <c r="E883" s="1"/>
      <c r="F883" s="1"/>
      <c r="G883" s="1"/>
      <c r="H883" s="1"/>
      <c r="I883" s="1"/>
      <c r="J883" s="1"/>
      <c r="K883" s="1"/>
    </row>
    <row r="884" spans="5:11">
      <c r="E884" s="1"/>
      <c r="F884" s="1"/>
      <c r="G884" s="1"/>
      <c r="H884" s="1"/>
      <c r="I884" s="1"/>
      <c r="J884" s="1"/>
      <c r="K884" s="1"/>
    </row>
    <row r="885" spans="5:11">
      <c r="E885" s="1"/>
      <c r="F885" s="1"/>
      <c r="G885" s="1"/>
      <c r="H885" s="1"/>
      <c r="I885" s="1"/>
      <c r="J885" s="1"/>
      <c r="K885" s="1"/>
    </row>
    <row r="886" spans="5:11">
      <c r="E886" s="1"/>
      <c r="F886" s="1"/>
      <c r="G886" s="1"/>
      <c r="H886" s="1"/>
      <c r="I886" s="1"/>
      <c r="J886" s="1"/>
      <c r="K886" s="1"/>
    </row>
    <row r="887" spans="5:11">
      <c r="E887" s="1"/>
      <c r="F887" s="1"/>
      <c r="G887" s="1"/>
      <c r="H887" s="1"/>
      <c r="I887" s="1"/>
      <c r="J887" s="1"/>
      <c r="K887" s="1"/>
    </row>
    <row r="888" spans="5:11">
      <c r="E888" s="1"/>
      <c r="F888" s="1"/>
      <c r="G888" s="1"/>
      <c r="H888" s="1"/>
      <c r="I888" s="1"/>
      <c r="J888" s="1"/>
      <c r="K888" s="1"/>
    </row>
    <row r="889" spans="5:11">
      <c r="E889" s="1"/>
      <c r="F889" s="1"/>
      <c r="G889" s="1"/>
      <c r="H889" s="1"/>
      <c r="I889" s="1"/>
      <c r="J889" s="1"/>
      <c r="K889" s="1"/>
    </row>
    <row r="890" spans="5:11">
      <c r="E890" s="1"/>
      <c r="F890" s="1"/>
      <c r="G890" s="1"/>
      <c r="H890" s="1"/>
      <c r="I890" s="1"/>
      <c r="J890" s="1"/>
      <c r="K890" s="1"/>
    </row>
    <row r="891" spans="5:11">
      <c r="E891" s="1"/>
      <c r="F891" s="1"/>
      <c r="G891" s="1"/>
      <c r="H891" s="1"/>
      <c r="I891" s="1"/>
      <c r="J891" s="1"/>
      <c r="K891" s="1"/>
    </row>
    <row r="892" spans="5:11">
      <c r="E892" s="1"/>
      <c r="F892" s="1"/>
      <c r="G892" s="1"/>
      <c r="H892" s="1"/>
      <c r="I892" s="1"/>
      <c r="J892" s="1"/>
      <c r="K892" s="1"/>
    </row>
    <row r="893" spans="5:11">
      <c r="E893" s="1"/>
      <c r="F893" s="1"/>
      <c r="G893" s="1"/>
      <c r="H893" s="1"/>
      <c r="I893" s="1"/>
      <c r="J893" s="1"/>
      <c r="K893" s="1"/>
    </row>
    <row r="894" spans="5:11">
      <c r="E894" s="1"/>
      <c r="F894" s="1"/>
      <c r="G894" s="1"/>
      <c r="H894" s="1"/>
      <c r="I894" s="1"/>
      <c r="J894" s="1"/>
      <c r="K894" s="1"/>
    </row>
    <row r="895" spans="5:11">
      <c r="E895" s="1"/>
      <c r="F895" s="1"/>
      <c r="G895" s="1"/>
      <c r="H895" s="1"/>
      <c r="I895" s="1"/>
      <c r="J895" s="1"/>
      <c r="K895" s="1"/>
    </row>
    <row r="896" spans="5:11">
      <c r="E896" s="1"/>
      <c r="F896" s="1"/>
      <c r="G896" s="1"/>
      <c r="H896" s="1"/>
      <c r="I896" s="1"/>
      <c r="J896" s="1"/>
      <c r="K896" s="1"/>
    </row>
    <row r="897" spans="5:11">
      <c r="E897" s="1"/>
      <c r="F897" s="1"/>
      <c r="G897" s="1"/>
      <c r="H897" s="1"/>
      <c r="I897" s="1"/>
      <c r="J897" s="1"/>
      <c r="K897" s="1"/>
    </row>
    <row r="898" spans="5:11">
      <c r="E898" s="1"/>
      <c r="F898" s="1"/>
      <c r="G898" s="1"/>
      <c r="H898" s="1"/>
      <c r="I898" s="1"/>
      <c r="J898" s="1"/>
      <c r="K898" s="1"/>
    </row>
    <row r="899" spans="5:11">
      <c r="E899" s="1"/>
      <c r="F899" s="1"/>
      <c r="G899" s="1"/>
      <c r="H899" s="1"/>
      <c r="I899" s="1"/>
      <c r="J899" s="1"/>
      <c r="K899" s="1"/>
    </row>
    <row r="900" spans="5:11">
      <c r="E900" s="1"/>
      <c r="F900" s="1"/>
      <c r="G900" s="1"/>
      <c r="H900" s="1"/>
      <c r="I900" s="1"/>
      <c r="J900" s="1"/>
      <c r="K900" s="1"/>
    </row>
    <row r="901" spans="5:11">
      <c r="E901" s="1"/>
      <c r="F901" s="1"/>
      <c r="G901" s="1"/>
      <c r="H901" s="1"/>
      <c r="I901" s="1"/>
      <c r="J901" s="1"/>
      <c r="K901" s="1"/>
    </row>
    <row r="902" spans="5:11">
      <c r="E902" s="1"/>
      <c r="F902" s="1"/>
      <c r="G902" s="1"/>
      <c r="H902" s="1"/>
      <c r="I902" s="1"/>
      <c r="J902" s="1"/>
      <c r="K902" s="1"/>
    </row>
    <row r="903" spans="5:11">
      <c r="E903" s="1"/>
      <c r="F903" s="1"/>
      <c r="G903" s="1"/>
      <c r="H903" s="1"/>
      <c r="I903" s="1"/>
      <c r="J903" s="1"/>
      <c r="K903" s="1"/>
    </row>
    <row r="904" spans="5:11">
      <c r="E904" s="1"/>
      <c r="F904" s="1"/>
      <c r="G904" s="1"/>
      <c r="H904" s="1"/>
      <c r="I904" s="1"/>
      <c r="J904" s="1"/>
      <c r="K904" s="1"/>
    </row>
    <row r="905" spans="5:11">
      <c r="E905" s="1"/>
      <c r="F905" s="1"/>
      <c r="G905" s="1"/>
      <c r="H905" s="1"/>
      <c r="I905" s="1"/>
      <c r="J905" s="1"/>
      <c r="K905" s="1"/>
    </row>
    <row r="906" spans="5:11">
      <c r="E906" s="1"/>
      <c r="F906" s="1"/>
      <c r="G906" s="1"/>
      <c r="H906" s="1"/>
      <c r="I906" s="1"/>
      <c r="J906" s="1"/>
      <c r="K906" s="1"/>
    </row>
    <row r="907" spans="5:11">
      <c r="E907" s="1"/>
      <c r="F907" s="1"/>
      <c r="G907" s="1"/>
      <c r="H907" s="1"/>
      <c r="I907" s="1"/>
      <c r="J907" s="1"/>
      <c r="K907" s="1"/>
    </row>
    <row r="908" spans="5:11">
      <c r="E908" s="1"/>
      <c r="F908" s="1"/>
      <c r="G908" s="1"/>
      <c r="H908" s="1"/>
      <c r="I908" s="1"/>
      <c r="J908" s="1"/>
      <c r="K908" s="1"/>
    </row>
    <row r="909" spans="5:11">
      <c r="E909" s="1"/>
      <c r="F909" s="1"/>
      <c r="G909" s="1"/>
      <c r="H909" s="1"/>
      <c r="I909" s="1"/>
      <c r="J909" s="1"/>
      <c r="K909" s="1"/>
    </row>
    <row r="910" spans="5:11">
      <c r="E910" s="1"/>
      <c r="F910" s="1"/>
      <c r="G910" s="1"/>
      <c r="H910" s="1"/>
      <c r="I910" s="1"/>
      <c r="J910" s="1"/>
      <c r="K910" s="1"/>
    </row>
    <row r="911" spans="5:11">
      <c r="E911" s="1"/>
      <c r="F911" s="1"/>
      <c r="G911" s="1"/>
      <c r="H911" s="1"/>
      <c r="I911" s="1"/>
      <c r="J911" s="1"/>
      <c r="K911" s="1"/>
    </row>
    <row r="912" spans="5:11">
      <c r="E912" s="1"/>
      <c r="F912" s="1"/>
      <c r="G912" s="1"/>
      <c r="H912" s="1"/>
      <c r="I912" s="1"/>
      <c r="J912" s="1"/>
      <c r="K912" s="1"/>
    </row>
    <row r="913" spans="5:11">
      <c r="E913" s="1"/>
      <c r="F913" s="1"/>
      <c r="G913" s="1"/>
      <c r="H913" s="1"/>
      <c r="I913" s="1"/>
      <c r="J913" s="1"/>
      <c r="K913" s="1"/>
    </row>
    <row r="914" spans="5:11">
      <c r="E914" s="1"/>
      <c r="F914" s="1"/>
      <c r="G914" s="1"/>
      <c r="H914" s="1"/>
      <c r="I914" s="1"/>
      <c r="J914" s="1"/>
      <c r="K914" s="1"/>
    </row>
    <row r="915" spans="5:11">
      <c r="E915" s="1"/>
      <c r="F915" s="1"/>
      <c r="G915" s="1"/>
      <c r="H915" s="1"/>
      <c r="I915" s="1"/>
      <c r="J915" s="1"/>
      <c r="K915" s="1"/>
    </row>
    <row r="916" spans="5:11">
      <c r="E916" s="1"/>
      <c r="F916" s="1"/>
      <c r="G916" s="1"/>
      <c r="H916" s="1"/>
      <c r="I916" s="1"/>
      <c r="J916" s="1"/>
      <c r="K916" s="1"/>
    </row>
    <row r="917" spans="5:11">
      <c r="E917" s="1"/>
      <c r="F917" s="1"/>
      <c r="G917" s="1"/>
      <c r="H917" s="1"/>
      <c r="I917" s="1"/>
      <c r="J917" s="1"/>
      <c r="K917" s="1"/>
    </row>
    <row r="918" spans="5:11">
      <c r="E918" s="1"/>
      <c r="F918" s="1"/>
      <c r="G918" s="1"/>
      <c r="H918" s="1"/>
      <c r="I918" s="1"/>
      <c r="J918" s="1"/>
      <c r="K918" s="1"/>
    </row>
    <row r="919" spans="5:11">
      <c r="E919" s="1"/>
      <c r="F919" s="1"/>
      <c r="G919" s="1"/>
      <c r="H919" s="1"/>
      <c r="I919" s="1"/>
      <c r="J919" s="1"/>
      <c r="K919" s="1"/>
    </row>
    <row r="920" spans="5:11">
      <c r="E920" s="1"/>
      <c r="F920" s="1"/>
      <c r="G920" s="1"/>
      <c r="H920" s="1"/>
      <c r="I920" s="1"/>
      <c r="J920" s="1"/>
      <c r="K920" s="1"/>
    </row>
    <row r="921" spans="5:11">
      <c r="E921" s="1"/>
      <c r="F921" s="1"/>
      <c r="G921" s="1"/>
      <c r="H921" s="1"/>
      <c r="I921" s="1"/>
      <c r="J921" s="1"/>
      <c r="K921" s="1"/>
    </row>
    <row r="922" spans="5:11">
      <c r="E922" s="1"/>
      <c r="F922" s="1"/>
      <c r="G922" s="1"/>
      <c r="H922" s="1"/>
      <c r="I922" s="1"/>
      <c r="J922" s="1"/>
      <c r="K922" s="1"/>
    </row>
    <row r="923" spans="5:11">
      <c r="E923" s="1"/>
      <c r="F923" s="1"/>
      <c r="G923" s="1"/>
      <c r="H923" s="1"/>
      <c r="I923" s="1"/>
      <c r="J923" s="1"/>
      <c r="K923" s="1"/>
    </row>
    <row r="924" spans="5:11">
      <c r="E924" s="1"/>
      <c r="F924" s="1"/>
      <c r="G924" s="1"/>
      <c r="H924" s="1"/>
      <c r="I924" s="1"/>
      <c r="J924" s="1"/>
      <c r="K924" s="1"/>
    </row>
    <row r="925" spans="5:11">
      <c r="E925" s="1"/>
      <c r="F925" s="1"/>
      <c r="G925" s="1"/>
      <c r="H925" s="1"/>
      <c r="I925" s="1"/>
      <c r="J925" s="1"/>
      <c r="K925" s="1"/>
    </row>
    <row r="926" spans="5:11">
      <c r="E926" s="1"/>
      <c r="F926" s="1"/>
      <c r="G926" s="1"/>
      <c r="H926" s="1"/>
      <c r="I926" s="1"/>
      <c r="J926" s="1"/>
      <c r="K926" s="1"/>
    </row>
    <row r="927" spans="5:11">
      <c r="E927" s="1"/>
      <c r="F927" s="1"/>
      <c r="G927" s="1"/>
      <c r="H927" s="1"/>
      <c r="I927" s="1"/>
      <c r="J927" s="1"/>
      <c r="K927" s="1"/>
    </row>
    <row r="928" spans="5:11">
      <c r="E928" s="1"/>
      <c r="F928" s="1"/>
      <c r="G928" s="1"/>
      <c r="H928" s="1"/>
      <c r="I928" s="1"/>
      <c r="J928" s="1"/>
      <c r="K928" s="1"/>
    </row>
    <row r="929" spans="5:11">
      <c r="E929" s="1"/>
      <c r="F929" s="1"/>
      <c r="G929" s="1"/>
      <c r="H929" s="1"/>
      <c r="I929" s="1"/>
      <c r="J929" s="1"/>
      <c r="K929" s="1"/>
    </row>
    <row r="930" spans="5:11">
      <c r="E930" s="1"/>
      <c r="F930" s="1"/>
      <c r="G930" s="1"/>
      <c r="H930" s="1"/>
      <c r="I930" s="1"/>
      <c r="J930" s="1"/>
      <c r="K930" s="1"/>
    </row>
    <row r="931" spans="5:11">
      <c r="E931" s="1"/>
      <c r="F931" s="1"/>
      <c r="G931" s="1"/>
      <c r="H931" s="1"/>
      <c r="I931" s="1"/>
      <c r="J931" s="1"/>
      <c r="K931" s="1"/>
    </row>
    <row r="932" spans="5:11">
      <c r="E932" s="1"/>
      <c r="F932" s="1"/>
      <c r="G932" s="1"/>
      <c r="H932" s="1"/>
      <c r="I932" s="1"/>
      <c r="J932" s="1"/>
      <c r="K932" s="1"/>
    </row>
    <row r="933" spans="5:11">
      <c r="E933" s="1"/>
      <c r="F933" s="1"/>
      <c r="G933" s="1"/>
      <c r="H933" s="1"/>
      <c r="I933" s="1"/>
      <c r="J933" s="1"/>
      <c r="K933" s="1"/>
    </row>
    <row r="934" spans="5:11">
      <c r="E934" s="1"/>
      <c r="F934" s="1"/>
      <c r="G934" s="1"/>
      <c r="H934" s="1"/>
      <c r="I934" s="1"/>
      <c r="J934" s="1"/>
      <c r="K934" s="1"/>
    </row>
    <row r="935" spans="5:11">
      <c r="E935" s="1"/>
      <c r="F935" s="1"/>
      <c r="G935" s="1"/>
      <c r="H935" s="1"/>
      <c r="I935" s="1"/>
      <c r="J935" s="1"/>
      <c r="K935" s="1"/>
    </row>
    <row r="936" spans="5:11">
      <c r="E936" s="1"/>
      <c r="F936" s="1"/>
      <c r="G936" s="1"/>
      <c r="H936" s="1"/>
      <c r="I936" s="1"/>
      <c r="J936" s="1"/>
      <c r="K936" s="1"/>
    </row>
    <row r="937" spans="5:11">
      <c r="E937" s="1"/>
      <c r="F937" s="1"/>
      <c r="G937" s="1"/>
      <c r="H937" s="1"/>
      <c r="I937" s="1"/>
      <c r="J937" s="1"/>
      <c r="K937" s="1"/>
    </row>
    <row r="938" spans="5:11">
      <c r="E938" s="1"/>
      <c r="F938" s="1"/>
      <c r="G938" s="1"/>
      <c r="H938" s="1"/>
      <c r="I938" s="1"/>
      <c r="J938" s="1"/>
      <c r="K938" s="1"/>
    </row>
    <row r="939" spans="5:11">
      <c r="E939" s="1"/>
      <c r="F939" s="1"/>
      <c r="G939" s="1"/>
      <c r="H939" s="1"/>
      <c r="I939" s="1"/>
      <c r="J939" s="1"/>
      <c r="K939" s="1"/>
    </row>
    <row r="940" spans="5:11">
      <c r="E940" s="1"/>
      <c r="F940" s="1"/>
      <c r="G940" s="1"/>
      <c r="H940" s="1"/>
      <c r="I940" s="1"/>
      <c r="J940" s="1"/>
      <c r="K940" s="1"/>
    </row>
    <row r="941" spans="5:11">
      <c r="E941" s="1"/>
      <c r="F941" s="1"/>
      <c r="G941" s="1"/>
      <c r="H941" s="1"/>
      <c r="I941" s="1"/>
      <c r="J941" s="1"/>
      <c r="K941" s="1"/>
    </row>
    <row r="942" spans="5:11">
      <c r="E942" s="1"/>
      <c r="F942" s="1"/>
      <c r="G942" s="1"/>
      <c r="H942" s="1"/>
      <c r="I942" s="1"/>
      <c r="J942" s="1"/>
      <c r="K942" s="1"/>
    </row>
    <row r="943" spans="5:11">
      <c r="E943" s="1"/>
      <c r="F943" s="1"/>
      <c r="G943" s="1"/>
      <c r="H943" s="1"/>
      <c r="I943" s="1"/>
      <c r="J943" s="1"/>
      <c r="K943" s="1"/>
    </row>
    <row r="944" spans="5:11">
      <c r="E944" s="1"/>
      <c r="F944" s="1"/>
      <c r="G944" s="1"/>
      <c r="H944" s="1"/>
      <c r="I944" s="1"/>
      <c r="J944" s="1"/>
      <c r="K944" s="1"/>
    </row>
    <row r="945" spans="5:11">
      <c r="E945" s="1"/>
      <c r="F945" s="1"/>
      <c r="G945" s="1"/>
      <c r="H945" s="1"/>
      <c r="I945" s="1"/>
      <c r="J945" s="1"/>
      <c r="K945" s="1"/>
    </row>
    <row r="946" spans="5:11">
      <c r="E946" s="1"/>
      <c r="F946" s="1"/>
      <c r="G946" s="1"/>
      <c r="H946" s="1"/>
      <c r="I946" s="1"/>
      <c r="J946" s="1"/>
      <c r="K946" s="1"/>
    </row>
    <row r="947" spans="5:11">
      <c r="E947" s="1"/>
      <c r="F947" s="1"/>
      <c r="G947" s="1"/>
      <c r="H947" s="1"/>
      <c r="I947" s="1"/>
      <c r="J947" s="1"/>
      <c r="K947" s="1"/>
    </row>
    <row r="948" spans="5:11">
      <c r="E948" s="1"/>
      <c r="F948" s="1"/>
      <c r="G948" s="1"/>
      <c r="H948" s="1"/>
      <c r="I948" s="1"/>
      <c r="J948" s="1"/>
      <c r="K948" s="1"/>
    </row>
    <row r="949" spans="5:11">
      <c r="E949" s="1"/>
      <c r="F949" s="1"/>
      <c r="G949" s="1"/>
      <c r="H949" s="1"/>
      <c r="I949" s="1"/>
      <c r="J949" s="1"/>
      <c r="K949" s="1"/>
    </row>
    <row r="950" spans="5:11">
      <c r="E950" s="1"/>
      <c r="F950" s="1"/>
      <c r="G950" s="1"/>
      <c r="H950" s="1"/>
      <c r="I950" s="1"/>
      <c r="J950" s="1"/>
      <c r="K950" s="1"/>
    </row>
    <row r="951" spans="5:11">
      <c r="E951" s="1"/>
      <c r="F951" s="1"/>
      <c r="G951" s="1"/>
      <c r="H951" s="1"/>
      <c r="I951" s="1"/>
      <c r="J951" s="1"/>
      <c r="K951" s="1"/>
    </row>
    <row r="952" spans="5:11">
      <c r="E952" s="1"/>
      <c r="F952" s="1"/>
      <c r="G952" s="1"/>
      <c r="H952" s="1"/>
      <c r="I952" s="1"/>
      <c r="J952" s="1"/>
      <c r="K952" s="1"/>
    </row>
    <row r="953" spans="5:11">
      <c r="E953" s="1"/>
      <c r="F953" s="1"/>
      <c r="G953" s="1"/>
      <c r="H953" s="1"/>
      <c r="I953" s="1"/>
      <c r="J953" s="1"/>
      <c r="K953" s="1"/>
    </row>
    <row r="954" spans="5:11">
      <c r="E954" s="1"/>
      <c r="F954" s="1"/>
      <c r="G954" s="1"/>
      <c r="H954" s="1"/>
      <c r="I954" s="1"/>
      <c r="J954" s="1"/>
      <c r="K954" s="1"/>
    </row>
    <row r="955" spans="5:11">
      <c r="E955" s="1"/>
      <c r="F955" s="1"/>
      <c r="G955" s="1"/>
      <c r="H955" s="1"/>
      <c r="I955" s="1"/>
      <c r="J955" s="1"/>
      <c r="K955" s="1"/>
    </row>
    <row r="956" spans="5:11">
      <c r="E956" s="1"/>
      <c r="F956" s="1"/>
      <c r="G956" s="1"/>
      <c r="H956" s="1"/>
      <c r="I956" s="1"/>
      <c r="J956" s="1"/>
      <c r="K956" s="1"/>
    </row>
    <row r="957" spans="5:11">
      <c r="E957" s="1"/>
      <c r="F957" s="1"/>
      <c r="G957" s="1"/>
      <c r="H957" s="1"/>
      <c r="I957" s="1"/>
      <c r="J957" s="1"/>
      <c r="K957" s="1"/>
    </row>
    <row r="958" spans="5:11">
      <c r="E958" s="1"/>
      <c r="F958" s="1"/>
      <c r="G958" s="1"/>
      <c r="H958" s="1"/>
      <c r="I958" s="1"/>
      <c r="J958" s="1"/>
      <c r="K958" s="1"/>
    </row>
    <row r="959" spans="5:11">
      <c r="E959" s="1"/>
      <c r="F959" s="1"/>
      <c r="G959" s="1"/>
      <c r="H959" s="1"/>
      <c r="I959" s="1"/>
      <c r="J959" s="1"/>
      <c r="K959" s="1"/>
    </row>
    <row r="960" spans="5:11">
      <c r="E960" s="1"/>
      <c r="F960" s="1"/>
      <c r="G960" s="1"/>
      <c r="H960" s="1"/>
      <c r="I960" s="1"/>
      <c r="J960" s="1"/>
      <c r="K960" s="1"/>
    </row>
    <row r="961" spans="5:11">
      <c r="E961" s="1"/>
      <c r="F961" s="1"/>
      <c r="G961" s="1"/>
      <c r="H961" s="1"/>
      <c r="I961" s="1"/>
      <c r="J961" s="1"/>
      <c r="K961" s="1"/>
    </row>
    <row r="962" spans="5:11">
      <c r="E962" s="1"/>
      <c r="F962" s="1"/>
      <c r="G962" s="1"/>
      <c r="H962" s="1"/>
      <c r="I962" s="1"/>
      <c r="J962" s="1"/>
      <c r="K962" s="1"/>
    </row>
    <row r="963" spans="5:11">
      <c r="E963" s="1"/>
      <c r="F963" s="1"/>
      <c r="G963" s="1"/>
      <c r="H963" s="1"/>
      <c r="I963" s="1"/>
      <c r="J963" s="1"/>
      <c r="K963" s="1"/>
    </row>
    <row r="964" spans="5:11">
      <c r="E964" s="1"/>
      <c r="F964" s="1"/>
      <c r="G964" s="1"/>
      <c r="H964" s="1"/>
      <c r="I964" s="1"/>
      <c r="J964" s="1"/>
      <c r="K964" s="1"/>
    </row>
    <row r="965" spans="5:11">
      <c r="E965" s="1"/>
      <c r="F965" s="1"/>
      <c r="G965" s="1"/>
      <c r="H965" s="1"/>
      <c r="I965" s="1"/>
      <c r="J965" s="1"/>
      <c r="K965" s="1"/>
    </row>
    <row r="966" spans="5:11">
      <c r="E966" s="1"/>
      <c r="F966" s="1"/>
      <c r="G966" s="1"/>
      <c r="H966" s="1"/>
      <c r="I966" s="1"/>
      <c r="J966" s="1"/>
      <c r="K966" s="1"/>
    </row>
    <row r="967" spans="5:11">
      <c r="E967" s="1"/>
      <c r="F967" s="1"/>
      <c r="G967" s="1"/>
      <c r="H967" s="1"/>
      <c r="I967" s="1"/>
      <c r="J967" s="1"/>
      <c r="K967" s="1"/>
    </row>
    <row r="968" spans="5:11">
      <c r="E968" s="1"/>
      <c r="F968" s="1"/>
      <c r="G968" s="1"/>
      <c r="H968" s="1"/>
      <c r="I968" s="1"/>
      <c r="J968" s="1"/>
      <c r="K968" s="1"/>
    </row>
    <row r="969" spans="5:11">
      <c r="E969" s="1"/>
      <c r="F969" s="1"/>
      <c r="G969" s="1"/>
      <c r="H969" s="1"/>
      <c r="I969" s="1"/>
      <c r="J969" s="1"/>
      <c r="K969" s="1"/>
    </row>
    <row r="970" spans="5:11">
      <c r="E970" s="1"/>
      <c r="F970" s="1"/>
      <c r="G970" s="1"/>
      <c r="H970" s="1"/>
      <c r="I970" s="1"/>
      <c r="J970" s="1"/>
      <c r="K970" s="1"/>
    </row>
    <row r="971" spans="5:11">
      <c r="E971" s="1"/>
      <c r="F971" s="1"/>
      <c r="G971" s="1"/>
      <c r="H971" s="1"/>
      <c r="I971" s="1"/>
      <c r="J971" s="1"/>
      <c r="K971" s="1"/>
    </row>
    <row r="972" spans="5:11">
      <c r="E972" s="1"/>
      <c r="F972" s="1"/>
      <c r="G972" s="1"/>
      <c r="H972" s="1"/>
      <c r="I972" s="1"/>
      <c r="J972" s="1"/>
      <c r="K972" s="1"/>
    </row>
    <row r="973" spans="5:11">
      <c r="E973" s="1"/>
      <c r="F973" s="1"/>
      <c r="G973" s="1"/>
      <c r="H973" s="1"/>
      <c r="I973" s="1"/>
      <c r="J973" s="1"/>
      <c r="K973" s="1"/>
    </row>
    <row r="974" spans="5:11">
      <c r="E974" s="1"/>
      <c r="F974" s="1"/>
      <c r="G974" s="1"/>
      <c r="H974" s="1"/>
      <c r="I974" s="1"/>
      <c r="J974" s="1"/>
      <c r="K974" s="1"/>
    </row>
    <row r="975" spans="5:11">
      <c r="E975" s="1"/>
      <c r="F975" s="1"/>
      <c r="G975" s="1"/>
      <c r="H975" s="1"/>
      <c r="I975" s="1"/>
      <c r="J975" s="1"/>
      <c r="K975" s="1"/>
    </row>
    <row r="976" spans="5:11">
      <c r="E976" s="1"/>
      <c r="F976" s="1"/>
      <c r="G976" s="1"/>
      <c r="H976" s="1"/>
      <c r="I976" s="1"/>
      <c r="J976" s="1"/>
      <c r="K976" s="1"/>
    </row>
    <row r="977" spans="5:11">
      <c r="E977" s="1"/>
      <c r="F977" s="1"/>
      <c r="G977" s="1"/>
      <c r="H977" s="1"/>
      <c r="I977" s="1"/>
      <c r="J977" s="1"/>
      <c r="K977" s="1"/>
    </row>
    <row r="978" spans="5:11">
      <c r="E978" s="1"/>
      <c r="F978" s="1"/>
      <c r="G978" s="1"/>
      <c r="H978" s="1"/>
      <c r="I978" s="1"/>
      <c r="J978" s="1"/>
      <c r="K978" s="1"/>
    </row>
    <row r="979" spans="5:11">
      <c r="E979" s="1"/>
      <c r="F979" s="1"/>
      <c r="G979" s="1"/>
      <c r="H979" s="1"/>
      <c r="I979" s="1"/>
      <c r="J979" s="1"/>
      <c r="K979" s="1"/>
    </row>
    <row r="980" spans="5:11">
      <c r="E980" s="1"/>
      <c r="F980" s="1"/>
      <c r="G980" s="1"/>
      <c r="H980" s="1"/>
      <c r="I980" s="1"/>
      <c r="J980" s="1"/>
      <c r="K980" s="1"/>
    </row>
    <row r="981" spans="5:11">
      <c r="E981" s="1"/>
      <c r="F981" s="1"/>
      <c r="G981" s="1"/>
      <c r="H981" s="1"/>
      <c r="I981" s="1"/>
      <c r="J981" s="1"/>
      <c r="K981" s="1"/>
    </row>
    <row r="982" spans="5:11">
      <c r="E982" s="1"/>
      <c r="F982" s="1"/>
      <c r="G982" s="1"/>
      <c r="H982" s="1"/>
      <c r="I982" s="1"/>
      <c r="J982" s="1"/>
      <c r="K982" s="1"/>
    </row>
    <row r="983" spans="5:11">
      <c r="E983" s="1"/>
      <c r="F983" s="1"/>
      <c r="G983" s="1"/>
      <c r="H983" s="1"/>
      <c r="I983" s="1"/>
      <c r="J983" s="1"/>
      <c r="K983" s="1"/>
    </row>
    <row r="984" spans="5:11">
      <c r="E984" s="1"/>
      <c r="F984" s="1"/>
      <c r="G984" s="1"/>
      <c r="H984" s="1"/>
      <c r="I984" s="1"/>
      <c r="J984" s="1"/>
      <c r="K984" s="1"/>
    </row>
    <row r="985" spans="5:11">
      <c r="E985" s="1"/>
      <c r="F985" s="1"/>
      <c r="G985" s="1"/>
      <c r="H985" s="1"/>
      <c r="I985" s="1"/>
      <c r="J985" s="1"/>
      <c r="K985" s="1"/>
    </row>
    <row r="986" spans="5:11">
      <c r="E986" s="1"/>
      <c r="F986" s="1"/>
      <c r="G986" s="1"/>
      <c r="H986" s="1"/>
      <c r="I986" s="1"/>
      <c r="J986" s="1"/>
      <c r="K986" s="1"/>
    </row>
    <row r="987" spans="5:11">
      <c r="E987" s="1"/>
      <c r="F987" s="1"/>
      <c r="G987" s="1"/>
      <c r="H987" s="1"/>
      <c r="I987" s="1"/>
      <c r="J987" s="1"/>
      <c r="K987" s="1"/>
    </row>
    <row r="988" spans="5:11">
      <c r="E988" s="1"/>
      <c r="F988" s="1"/>
      <c r="G988" s="1"/>
      <c r="H988" s="1"/>
      <c r="I988" s="1"/>
      <c r="J988" s="1"/>
      <c r="K988" s="1"/>
    </row>
    <row r="989" spans="5:11">
      <c r="E989" s="1"/>
      <c r="F989" s="1"/>
      <c r="G989" s="1"/>
      <c r="H989" s="1"/>
      <c r="I989" s="1"/>
      <c r="J989" s="1"/>
      <c r="K989" s="1"/>
    </row>
    <row r="990" spans="5:11">
      <c r="E990" s="1"/>
      <c r="F990" s="1"/>
      <c r="G990" s="1"/>
      <c r="H990" s="1"/>
      <c r="I990" s="1"/>
      <c r="J990" s="1"/>
      <c r="K990" s="1"/>
    </row>
    <row r="991" spans="5:11">
      <c r="E991" s="1"/>
      <c r="F991" s="1"/>
      <c r="G991" s="1"/>
      <c r="H991" s="1"/>
      <c r="I991" s="1"/>
      <c r="J991" s="1"/>
      <c r="K991" s="1"/>
    </row>
    <row r="992" spans="5:11">
      <c r="E992" s="1"/>
      <c r="F992" s="1"/>
      <c r="G992" s="1"/>
      <c r="H992" s="1"/>
      <c r="I992" s="1"/>
      <c r="J992" s="1"/>
      <c r="K992" s="1"/>
    </row>
    <row r="993" spans="5:11">
      <c r="E993" s="1"/>
      <c r="F993" s="1"/>
      <c r="G993" s="1"/>
      <c r="H993" s="1"/>
      <c r="I993" s="1"/>
      <c r="J993" s="1"/>
      <c r="K993" s="1"/>
    </row>
    <row r="994" spans="5:11">
      <c r="E994" s="1"/>
      <c r="F994" s="1"/>
      <c r="G994" s="1"/>
      <c r="H994" s="1"/>
      <c r="I994" s="1"/>
      <c r="J994" s="1"/>
      <c r="K994" s="1"/>
    </row>
    <row r="995" spans="5:11">
      <c r="E995" s="1"/>
      <c r="F995" s="1"/>
      <c r="G995" s="1"/>
      <c r="H995" s="1"/>
      <c r="I995" s="1"/>
      <c r="J995" s="1"/>
      <c r="K995" s="1"/>
    </row>
    <row r="996" spans="5:11">
      <c r="E996" s="1"/>
      <c r="F996" s="1"/>
      <c r="G996" s="1"/>
      <c r="H996" s="1"/>
      <c r="I996" s="1"/>
      <c r="J996" s="1"/>
      <c r="K996" s="1"/>
    </row>
    <row r="997" spans="5:11">
      <c r="E997" s="1"/>
      <c r="F997" s="1"/>
      <c r="G997" s="1"/>
      <c r="H997" s="1"/>
      <c r="I997" s="1"/>
      <c r="J997" s="1"/>
      <c r="K997" s="1"/>
    </row>
  </sheetData>
  <mergeCells count="9">
    <mergeCell ref="E78:F78"/>
    <mergeCell ref="D80:L80"/>
    <mergeCell ref="E87:F87"/>
    <mergeCell ref="D2:L2"/>
    <mergeCell ref="D4:L4"/>
    <mergeCell ref="E18:F18"/>
    <mergeCell ref="D21:L21"/>
    <mergeCell ref="E45:F45"/>
    <mergeCell ref="D47:L47"/>
  </mergeCells>
  <pageMargins left="0.7" right="0.7" top="0.75" bottom="0.75" header="0" footer="0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3:AG63"/>
  <sheetViews>
    <sheetView showGridLines="0" zoomScale="60" zoomScaleNormal="60" workbookViewId="0">
      <pane xSplit="2" ySplit="4" topLeftCell="C20" activePane="bottomRight" state="frozen"/>
      <selection pane="bottomRight" activeCell="I39" sqref="I39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2.77734375" customWidth="1"/>
    <col min="3" max="3" width="14.109375" customWidth="1"/>
    <col min="4" max="4" width="14.21875" customWidth="1"/>
    <col min="5" max="5" width="10.5546875" customWidth="1"/>
    <col min="6" max="6" width="11.44140625" customWidth="1"/>
    <col min="7" max="7" width="11.33203125" customWidth="1"/>
    <col min="8" max="8" width="11.6640625" customWidth="1"/>
    <col min="9" max="9" width="12.6640625" customWidth="1"/>
    <col min="10" max="10" width="12.332031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10.6640625" style="1" customWidth="1"/>
    <col min="18" max="18" width="14.6640625" customWidth="1"/>
    <col min="19" max="20" width="14.77734375" customWidth="1"/>
    <col min="21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7" t="s">
        <v>6</v>
      </c>
      <c r="H4" s="128" t="s">
        <v>7</v>
      </c>
      <c r="I4" s="128" t="s">
        <v>8</v>
      </c>
      <c r="J4" s="129" t="s">
        <v>9</v>
      </c>
      <c r="K4" s="274" t="s">
        <v>182</v>
      </c>
      <c r="L4" s="127" t="s">
        <v>10</v>
      </c>
      <c r="M4" s="128" t="s">
        <v>11</v>
      </c>
      <c r="N4" s="128" t="s">
        <v>12</v>
      </c>
      <c r="O4" s="146" t="s">
        <v>13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3.15">
      <c r="B5" s="130">
        <v>44044</v>
      </c>
      <c r="C5" s="131">
        <v>9400</v>
      </c>
      <c r="D5" s="135">
        <v>23500</v>
      </c>
      <c r="E5" s="135">
        <v>4090</v>
      </c>
      <c r="F5" s="136">
        <v>14200</v>
      </c>
      <c r="G5" s="140">
        <v>5053</v>
      </c>
      <c r="H5" s="137">
        <v>20423</v>
      </c>
      <c r="I5" s="137">
        <v>4116</v>
      </c>
      <c r="J5" s="138">
        <v>14495</v>
      </c>
      <c r="K5" s="275">
        <f>SUM(Table252346[[#This Row],[Batan Daily Prod (bopd)]:[Odidi prod (bopd)]])</f>
        <v>44087</v>
      </c>
      <c r="L5" s="131">
        <f>Table252346[[#This Row],[Batan Target (bopd)]]-Table252346[[#This Row],[Batan Daily Prod (bopd)]]</f>
        <v>4347</v>
      </c>
      <c r="M5" s="132">
        <f>Table252346[[#This Row],[Jones Creek Target (bopd)]]-Table252346[[#This Row],[Jones Creek Prod (bopd)]]</f>
        <v>3077</v>
      </c>
      <c r="N5" s="132">
        <f>Table252346[[#This Row],[Egwa Target (bopd)]]-Table252346[[#This Row],[Egwa Prod (bopd)]]</f>
        <v>-26</v>
      </c>
      <c r="O5" s="134">
        <f>Table252346[[#This Row],[Odidi Target (bopd)]]-Table252346[[#This Row],[Odidi prod (bopd)]]</f>
        <v>-295</v>
      </c>
      <c r="R5" s="144"/>
      <c r="S5" s="148" t="s">
        <v>148</v>
      </c>
      <c r="T5" s="152">
        <f>B32</f>
        <v>44071</v>
      </c>
      <c r="U5" s="152">
        <f>T5+1</f>
        <v>44072</v>
      </c>
      <c r="V5" s="152">
        <f>U5+1</f>
        <v>44073</v>
      </c>
      <c r="W5" s="152">
        <f>V5+1</f>
        <v>44074</v>
      </c>
      <c r="X5" s="152">
        <f>W5+1</f>
        <v>44075</v>
      </c>
    </row>
    <row r="6" spans="2:33" ht="21.6">
      <c r="B6" s="130">
        <v>44045</v>
      </c>
      <c r="C6" s="131">
        <v>9400</v>
      </c>
      <c r="D6" s="135">
        <v>23500</v>
      </c>
      <c r="E6" s="135">
        <v>4090</v>
      </c>
      <c r="F6" s="136">
        <v>14200</v>
      </c>
      <c r="G6" s="140">
        <v>5063</v>
      </c>
      <c r="H6" s="137">
        <v>20186</v>
      </c>
      <c r="I6" s="137">
        <v>4117</v>
      </c>
      <c r="J6" s="138">
        <v>13860</v>
      </c>
      <c r="K6" s="275">
        <f>SUM(Table252346[[#This Row],[Batan Daily Prod (bopd)]:[Odidi prod (bopd)]])</f>
        <v>43226</v>
      </c>
      <c r="L6" s="131">
        <f>Table252346[[#This Row],[Batan Target (bopd)]]-Table252346[[#This Row],[Batan Daily Prod (bopd)]]</f>
        <v>4337</v>
      </c>
      <c r="M6" s="132">
        <f>Table252346[[#This Row],[Jones Creek Target (bopd)]]-Table252346[[#This Row],[Jones Creek Prod (bopd)]]</f>
        <v>3314</v>
      </c>
      <c r="N6" s="132">
        <f>Table252346[[#This Row],[Egwa Target (bopd)]]-Table252346[[#This Row],[Egwa Prod (bopd)]]</f>
        <v>-27</v>
      </c>
      <c r="O6" s="134">
        <f>Table252346[[#This Row],[Odidi Target (bopd)]]-Table252346[[#This Row],[Odidi prod (bopd)]]</f>
        <v>340</v>
      </c>
      <c r="R6" s="145" t="s">
        <v>17</v>
      </c>
      <c r="S6" s="272">
        <v>23.5</v>
      </c>
      <c r="T6" s="268">
        <v>19.870999999999999</v>
      </c>
      <c r="U6" s="267">
        <v>19.866</v>
      </c>
      <c r="V6" s="268">
        <v>19.829999999999998</v>
      </c>
      <c r="W6" s="267">
        <v>20</v>
      </c>
      <c r="X6" s="300">
        <v>20</v>
      </c>
      <c r="Z6" s="297"/>
      <c r="AA6" s="298"/>
      <c r="AB6" s="298"/>
      <c r="AC6" s="298"/>
      <c r="AD6" s="244"/>
      <c r="AE6" s="244"/>
      <c r="AF6" s="245"/>
      <c r="AG6" s="245"/>
    </row>
    <row r="7" spans="2:33" ht="21.6">
      <c r="B7" s="130">
        <v>44046</v>
      </c>
      <c r="C7" s="131">
        <v>9400</v>
      </c>
      <c r="D7" s="135">
        <v>23500</v>
      </c>
      <c r="E7" s="135">
        <v>4090</v>
      </c>
      <c r="F7" s="136">
        <v>14200</v>
      </c>
      <c r="G7" s="131">
        <v>5071</v>
      </c>
      <c r="H7" s="137">
        <v>20549</v>
      </c>
      <c r="I7" s="132">
        <v>4122</v>
      </c>
      <c r="J7" s="134">
        <v>13609</v>
      </c>
      <c r="K7" s="276">
        <f>SUM(Table252346[[#This Row],[Batan Daily Prod (bopd)]:[Odidi prod (bopd)]])</f>
        <v>43351</v>
      </c>
      <c r="L7" s="131">
        <f>Table252346[[#This Row],[Batan Target (bopd)]]-Table252346[[#This Row],[Batan Daily Prod (bopd)]]</f>
        <v>4329</v>
      </c>
      <c r="M7" s="132">
        <f>Table252346[[#This Row],[Jones Creek Target (bopd)]]-Table252346[[#This Row],[Jones Creek Prod (bopd)]]</f>
        <v>2951</v>
      </c>
      <c r="N7" s="132">
        <f>Table252346[[#This Row],[Egwa Target (bopd)]]-Table252346[[#This Row],[Egwa Prod (bopd)]]</f>
        <v>-32</v>
      </c>
      <c r="O7" s="134">
        <f>Table252346[[#This Row],[Odidi Target (bopd)]]-Table252346[[#This Row],[Odidi prod (bopd)]]</f>
        <v>591</v>
      </c>
      <c r="R7" s="145" t="s">
        <v>19</v>
      </c>
      <c r="S7" s="272">
        <v>14.2</v>
      </c>
      <c r="T7" s="268">
        <v>13.606</v>
      </c>
      <c r="U7" s="267">
        <v>13.842000000000001</v>
      </c>
      <c r="V7" s="268">
        <v>13.872</v>
      </c>
      <c r="W7" s="267">
        <v>13.775</v>
      </c>
      <c r="X7" s="268">
        <v>13.789</v>
      </c>
      <c r="Z7" s="297"/>
      <c r="AA7" s="298"/>
      <c r="AB7" s="298"/>
      <c r="AC7" s="298"/>
      <c r="AD7" s="244"/>
      <c r="AE7" s="246"/>
      <c r="AF7" s="246"/>
      <c r="AG7" s="246"/>
    </row>
    <row r="8" spans="2:33" ht="21.6">
      <c r="B8" s="130">
        <v>44047</v>
      </c>
      <c r="C8" s="131">
        <v>9400</v>
      </c>
      <c r="D8" s="135">
        <v>23500</v>
      </c>
      <c r="E8" s="135">
        <v>4090</v>
      </c>
      <c r="F8" s="136">
        <v>14200</v>
      </c>
      <c r="G8" s="131">
        <v>5115</v>
      </c>
      <c r="H8" s="137">
        <v>20363</v>
      </c>
      <c r="I8" s="137">
        <v>4122</v>
      </c>
      <c r="J8" s="138">
        <v>14210</v>
      </c>
      <c r="K8" s="275">
        <f>SUM(Table252346[[#This Row],[Batan Daily Prod (bopd)]:[Odidi prod (bopd)]])</f>
        <v>43810</v>
      </c>
      <c r="L8" s="131">
        <f>Table252346[[#This Row],[Batan Target (bopd)]]-Table252346[[#This Row],[Batan Daily Prod (bopd)]]</f>
        <v>4285</v>
      </c>
      <c r="M8" s="132">
        <f>Table252346[[#This Row],[Jones Creek Target (bopd)]]-Table252346[[#This Row],[Jones Creek Prod (bopd)]]</f>
        <v>3137</v>
      </c>
      <c r="N8" s="132">
        <f>Table252346[[#This Row],[Egwa Target (bopd)]]-Table252346[[#This Row],[Egwa Prod (bopd)]]</f>
        <v>-32</v>
      </c>
      <c r="O8" s="134">
        <f>Table252346[[#This Row],[Odidi Target (bopd)]]-Table252346[[#This Row],[Odidi prod (bopd)]]</f>
        <v>-10</v>
      </c>
      <c r="R8" s="145" t="s">
        <v>16</v>
      </c>
      <c r="S8" s="272">
        <v>9.4</v>
      </c>
      <c r="T8" s="268">
        <v>5.9269999999999996</v>
      </c>
      <c r="U8" s="269">
        <v>5.2939999999999996</v>
      </c>
      <c r="V8" s="268">
        <v>5.49</v>
      </c>
      <c r="W8" s="269">
        <v>5.8390000000000004</v>
      </c>
      <c r="X8" s="268">
        <v>5.649</v>
      </c>
      <c r="Z8" s="298"/>
      <c r="AA8" s="299"/>
      <c r="AB8" s="298"/>
      <c r="AC8" s="299"/>
      <c r="AD8" s="244"/>
      <c r="AE8" s="244"/>
      <c r="AF8" s="244"/>
      <c r="AG8" s="244"/>
    </row>
    <row r="9" spans="2:33" ht="21.6">
      <c r="B9" s="130">
        <v>44048</v>
      </c>
      <c r="C9" s="131">
        <v>9400</v>
      </c>
      <c r="D9" s="135">
        <v>23500</v>
      </c>
      <c r="E9" s="135">
        <v>4090</v>
      </c>
      <c r="F9" s="136">
        <v>14200</v>
      </c>
      <c r="G9" s="131">
        <v>5236</v>
      </c>
      <c r="H9" s="132">
        <v>20136</v>
      </c>
      <c r="I9" s="132">
        <v>4121</v>
      </c>
      <c r="J9" s="134">
        <v>14000</v>
      </c>
      <c r="K9" s="276">
        <f>SUM(Table252346[[#This Row],[Batan Daily Prod (bopd)]:[Odidi prod (bopd)]])</f>
        <v>43493</v>
      </c>
      <c r="L9" s="131">
        <f>Table252346[[#This Row],[Batan Target (bopd)]]-Table252346[[#This Row],[Batan Daily Prod (bopd)]]</f>
        <v>4164</v>
      </c>
      <c r="M9" s="132">
        <f>Table252346[[#This Row],[Jones Creek Target (bopd)]]-Table252346[[#This Row],[Jones Creek Prod (bopd)]]</f>
        <v>3364</v>
      </c>
      <c r="N9" s="132">
        <f>Table252346[[#This Row],[Egwa Target (bopd)]]-Table252346[[#This Row],[Egwa Prod (bopd)]]</f>
        <v>-31</v>
      </c>
      <c r="O9" s="134">
        <f>Table252346[[#This Row],[Odidi Target (bopd)]]-Table252346[[#This Row],[Odidi prod (bopd)]]</f>
        <v>200</v>
      </c>
      <c r="R9" s="145" t="s">
        <v>18</v>
      </c>
      <c r="S9" s="273">
        <v>4.09</v>
      </c>
      <c r="T9" s="270">
        <v>4.2149999999999999</v>
      </c>
      <c r="U9" s="269">
        <v>4.1710000000000003</v>
      </c>
      <c r="V9" s="270">
        <v>4.1950000000000003</v>
      </c>
      <c r="W9" s="269">
        <v>4.1710000000000003</v>
      </c>
      <c r="X9" s="270">
        <v>4.1029999999999998</v>
      </c>
      <c r="AA9" s="242"/>
      <c r="AB9" s="243"/>
      <c r="AC9" s="244"/>
      <c r="AD9" s="244"/>
      <c r="AE9" s="244"/>
      <c r="AF9" s="245"/>
      <c r="AG9" s="245"/>
    </row>
    <row r="10" spans="2:33" ht="21.6">
      <c r="B10" s="130">
        <v>44049</v>
      </c>
      <c r="C10" s="131">
        <v>9400</v>
      </c>
      <c r="D10" s="135">
        <v>23500</v>
      </c>
      <c r="E10" s="135">
        <v>4090</v>
      </c>
      <c r="F10" s="136">
        <v>14200</v>
      </c>
      <c r="G10" s="131">
        <v>5447</v>
      </c>
      <c r="H10" s="132">
        <v>20142</v>
      </c>
      <c r="I10" s="132">
        <v>4129</v>
      </c>
      <c r="J10" s="134">
        <v>13263</v>
      </c>
      <c r="K10" s="276">
        <f>SUM(Table252346[[#This Row],[Batan Daily Prod (bopd)]:[Odidi prod (bopd)]])</f>
        <v>42981</v>
      </c>
      <c r="L10" s="131">
        <f>Table252346[[#This Row],[Batan Target (bopd)]]-Table252346[[#This Row],[Batan Daily Prod (bopd)]]</f>
        <v>3953</v>
      </c>
      <c r="M10" s="132">
        <f>Table252346[[#This Row],[Jones Creek Target (bopd)]]-Table252346[[#This Row],[Jones Creek Prod (bopd)]]</f>
        <v>3358</v>
      </c>
      <c r="N10" s="132">
        <f>Table252346[[#This Row],[Egwa Target (bopd)]]-Table252346[[#This Row],[Egwa Prod (bopd)]]</f>
        <v>-39</v>
      </c>
      <c r="O10" s="134">
        <f>Table252346[[#This Row],[Odidi Target (bopd)]]-Table252346[[#This Row],[Odidi prod (bopd)]]</f>
        <v>937</v>
      </c>
    </row>
    <row r="11" spans="2:33" ht="21.6">
      <c r="B11" s="130">
        <v>44050</v>
      </c>
      <c r="C11" s="131">
        <v>9400</v>
      </c>
      <c r="D11" s="135">
        <v>23500</v>
      </c>
      <c r="E11" s="135">
        <v>4090</v>
      </c>
      <c r="F11" s="136">
        <v>14200</v>
      </c>
      <c r="G11" s="131">
        <v>5202</v>
      </c>
      <c r="H11" s="137">
        <v>20018</v>
      </c>
      <c r="I11" s="132">
        <v>4111</v>
      </c>
      <c r="J11" s="138">
        <v>13314</v>
      </c>
      <c r="K11" s="276">
        <f>SUM(Table252346[[#This Row],[Batan Daily Prod (bopd)]:[Odidi prod (bopd)]])</f>
        <v>42645</v>
      </c>
      <c r="L11" s="131">
        <f>Table252346[[#This Row],[Batan Target (bopd)]]-Table252346[[#This Row],[Batan Daily Prod (bopd)]]</f>
        <v>4198</v>
      </c>
      <c r="M11" s="132">
        <f>Table252346[[#This Row],[Jones Creek Target (bopd)]]-Table252346[[#This Row],[Jones Creek Prod (bopd)]]</f>
        <v>3482</v>
      </c>
      <c r="N11" s="132">
        <f>Table252346[[#This Row],[Egwa Target (bopd)]]-Table252346[[#This Row],[Egwa Prod (bopd)]]</f>
        <v>-21</v>
      </c>
      <c r="O11" s="134">
        <f>Table252346[[#This Row],[Odidi Target (bopd)]]-Table252346[[#This Row],[Odidi prod (bopd)]]</f>
        <v>886</v>
      </c>
    </row>
    <row r="12" spans="2:33" ht="21.6">
      <c r="B12" s="130">
        <v>44051</v>
      </c>
      <c r="C12" s="131">
        <v>9400</v>
      </c>
      <c r="D12" s="135">
        <v>23500</v>
      </c>
      <c r="E12" s="135">
        <v>4090</v>
      </c>
      <c r="F12" s="136">
        <v>14200</v>
      </c>
      <c r="G12" s="131">
        <v>5228</v>
      </c>
      <c r="H12" s="137">
        <v>20007</v>
      </c>
      <c r="I12" s="132">
        <v>3258</v>
      </c>
      <c r="J12" s="138">
        <v>15727</v>
      </c>
      <c r="K12" s="276">
        <f>SUM(Table252346[[#This Row],[Batan Daily Prod (bopd)]:[Odidi prod (bopd)]])</f>
        <v>44220</v>
      </c>
      <c r="L12" s="131">
        <f>Table252346[[#This Row],[Batan Target (bopd)]]-Table252346[[#This Row],[Batan Daily Prod (bopd)]]</f>
        <v>4172</v>
      </c>
      <c r="M12" s="132">
        <f>Table252346[[#This Row],[Jones Creek Target (bopd)]]-Table252346[[#This Row],[Jones Creek Prod (bopd)]]</f>
        <v>3493</v>
      </c>
      <c r="N12" s="132">
        <f>Table252346[[#This Row],[Egwa Target (bopd)]]-Table252346[[#This Row],[Egwa Prod (bopd)]]</f>
        <v>832</v>
      </c>
      <c r="O12" s="134">
        <f>Table252346[[#This Row],[Odidi Target (bopd)]]-Table252346[[#This Row],[Odidi prod (bopd)]]</f>
        <v>-1527</v>
      </c>
      <c r="P12" s="42"/>
      <c r="Q12" s="42"/>
    </row>
    <row r="13" spans="2:33" ht="21.6">
      <c r="B13" s="130">
        <v>44052</v>
      </c>
      <c r="C13" s="131">
        <v>9400</v>
      </c>
      <c r="D13" s="135">
        <v>23500</v>
      </c>
      <c r="E13" s="135">
        <v>4090</v>
      </c>
      <c r="F13" s="136">
        <v>14200</v>
      </c>
      <c r="G13" s="131">
        <v>5353</v>
      </c>
      <c r="H13" s="137">
        <v>19728</v>
      </c>
      <c r="I13" s="132">
        <v>3004</v>
      </c>
      <c r="J13" s="138">
        <v>15393</v>
      </c>
      <c r="K13" s="276">
        <f>SUM(Table252346[[#This Row],[Batan Daily Prod (bopd)]:[Odidi prod (bopd)]])</f>
        <v>43478</v>
      </c>
      <c r="L13" s="131">
        <f>Table252346[[#This Row],[Batan Target (bopd)]]-Table252346[[#This Row],[Batan Daily Prod (bopd)]]</f>
        <v>4047</v>
      </c>
      <c r="M13" s="132">
        <f>Table252346[[#This Row],[Jones Creek Target (bopd)]]-Table252346[[#This Row],[Jones Creek Prod (bopd)]]</f>
        <v>3772</v>
      </c>
      <c r="N13" s="132">
        <f>Table252346[[#This Row],[Egwa Target (bopd)]]-Table252346[[#This Row],[Egwa Prod (bopd)]]</f>
        <v>1086</v>
      </c>
      <c r="O13" s="134">
        <f>Table252346[[#This Row],[Odidi Target (bopd)]]-Table252346[[#This Row],[Odidi prod (bopd)]]</f>
        <v>-1193</v>
      </c>
    </row>
    <row r="14" spans="2:33" ht="21.6">
      <c r="B14" s="130">
        <v>44053</v>
      </c>
      <c r="C14" s="131">
        <v>9400</v>
      </c>
      <c r="D14" s="135">
        <v>23500</v>
      </c>
      <c r="E14" s="135">
        <v>4090</v>
      </c>
      <c r="F14" s="136">
        <v>14200</v>
      </c>
      <c r="G14" s="131">
        <v>5357</v>
      </c>
      <c r="H14" s="137">
        <v>19543</v>
      </c>
      <c r="I14" s="132">
        <v>2996</v>
      </c>
      <c r="J14" s="138">
        <v>17200</v>
      </c>
      <c r="K14" s="276">
        <f>SUM(Table252346[[#This Row],[Batan Daily Prod (bopd)]:[Odidi prod (bopd)]])</f>
        <v>45096</v>
      </c>
      <c r="L14" s="131">
        <f>Table252346[[#This Row],[Batan Target (bopd)]]-Table252346[[#This Row],[Batan Daily Prod (bopd)]]</f>
        <v>4043</v>
      </c>
      <c r="M14" s="132">
        <f>Table252346[[#This Row],[Jones Creek Target (bopd)]]-Table252346[[#This Row],[Jones Creek Prod (bopd)]]</f>
        <v>3957</v>
      </c>
      <c r="N14" s="132">
        <f>Table252346[[#This Row],[Egwa Target (bopd)]]-Table252346[[#This Row],[Egwa Prod (bopd)]]</f>
        <v>1094</v>
      </c>
      <c r="O14" s="134">
        <f>Table252346[[#This Row],[Odidi Target (bopd)]]-Table252346[[#This Row],[Odidi prod (bopd)]]</f>
        <v>-3000</v>
      </c>
    </row>
    <row r="15" spans="2:33" ht="21.6">
      <c r="B15" s="130">
        <v>44054</v>
      </c>
      <c r="C15" s="131">
        <v>9400</v>
      </c>
      <c r="D15" s="135">
        <v>23500</v>
      </c>
      <c r="E15" s="135">
        <v>4090</v>
      </c>
      <c r="F15" s="136">
        <v>14200</v>
      </c>
      <c r="G15" s="131">
        <v>5228</v>
      </c>
      <c r="H15" s="137">
        <v>19671</v>
      </c>
      <c r="I15" s="132">
        <v>2656</v>
      </c>
      <c r="J15" s="138">
        <v>15340</v>
      </c>
      <c r="K15" s="276">
        <f>SUM(Table252346[[#This Row],[Batan Daily Prod (bopd)]:[Odidi prod (bopd)]])</f>
        <v>42895</v>
      </c>
      <c r="L15" s="131">
        <f>Table252346[[#This Row],[Batan Target (bopd)]]-Table252346[[#This Row],[Batan Daily Prod (bopd)]]</f>
        <v>4172</v>
      </c>
      <c r="M15" s="132">
        <f>Table252346[[#This Row],[Jones Creek Target (bopd)]]-Table252346[[#This Row],[Jones Creek Prod (bopd)]]</f>
        <v>3829</v>
      </c>
      <c r="N15" s="132">
        <f>Table252346[[#This Row],[Egwa Target (bopd)]]-Table252346[[#This Row],[Egwa Prod (bopd)]]</f>
        <v>1434</v>
      </c>
      <c r="O15" s="134">
        <f>Table252346[[#This Row],[Odidi Target (bopd)]]-Table252346[[#This Row],[Odidi prod (bopd)]]</f>
        <v>-1140</v>
      </c>
    </row>
    <row r="16" spans="2:33" ht="21.6">
      <c r="B16" s="130">
        <v>44055</v>
      </c>
      <c r="C16" s="131">
        <v>9400</v>
      </c>
      <c r="D16" s="135">
        <v>23500</v>
      </c>
      <c r="E16" s="135">
        <v>4090</v>
      </c>
      <c r="F16" s="136">
        <v>14200</v>
      </c>
      <c r="G16" s="131">
        <v>5033</v>
      </c>
      <c r="H16" s="137">
        <v>19588</v>
      </c>
      <c r="I16" s="132">
        <v>4134</v>
      </c>
      <c r="J16" s="138">
        <v>15544</v>
      </c>
      <c r="K16" s="276">
        <f>SUM(Table252346[[#This Row],[Batan Daily Prod (bopd)]:[Odidi prod (bopd)]])</f>
        <v>44299</v>
      </c>
      <c r="L16" s="131">
        <f>Table252346[[#This Row],[Batan Target (bopd)]]-Table252346[[#This Row],[Batan Daily Prod (bopd)]]</f>
        <v>4367</v>
      </c>
      <c r="M16" s="132">
        <f>Table252346[[#This Row],[Jones Creek Target (bopd)]]-Table252346[[#This Row],[Jones Creek Prod (bopd)]]</f>
        <v>3912</v>
      </c>
      <c r="N16" s="132">
        <f>Table252346[[#This Row],[Egwa Target (bopd)]]-Table252346[[#This Row],[Egwa Prod (bopd)]]</f>
        <v>-44</v>
      </c>
      <c r="O16" s="134">
        <f>Table252346[[#This Row],[Odidi Target (bopd)]]-Table252346[[#This Row],[Odidi prod (bopd)]]</f>
        <v>-1344</v>
      </c>
    </row>
    <row r="17" spans="2:15" ht="21.6">
      <c r="B17" s="130">
        <v>44056</v>
      </c>
      <c r="C17" s="131">
        <v>9400</v>
      </c>
      <c r="D17" s="135">
        <v>23500</v>
      </c>
      <c r="E17" s="135">
        <v>4090</v>
      </c>
      <c r="F17" s="136">
        <v>14200</v>
      </c>
      <c r="G17" s="131">
        <v>5182</v>
      </c>
      <c r="H17" s="137">
        <v>19550</v>
      </c>
      <c r="I17" s="132">
        <v>4145</v>
      </c>
      <c r="J17" s="138">
        <v>15317</v>
      </c>
      <c r="K17" s="276">
        <f>SUM(Table252346[[#This Row],[Batan Daily Prod (bopd)]:[Odidi prod (bopd)]])</f>
        <v>44194</v>
      </c>
      <c r="L17" s="131">
        <f>Table252346[[#This Row],[Batan Target (bopd)]]-Table252346[[#This Row],[Batan Daily Prod (bopd)]]</f>
        <v>4218</v>
      </c>
      <c r="M17" s="132">
        <f>Table252346[[#This Row],[Jones Creek Target (bopd)]]-Table252346[[#This Row],[Jones Creek Prod (bopd)]]</f>
        <v>3950</v>
      </c>
      <c r="N17" s="132">
        <f>Table252346[[#This Row],[Egwa Target (bopd)]]-Table252346[[#This Row],[Egwa Prod (bopd)]]</f>
        <v>-55</v>
      </c>
      <c r="O17" s="134">
        <f>Table252346[[#This Row],[Odidi Target (bopd)]]-Table252346[[#This Row],[Odidi prod (bopd)]]</f>
        <v>-1117</v>
      </c>
    </row>
    <row r="18" spans="2:15" ht="21.6">
      <c r="B18" s="130">
        <v>44057</v>
      </c>
      <c r="C18" s="131">
        <v>9400</v>
      </c>
      <c r="D18" s="135">
        <v>23500</v>
      </c>
      <c r="E18" s="135">
        <v>4090</v>
      </c>
      <c r="F18" s="136">
        <v>14200</v>
      </c>
      <c r="G18" s="131">
        <v>5180</v>
      </c>
      <c r="H18" s="137">
        <v>19615</v>
      </c>
      <c r="I18" s="132">
        <v>4171</v>
      </c>
      <c r="J18" s="138">
        <v>15317</v>
      </c>
      <c r="K18" s="276">
        <f>SUM(Table252346[[#This Row],[Batan Daily Prod (bopd)]:[Odidi prod (bopd)]])</f>
        <v>44283</v>
      </c>
      <c r="L18" s="131">
        <f>Table252346[[#This Row],[Batan Target (bopd)]]-Table252346[[#This Row],[Batan Daily Prod (bopd)]]</f>
        <v>4220</v>
      </c>
      <c r="M18" s="132">
        <f>Table252346[[#This Row],[Jones Creek Target (bopd)]]-Table252346[[#This Row],[Jones Creek Prod (bopd)]]</f>
        <v>3885</v>
      </c>
      <c r="N18" s="132">
        <f>Table252346[[#This Row],[Egwa Target (bopd)]]-Table252346[[#This Row],[Egwa Prod (bopd)]]</f>
        <v>-81</v>
      </c>
      <c r="O18" s="134">
        <f>Table252346[[#This Row],[Odidi Target (bopd)]]-Table252346[[#This Row],[Odidi prod (bopd)]]</f>
        <v>-1117</v>
      </c>
    </row>
    <row r="19" spans="2:15" ht="21.6">
      <c r="B19" s="130">
        <v>44058</v>
      </c>
      <c r="C19" s="131">
        <v>9400</v>
      </c>
      <c r="D19" s="135">
        <v>23500</v>
      </c>
      <c r="E19" s="135">
        <v>4090</v>
      </c>
      <c r="F19" s="136">
        <v>14200</v>
      </c>
      <c r="G19" s="140">
        <v>5210</v>
      </c>
      <c r="H19" s="137">
        <v>18934</v>
      </c>
      <c r="I19" s="132">
        <v>4167</v>
      </c>
      <c r="J19" s="138">
        <v>15801</v>
      </c>
      <c r="K19" s="276">
        <f>SUM(Table252346[[#This Row],[Batan Daily Prod (bopd)]:[Odidi prod (bopd)]])</f>
        <v>44112</v>
      </c>
      <c r="L19" s="131">
        <f>Table252346[[#This Row],[Batan Target (bopd)]]-Table252346[[#This Row],[Batan Daily Prod (bopd)]]</f>
        <v>4190</v>
      </c>
      <c r="M19" s="132">
        <f>Table252346[[#This Row],[Jones Creek Target (bopd)]]-Table252346[[#This Row],[Jones Creek Prod (bopd)]]</f>
        <v>4566</v>
      </c>
      <c r="N19" s="132">
        <f>Table252346[[#This Row],[Egwa Target (bopd)]]-Table252346[[#This Row],[Egwa Prod (bopd)]]</f>
        <v>-77</v>
      </c>
      <c r="O19" s="134">
        <f>Table252346[[#This Row],[Odidi Target (bopd)]]-Table252346[[#This Row],[Odidi prod (bopd)]]</f>
        <v>-1601</v>
      </c>
    </row>
    <row r="20" spans="2:15" ht="21.6">
      <c r="B20" s="130">
        <v>44059</v>
      </c>
      <c r="C20" s="131">
        <v>9400</v>
      </c>
      <c r="D20" s="135">
        <v>23500</v>
      </c>
      <c r="E20" s="135">
        <v>4090</v>
      </c>
      <c r="F20" s="136">
        <v>14200</v>
      </c>
      <c r="G20" s="131">
        <v>5379</v>
      </c>
      <c r="H20" s="132">
        <v>14922</v>
      </c>
      <c r="I20" s="132">
        <v>2454</v>
      </c>
      <c r="J20" s="134">
        <v>12171</v>
      </c>
      <c r="K20" s="276">
        <f>SUM(Table252346[[#This Row],[Batan Daily Prod (bopd)]:[Odidi prod (bopd)]])</f>
        <v>34926</v>
      </c>
      <c r="L20" s="131">
        <f>Table252346[[#This Row],[Batan Target (bopd)]]-Table252346[[#This Row],[Batan Daily Prod (bopd)]]</f>
        <v>4021</v>
      </c>
      <c r="M20" s="132">
        <f>Table252346[[#This Row],[Jones Creek Target (bopd)]]-Table252346[[#This Row],[Jones Creek Prod (bopd)]]</f>
        <v>8578</v>
      </c>
      <c r="N20" s="132">
        <f>Table252346[[#This Row],[Egwa Target (bopd)]]-Table252346[[#This Row],[Egwa Prod (bopd)]]</f>
        <v>1636</v>
      </c>
      <c r="O20" s="134">
        <f>Table252346[[#This Row],[Odidi Target (bopd)]]-Table252346[[#This Row],[Odidi prod (bopd)]]</f>
        <v>2029</v>
      </c>
    </row>
    <row r="21" spans="2:15" ht="21.6">
      <c r="B21" s="130">
        <v>44060</v>
      </c>
      <c r="C21" s="131">
        <v>9400</v>
      </c>
      <c r="D21" s="135">
        <v>23500</v>
      </c>
      <c r="E21" s="135">
        <v>4090</v>
      </c>
      <c r="F21" s="136">
        <v>14200</v>
      </c>
      <c r="G21" s="140">
        <v>5837</v>
      </c>
      <c r="H21" s="132">
        <v>2411</v>
      </c>
      <c r="I21" s="132">
        <v>0</v>
      </c>
      <c r="J21" s="138">
        <v>2850</v>
      </c>
      <c r="K21" s="276">
        <f>SUM(Table252346[[#This Row],[Batan Daily Prod (bopd)]:[Odidi prod (bopd)]])</f>
        <v>11098</v>
      </c>
      <c r="L21" s="131">
        <f>Table252346[[#This Row],[Batan Target (bopd)]]-Table252346[[#This Row],[Batan Daily Prod (bopd)]]</f>
        <v>3563</v>
      </c>
      <c r="M21" s="132">
        <f>Table252346[[#This Row],[Jones Creek Target (bopd)]]-Table252346[[#This Row],[Jones Creek Prod (bopd)]]</f>
        <v>21089</v>
      </c>
      <c r="N21" s="132">
        <f>Table252346[[#This Row],[Egwa Target (bopd)]]-Table252346[[#This Row],[Egwa Prod (bopd)]]</f>
        <v>4090</v>
      </c>
      <c r="O21" s="134">
        <f>Table252346[[#This Row],[Odidi Target (bopd)]]-Table252346[[#This Row],[Odidi prod (bopd)]]</f>
        <v>11350</v>
      </c>
    </row>
    <row r="22" spans="2:15" ht="21.6">
      <c r="B22" s="130">
        <v>44061</v>
      </c>
      <c r="C22" s="131">
        <v>9400</v>
      </c>
      <c r="D22" s="135">
        <v>23500</v>
      </c>
      <c r="E22" s="135">
        <v>4090</v>
      </c>
      <c r="F22" s="136">
        <v>14200</v>
      </c>
      <c r="G22" s="141">
        <v>6344</v>
      </c>
      <c r="H22" s="137">
        <v>0</v>
      </c>
      <c r="I22" s="137">
        <v>0</v>
      </c>
      <c r="J22" s="138">
        <v>0</v>
      </c>
      <c r="K22" s="276">
        <f>SUM(Table252346[[#This Row],[Batan Daily Prod (bopd)]:[Odidi prod (bopd)]])</f>
        <v>6344</v>
      </c>
      <c r="L22" s="131">
        <f>Table252346[[#This Row],[Batan Target (bopd)]]-Table252346[[#This Row],[Batan Daily Prod (bopd)]]</f>
        <v>3056</v>
      </c>
      <c r="M22" s="132">
        <f>Table252346[[#This Row],[Jones Creek Target (bopd)]]-Table252346[[#This Row],[Jones Creek Prod (bopd)]]</f>
        <v>23500</v>
      </c>
      <c r="N22" s="132">
        <f>Table252346[[#This Row],[Egwa Target (bopd)]]-Table252346[[#This Row],[Egwa Prod (bopd)]]</f>
        <v>4090</v>
      </c>
      <c r="O22" s="134">
        <f>Table252346[[#This Row],[Odidi Target (bopd)]]-Table252346[[#This Row],[Odidi prod (bopd)]]</f>
        <v>14200</v>
      </c>
    </row>
    <row r="23" spans="2:15" ht="21.6">
      <c r="B23" s="130">
        <v>44062</v>
      </c>
      <c r="C23" s="131">
        <v>9400</v>
      </c>
      <c r="D23" s="135">
        <v>23500</v>
      </c>
      <c r="E23" s="135">
        <v>4090</v>
      </c>
      <c r="F23" s="136">
        <v>14200</v>
      </c>
      <c r="G23" s="141">
        <v>6551</v>
      </c>
      <c r="H23" s="137">
        <v>1351</v>
      </c>
      <c r="I23" s="137">
        <v>0</v>
      </c>
      <c r="J23" s="138">
        <v>2282</v>
      </c>
      <c r="K23" s="276">
        <f>SUM(Table252346[[#This Row],[Batan Daily Prod (bopd)]:[Odidi prod (bopd)]])</f>
        <v>10184</v>
      </c>
      <c r="L23" s="131">
        <f>Table252346[[#This Row],[Batan Target (bopd)]]-Table252346[[#This Row],[Batan Daily Prod (bopd)]]</f>
        <v>2849</v>
      </c>
      <c r="M23" s="132">
        <f>Table252346[[#This Row],[Jones Creek Target (bopd)]]-Table252346[[#This Row],[Jones Creek Prod (bopd)]]</f>
        <v>22149</v>
      </c>
      <c r="N23" s="132">
        <f>Table252346[[#This Row],[Egwa Target (bopd)]]-Table252346[[#This Row],[Egwa Prod (bopd)]]</f>
        <v>4090</v>
      </c>
      <c r="O23" s="134">
        <f>Table252346[[#This Row],[Odidi Target (bopd)]]-Table252346[[#This Row],[Odidi prod (bopd)]]</f>
        <v>11918</v>
      </c>
    </row>
    <row r="24" spans="2:15" ht="21.6">
      <c r="B24" s="130">
        <v>44063</v>
      </c>
      <c r="C24" s="131">
        <v>9400</v>
      </c>
      <c r="D24" s="135">
        <v>23500</v>
      </c>
      <c r="E24" s="135">
        <v>4090</v>
      </c>
      <c r="F24" s="136">
        <v>14200</v>
      </c>
      <c r="G24" s="141">
        <v>6253</v>
      </c>
      <c r="H24" s="132">
        <v>18628</v>
      </c>
      <c r="I24" s="137">
        <v>0</v>
      </c>
      <c r="J24" s="138">
        <v>8761</v>
      </c>
      <c r="K24" s="276">
        <f>SUM(Table252346[[#This Row],[Batan Daily Prod (bopd)]:[Odidi prod (bopd)]])</f>
        <v>33642</v>
      </c>
      <c r="L24" s="131">
        <f>Table252346[[#This Row],[Batan Target (bopd)]]-Table252346[[#This Row],[Batan Daily Prod (bopd)]]</f>
        <v>3147</v>
      </c>
      <c r="M24" s="132">
        <f>Table252346[[#This Row],[Jones Creek Target (bopd)]]-Table252346[[#This Row],[Jones Creek Prod (bopd)]]</f>
        <v>4872</v>
      </c>
      <c r="N24" s="132">
        <f>Table252346[[#This Row],[Egwa Target (bopd)]]-Table252346[[#This Row],[Egwa Prod (bopd)]]</f>
        <v>4090</v>
      </c>
      <c r="O24" s="134">
        <f>Table252346[[#This Row],[Odidi Target (bopd)]]-Table252346[[#This Row],[Odidi prod (bopd)]]</f>
        <v>5439</v>
      </c>
    </row>
    <row r="25" spans="2:15" ht="21.6">
      <c r="B25" s="130">
        <v>44064</v>
      </c>
      <c r="C25" s="131">
        <v>9400</v>
      </c>
      <c r="D25" s="135">
        <v>23500</v>
      </c>
      <c r="E25" s="135">
        <v>4090</v>
      </c>
      <c r="F25" s="136">
        <v>14200</v>
      </c>
      <c r="G25" s="141">
        <v>5251</v>
      </c>
      <c r="H25" s="137">
        <v>18958</v>
      </c>
      <c r="I25" s="137">
        <v>2042</v>
      </c>
      <c r="J25" s="138">
        <v>13768</v>
      </c>
      <c r="K25" s="276">
        <f>SUM(Table252346[[#This Row],[Batan Daily Prod (bopd)]:[Odidi prod (bopd)]])</f>
        <v>40019</v>
      </c>
      <c r="L25" s="131">
        <f>Table252346[[#This Row],[Batan Target (bopd)]]-Table252346[[#This Row],[Batan Daily Prod (bopd)]]</f>
        <v>4149</v>
      </c>
      <c r="M25" s="132">
        <f>Table252346[[#This Row],[Jones Creek Target (bopd)]]-Table252346[[#This Row],[Jones Creek Prod (bopd)]]</f>
        <v>4542</v>
      </c>
      <c r="N25" s="132">
        <f>Table252346[[#This Row],[Egwa Target (bopd)]]-Table252346[[#This Row],[Egwa Prod (bopd)]]</f>
        <v>2048</v>
      </c>
      <c r="O25" s="134">
        <f>Table252346[[#This Row],[Odidi Target (bopd)]]-Table252346[[#This Row],[Odidi prod (bopd)]]</f>
        <v>432</v>
      </c>
    </row>
    <row r="26" spans="2:15" ht="21.6">
      <c r="B26" s="130">
        <v>44065</v>
      </c>
      <c r="C26" s="131">
        <v>9400</v>
      </c>
      <c r="D26" s="135">
        <v>23500</v>
      </c>
      <c r="E26" s="135">
        <v>4090</v>
      </c>
      <c r="F26" s="136">
        <v>14200</v>
      </c>
      <c r="G26" s="131">
        <v>5252</v>
      </c>
      <c r="H26" s="137">
        <v>18764</v>
      </c>
      <c r="I26" s="132">
        <v>4092</v>
      </c>
      <c r="J26" s="134">
        <v>16980</v>
      </c>
      <c r="K26" s="276">
        <f>SUM(Table252346[[#This Row],[Batan Daily Prod (bopd)]:[Odidi prod (bopd)]])</f>
        <v>45088</v>
      </c>
      <c r="L26" s="131">
        <f>Table252346[[#This Row],[Batan Target (bopd)]]-Table252346[[#This Row],[Batan Daily Prod (bopd)]]</f>
        <v>4148</v>
      </c>
      <c r="M26" s="132">
        <f>Table252346[[#This Row],[Jones Creek Target (bopd)]]-Table252346[[#This Row],[Jones Creek Prod (bopd)]]</f>
        <v>4736</v>
      </c>
      <c r="N26" s="132">
        <f>Table252346[[#This Row],[Egwa Target (bopd)]]-Table252346[[#This Row],[Egwa Prod (bopd)]]</f>
        <v>-2</v>
      </c>
      <c r="O26" s="134">
        <f>Table252346[[#This Row],[Odidi Target (bopd)]]-Table252346[[#This Row],[Odidi prod (bopd)]]</f>
        <v>-2780</v>
      </c>
    </row>
    <row r="27" spans="2:15" ht="21.6">
      <c r="B27" s="130">
        <v>44066</v>
      </c>
      <c r="C27" s="131">
        <v>9400</v>
      </c>
      <c r="D27" s="135">
        <v>23500</v>
      </c>
      <c r="E27" s="135">
        <v>4090</v>
      </c>
      <c r="F27" s="136">
        <v>14200</v>
      </c>
      <c r="G27" s="140">
        <v>4880</v>
      </c>
      <c r="H27" s="137">
        <v>18565</v>
      </c>
      <c r="I27" s="132">
        <v>4221</v>
      </c>
      <c r="J27" s="138">
        <v>14659</v>
      </c>
      <c r="K27" s="276">
        <f>SUM(Table252346[[#This Row],[Batan Daily Prod (bopd)]:[Odidi prod (bopd)]])</f>
        <v>42325</v>
      </c>
      <c r="L27" s="131">
        <f>Table252346[[#This Row],[Batan Target (bopd)]]-Table252346[[#This Row],[Batan Daily Prod (bopd)]]</f>
        <v>4520</v>
      </c>
      <c r="M27" s="132">
        <f>Table252346[[#This Row],[Jones Creek Target (bopd)]]-Table252346[[#This Row],[Jones Creek Prod (bopd)]]</f>
        <v>4935</v>
      </c>
      <c r="N27" s="132">
        <f>Table252346[[#This Row],[Egwa Target (bopd)]]-Table252346[[#This Row],[Egwa Prod (bopd)]]</f>
        <v>-131</v>
      </c>
      <c r="O27" s="134">
        <f>Table252346[[#This Row],[Odidi Target (bopd)]]-Table252346[[#This Row],[Odidi prod (bopd)]]</f>
        <v>-459</v>
      </c>
    </row>
    <row r="28" spans="2:15" ht="21.6">
      <c r="B28" s="130">
        <v>44067</v>
      </c>
      <c r="C28" s="131">
        <v>9400</v>
      </c>
      <c r="D28" s="135">
        <v>23500</v>
      </c>
      <c r="E28" s="135">
        <v>4090</v>
      </c>
      <c r="F28" s="136">
        <v>14200</v>
      </c>
      <c r="G28" s="140">
        <v>3710</v>
      </c>
      <c r="H28" s="137">
        <v>18504</v>
      </c>
      <c r="I28" s="132">
        <v>4246</v>
      </c>
      <c r="J28" s="138">
        <v>14519</v>
      </c>
      <c r="K28" s="276">
        <f>SUM(Table252346[[#This Row],[Batan Daily Prod (bopd)]:[Odidi prod (bopd)]])</f>
        <v>40979</v>
      </c>
      <c r="L28" s="131">
        <f>Table252346[[#This Row],[Batan Target (bopd)]]-Table252346[[#This Row],[Batan Daily Prod (bopd)]]</f>
        <v>5690</v>
      </c>
      <c r="M28" s="132">
        <f>Table252346[[#This Row],[Jones Creek Target (bopd)]]-Table252346[[#This Row],[Jones Creek Prod (bopd)]]</f>
        <v>4996</v>
      </c>
      <c r="N28" s="132">
        <f>Table252346[[#This Row],[Egwa Target (bopd)]]-Table252346[[#This Row],[Egwa Prod (bopd)]]</f>
        <v>-156</v>
      </c>
      <c r="O28" s="134">
        <f>Table252346[[#This Row],[Odidi Target (bopd)]]-Table252346[[#This Row],[Odidi prod (bopd)]]</f>
        <v>-319</v>
      </c>
    </row>
    <row r="29" spans="2:15" ht="21.6">
      <c r="B29" s="130">
        <v>44068</v>
      </c>
      <c r="C29" s="131">
        <v>9400</v>
      </c>
      <c r="D29" s="135">
        <v>23500</v>
      </c>
      <c r="E29" s="135">
        <v>4090</v>
      </c>
      <c r="F29" s="136">
        <v>14200</v>
      </c>
      <c r="G29" s="131">
        <v>3989</v>
      </c>
      <c r="H29" s="137">
        <v>18424</v>
      </c>
      <c r="I29" s="132">
        <v>4199</v>
      </c>
      <c r="J29" s="138">
        <v>14111</v>
      </c>
      <c r="K29" s="276">
        <f>SUM(Table252346[[#This Row],[Batan Daily Prod (bopd)]:[Odidi prod (bopd)]])</f>
        <v>40723</v>
      </c>
      <c r="L29" s="131">
        <f>Table252346[[#This Row],[Batan Target (bopd)]]-Table252346[[#This Row],[Batan Daily Prod (bopd)]]</f>
        <v>5411</v>
      </c>
      <c r="M29" s="132">
        <f>Table252346[[#This Row],[Jones Creek Target (bopd)]]-Table252346[[#This Row],[Jones Creek Prod (bopd)]]</f>
        <v>5076</v>
      </c>
      <c r="N29" s="132">
        <f>Table252346[[#This Row],[Egwa Target (bopd)]]-Table252346[[#This Row],[Egwa Prod (bopd)]]</f>
        <v>-109</v>
      </c>
      <c r="O29" s="134">
        <f>Table252346[[#This Row],[Odidi Target (bopd)]]-Table252346[[#This Row],[Odidi prod (bopd)]]</f>
        <v>89</v>
      </c>
    </row>
    <row r="30" spans="2:15" ht="21.6">
      <c r="B30" s="130">
        <v>44069</v>
      </c>
      <c r="C30" s="131">
        <v>9400</v>
      </c>
      <c r="D30" s="135">
        <v>23500</v>
      </c>
      <c r="E30" s="135">
        <v>4090</v>
      </c>
      <c r="F30" s="136">
        <v>14200</v>
      </c>
      <c r="G30" s="131">
        <v>3839</v>
      </c>
      <c r="H30" s="137">
        <v>18887</v>
      </c>
      <c r="I30" s="132">
        <v>4188</v>
      </c>
      <c r="J30" s="138">
        <v>13165</v>
      </c>
      <c r="K30" s="276">
        <f>SUM(Table252346[[#This Row],[Batan Daily Prod (bopd)]:[Odidi prod (bopd)]])</f>
        <v>40079</v>
      </c>
      <c r="L30" s="131">
        <f>Table252346[[#This Row],[Batan Target (bopd)]]-Table252346[[#This Row],[Batan Daily Prod (bopd)]]</f>
        <v>5561</v>
      </c>
      <c r="M30" s="132">
        <f>Table252346[[#This Row],[Jones Creek Target (bopd)]]-Table252346[[#This Row],[Jones Creek Prod (bopd)]]</f>
        <v>4613</v>
      </c>
      <c r="N30" s="132">
        <f>Table252346[[#This Row],[Egwa Target (bopd)]]-Table252346[[#This Row],[Egwa Prod (bopd)]]</f>
        <v>-98</v>
      </c>
      <c r="O30" s="134">
        <f>Table252346[[#This Row],[Odidi Target (bopd)]]-Table252346[[#This Row],[Odidi prod (bopd)]]</f>
        <v>1035</v>
      </c>
    </row>
    <row r="31" spans="2:15" ht="21.6">
      <c r="B31" s="130">
        <v>44070</v>
      </c>
      <c r="C31" s="131">
        <v>9400</v>
      </c>
      <c r="D31" s="135">
        <v>23500</v>
      </c>
      <c r="E31" s="135">
        <v>4090</v>
      </c>
      <c r="F31" s="136">
        <v>14200</v>
      </c>
      <c r="G31" s="131">
        <v>4209</v>
      </c>
      <c r="H31" s="137">
        <v>20053</v>
      </c>
      <c r="I31" s="132">
        <v>4183</v>
      </c>
      <c r="J31" s="138">
        <v>13055</v>
      </c>
      <c r="K31" s="276">
        <f>SUM(Table252346[[#This Row],[Batan Daily Prod (bopd)]:[Odidi prod (bopd)]])</f>
        <v>41500</v>
      </c>
      <c r="L31" s="131">
        <f>Table252346[[#This Row],[Batan Target (bopd)]]-Table252346[[#This Row],[Batan Daily Prod (bopd)]]</f>
        <v>5191</v>
      </c>
      <c r="M31" s="132">
        <f>Table252346[[#This Row],[Jones Creek Target (bopd)]]-Table252346[[#This Row],[Jones Creek Prod (bopd)]]</f>
        <v>3447</v>
      </c>
      <c r="N31" s="132">
        <f>Table252346[[#This Row],[Egwa Target (bopd)]]-Table252346[[#This Row],[Egwa Prod (bopd)]]</f>
        <v>-93</v>
      </c>
      <c r="O31" s="134">
        <f>Table252346[[#This Row],[Odidi Target (bopd)]]-Table252346[[#This Row],[Odidi prod (bopd)]]</f>
        <v>1145</v>
      </c>
    </row>
    <row r="32" spans="2:15" ht="21.6">
      <c r="B32" s="130">
        <v>44071</v>
      </c>
      <c r="C32" s="131">
        <v>9400</v>
      </c>
      <c r="D32" s="135">
        <v>23500</v>
      </c>
      <c r="E32" s="135">
        <v>4090</v>
      </c>
      <c r="F32" s="136">
        <v>14200</v>
      </c>
      <c r="G32" s="131">
        <v>5927</v>
      </c>
      <c r="H32" s="132">
        <v>19871</v>
      </c>
      <c r="I32" s="132">
        <v>4215</v>
      </c>
      <c r="J32" s="134">
        <v>13606</v>
      </c>
      <c r="K32" s="276">
        <f>SUM(Table252346[[#This Row],[Batan Daily Prod (bopd)]:[Odidi prod (bopd)]])</f>
        <v>43619</v>
      </c>
      <c r="L32" s="131">
        <f>Table252346[[#This Row],[Batan Target (bopd)]]-Table252346[[#This Row],[Batan Daily Prod (bopd)]]</f>
        <v>3473</v>
      </c>
      <c r="M32" s="132">
        <f>Table252346[[#This Row],[Jones Creek Target (bopd)]]-Table252346[[#This Row],[Jones Creek Prod (bopd)]]</f>
        <v>3629</v>
      </c>
      <c r="N32" s="132">
        <f>Table252346[[#This Row],[Egwa Target (bopd)]]-Table252346[[#This Row],[Egwa Prod (bopd)]]</f>
        <v>-125</v>
      </c>
      <c r="O32" s="134">
        <f>Table252346[[#This Row],[Odidi Target (bopd)]]-Table252346[[#This Row],[Odidi prod (bopd)]]</f>
        <v>594</v>
      </c>
    </row>
    <row r="33" spans="2:19" ht="21.6">
      <c r="B33" s="130">
        <v>44072</v>
      </c>
      <c r="C33" s="131">
        <v>9400</v>
      </c>
      <c r="D33" s="135">
        <v>23500</v>
      </c>
      <c r="E33" s="135">
        <v>4090</v>
      </c>
      <c r="F33" s="136">
        <v>14200</v>
      </c>
      <c r="G33" s="131">
        <v>5294</v>
      </c>
      <c r="H33" s="137">
        <v>19866</v>
      </c>
      <c r="I33" s="137">
        <v>4171</v>
      </c>
      <c r="J33" s="138">
        <v>13842</v>
      </c>
      <c r="K33" s="276">
        <f>SUM(Table252346[[#This Row],[Batan Daily Prod (bopd)]:[Odidi prod (bopd)]])</f>
        <v>43173</v>
      </c>
      <c r="L33" s="131">
        <f>Table252346[[#This Row],[Batan Target (bopd)]]-Table252346[[#This Row],[Batan Daily Prod (bopd)]]</f>
        <v>4106</v>
      </c>
      <c r="M33" s="132">
        <f>Table252346[[#This Row],[Jones Creek Target (bopd)]]-Table252346[[#This Row],[Jones Creek Prod (bopd)]]</f>
        <v>3634</v>
      </c>
      <c r="N33" s="132">
        <f>Table252346[[#This Row],[Egwa Target (bopd)]]-Table252346[[#This Row],[Egwa Prod (bopd)]]</f>
        <v>-81</v>
      </c>
      <c r="O33" s="134">
        <f>Table252346[[#This Row],[Odidi Target (bopd)]]-Table252346[[#This Row],[Odidi prod (bopd)]]</f>
        <v>358</v>
      </c>
    </row>
    <row r="34" spans="2:19" ht="21.6">
      <c r="B34" s="130">
        <v>44073</v>
      </c>
      <c r="C34" s="131">
        <v>9400</v>
      </c>
      <c r="D34" s="135">
        <v>23500</v>
      </c>
      <c r="E34" s="135">
        <v>4090</v>
      </c>
      <c r="F34" s="136">
        <v>14200</v>
      </c>
      <c r="G34" s="131">
        <v>5490</v>
      </c>
      <c r="H34" s="137">
        <v>19830</v>
      </c>
      <c r="I34" s="137">
        <v>4194.7</v>
      </c>
      <c r="J34" s="138">
        <v>13872</v>
      </c>
      <c r="K34" s="276">
        <f>SUM(Table252346[[#This Row],[Batan Daily Prod (bopd)]:[Odidi prod (bopd)]])</f>
        <v>43386.7</v>
      </c>
      <c r="L34" s="131">
        <f>Table252346[[#This Row],[Batan Target (bopd)]]-Table252346[[#This Row],[Batan Daily Prod (bopd)]]</f>
        <v>3910</v>
      </c>
      <c r="M34" s="132">
        <f>Table252346[[#This Row],[Jones Creek Target (bopd)]]-Table252346[[#This Row],[Jones Creek Prod (bopd)]]</f>
        <v>3670</v>
      </c>
      <c r="N34" s="132">
        <f>Table252346[[#This Row],[Egwa Target (bopd)]]-Table252346[[#This Row],[Egwa Prod (bopd)]]</f>
        <v>-104.69999999999982</v>
      </c>
      <c r="O34" s="134">
        <f>Table252346[[#This Row],[Odidi Target (bopd)]]-Table252346[[#This Row],[Odidi prod (bopd)]]</f>
        <v>328</v>
      </c>
    </row>
    <row r="35" spans="2:19" ht="21.6">
      <c r="B35" s="130">
        <v>44074</v>
      </c>
      <c r="C35" s="131">
        <v>9400</v>
      </c>
      <c r="D35" s="135">
        <v>23500</v>
      </c>
      <c r="E35" s="135">
        <v>4090</v>
      </c>
      <c r="F35" s="136">
        <v>14200</v>
      </c>
      <c r="G35" s="140">
        <v>5839</v>
      </c>
      <c r="H35" s="137">
        <v>20009</v>
      </c>
      <c r="I35" s="137">
        <v>4171</v>
      </c>
      <c r="J35" s="138">
        <v>13775</v>
      </c>
      <c r="K35" s="276">
        <f>SUM(Table252346[[#This Row],[Batan Daily Prod (bopd)]:[Odidi prod (bopd)]])</f>
        <v>43794</v>
      </c>
      <c r="L35" s="131">
        <f>Table252346[[#This Row],[Batan Target (bopd)]]-Table252346[[#This Row],[Batan Daily Prod (bopd)]]</f>
        <v>3561</v>
      </c>
      <c r="M35" s="132">
        <f>Table252346[[#This Row],[Jones Creek Target (bopd)]]-Table252346[[#This Row],[Jones Creek Prod (bopd)]]</f>
        <v>3491</v>
      </c>
      <c r="N35" s="132">
        <f>Table252346[[#This Row],[Egwa Target (bopd)]]-Table252346[[#This Row],[Egwa Prod (bopd)]]</f>
        <v>-81</v>
      </c>
      <c r="O35" s="134">
        <f>Table252346[[#This Row],[Odidi Target (bopd)]]-Table252346[[#This Row],[Odidi prod (bopd)]]</f>
        <v>425</v>
      </c>
    </row>
    <row r="36" spans="2:19" ht="21.6">
      <c r="B36" s="130">
        <v>44075</v>
      </c>
      <c r="C36" s="131">
        <v>9400</v>
      </c>
      <c r="D36" s="135">
        <v>23500</v>
      </c>
      <c r="E36" s="135">
        <v>4090</v>
      </c>
      <c r="F36" s="136">
        <v>14200</v>
      </c>
      <c r="G36" s="140">
        <v>5649</v>
      </c>
      <c r="H36" s="301">
        <v>20009</v>
      </c>
      <c r="I36" s="137">
        <v>4103</v>
      </c>
      <c r="J36" s="138">
        <v>13789</v>
      </c>
      <c r="K36" s="276">
        <f>SUM(Table252346[[#This Row],[Batan Daily Prod (bopd)]:[Odidi prod (bopd)]])</f>
        <v>43550</v>
      </c>
      <c r="L36" s="131">
        <f>Table252346[[#This Row],[Batan Target (bopd)]]-Table252346[[#This Row],[Batan Daily Prod (bopd)]]</f>
        <v>3751</v>
      </c>
      <c r="M36" s="132">
        <f>Table252346[[#This Row],[Jones Creek Target (bopd)]]-Table252346[[#This Row],[Jones Creek Prod (bopd)]]</f>
        <v>3491</v>
      </c>
      <c r="N36" s="132">
        <f>Table252346[[#This Row],[Egwa Target (bopd)]]-Table252346[[#This Row],[Egwa Prod (bopd)]]</f>
        <v>-13</v>
      </c>
      <c r="O36" s="134">
        <f>Table252346[[#This Row],[Odidi Target (bopd)]]-Table252346[[#This Row],[Odidi prod (bopd)]]</f>
        <v>411</v>
      </c>
    </row>
    <row r="37" spans="2:19" ht="21.6">
      <c r="B37" s="130">
        <v>44076</v>
      </c>
      <c r="C37" s="131">
        <v>9400</v>
      </c>
      <c r="D37" s="135">
        <v>23500</v>
      </c>
      <c r="E37" s="135">
        <v>4090</v>
      </c>
      <c r="F37" s="136">
        <v>14200</v>
      </c>
      <c r="G37" s="140"/>
      <c r="H37" s="137"/>
      <c r="I37" s="137"/>
      <c r="J37" s="138"/>
      <c r="K37" s="275"/>
      <c r="L37" s="131"/>
      <c r="M37" s="132"/>
      <c r="N37" s="132"/>
      <c r="O37" s="134"/>
    </row>
    <row r="38" spans="2:19" ht="21.6">
      <c r="B38" s="130">
        <v>44077</v>
      </c>
      <c r="C38" s="131">
        <v>9400</v>
      </c>
      <c r="D38" s="135">
        <v>23500</v>
      </c>
      <c r="E38" s="135">
        <v>4090</v>
      </c>
      <c r="F38" s="136">
        <v>14200</v>
      </c>
      <c r="G38" s="131"/>
      <c r="H38" s="137"/>
      <c r="I38" s="132"/>
      <c r="J38" s="134"/>
      <c r="K38" s="276"/>
      <c r="L38" s="131"/>
      <c r="M38" s="132"/>
      <c r="N38" s="132"/>
      <c r="O38" s="134"/>
    </row>
    <row r="39" spans="2:19" ht="21.6">
      <c r="B39" s="130">
        <v>44078</v>
      </c>
      <c r="C39" s="131">
        <v>9400</v>
      </c>
      <c r="D39" s="135">
        <v>23500</v>
      </c>
      <c r="E39" s="135">
        <v>4090</v>
      </c>
      <c r="F39" s="136">
        <v>14200</v>
      </c>
      <c r="G39" s="131"/>
      <c r="H39" s="137"/>
      <c r="I39" s="137"/>
      <c r="J39" s="138"/>
      <c r="K39" s="275"/>
      <c r="L39" s="131"/>
      <c r="M39" s="132"/>
      <c r="N39" s="132"/>
      <c r="O39" s="134"/>
    </row>
    <row r="40" spans="2:19" ht="21.6">
      <c r="B40" s="130">
        <v>44079</v>
      </c>
      <c r="C40" s="131">
        <v>9400</v>
      </c>
      <c r="D40" s="135">
        <v>23500</v>
      </c>
      <c r="E40" s="135">
        <v>4090</v>
      </c>
      <c r="F40" s="136">
        <v>14200</v>
      </c>
      <c r="G40" s="131"/>
      <c r="H40" s="132"/>
      <c r="I40" s="132"/>
      <c r="J40" s="134"/>
      <c r="K40" s="276"/>
      <c r="L40" s="131"/>
      <c r="M40" s="132"/>
      <c r="N40" s="132"/>
      <c r="O40" s="134"/>
    </row>
    <row r="41" spans="2:19" ht="21.6">
      <c r="B41" s="130">
        <v>44080</v>
      </c>
      <c r="C41" s="131">
        <v>9400</v>
      </c>
      <c r="D41" s="135">
        <v>23500</v>
      </c>
      <c r="E41" s="135">
        <v>4090</v>
      </c>
      <c r="F41" s="136">
        <v>14200</v>
      </c>
      <c r="G41" s="131"/>
      <c r="H41" s="132"/>
      <c r="I41" s="132"/>
      <c r="J41" s="134"/>
      <c r="K41" s="276"/>
      <c r="L41" s="131"/>
      <c r="M41" s="132"/>
      <c r="N41" s="132"/>
      <c r="O41" s="134"/>
    </row>
    <row r="42" spans="2:19" ht="21.6">
      <c r="B42" s="130">
        <v>44081</v>
      </c>
      <c r="C42" s="131">
        <v>9400</v>
      </c>
      <c r="D42" s="135">
        <v>23500</v>
      </c>
      <c r="E42" s="135">
        <v>4090</v>
      </c>
      <c r="F42" s="136">
        <v>14200</v>
      </c>
      <c r="G42" s="131"/>
      <c r="H42" s="132"/>
      <c r="I42" s="132"/>
      <c r="J42" s="134"/>
      <c r="K42" s="276"/>
      <c r="L42" s="131"/>
      <c r="M42" s="132"/>
      <c r="N42" s="132"/>
      <c r="O42" s="134"/>
      <c r="Q42" s="42"/>
    </row>
    <row r="43" spans="2:19" ht="21.6">
      <c r="B43" s="130">
        <v>44082</v>
      </c>
      <c r="C43" s="131">
        <v>9400</v>
      </c>
      <c r="D43" s="135">
        <v>23500</v>
      </c>
      <c r="E43" s="135">
        <v>4090</v>
      </c>
      <c r="F43" s="136">
        <v>14200</v>
      </c>
      <c r="G43" s="131"/>
      <c r="H43" s="137"/>
      <c r="I43" s="132"/>
      <c r="J43" s="138"/>
      <c r="K43" s="275"/>
      <c r="L43" s="131"/>
      <c r="M43" s="132"/>
      <c r="N43" s="132"/>
      <c r="O43" s="134"/>
    </row>
    <row r="44" spans="2:19" ht="21.6">
      <c r="B44" s="130"/>
      <c r="C44" s="131"/>
      <c r="D44" s="135"/>
      <c r="E44" s="135"/>
      <c r="F44" s="136"/>
      <c r="G44" s="131"/>
      <c r="H44" s="132"/>
      <c r="I44" s="132"/>
      <c r="J44" s="134"/>
      <c r="K44" s="276"/>
      <c r="L44" s="131"/>
      <c r="M44" s="132"/>
      <c r="N44" s="132"/>
      <c r="O44" s="134"/>
    </row>
    <row r="46" spans="2:19" ht="15.6" thickBot="1"/>
    <row r="47" spans="2:19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29"/>
      <c r="N47" s="1230"/>
      <c r="R47" s="23"/>
      <c r="S47" s="117"/>
    </row>
    <row r="48" spans="2:19" ht="43.15">
      <c r="C48" s="247" t="s">
        <v>22</v>
      </c>
      <c r="D48" s="248" t="s">
        <v>23</v>
      </c>
      <c r="E48" s="1242" t="s">
        <v>24</v>
      </c>
      <c r="F48" s="1243"/>
      <c r="G48" s="1243"/>
      <c r="H48" s="1243"/>
      <c r="I48" s="1243"/>
      <c r="J48" s="1243"/>
      <c r="K48" s="1243"/>
      <c r="L48" s="1243"/>
      <c r="M48" s="1243"/>
      <c r="N48" s="1244"/>
      <c r="R48" s="118"/>
      <c r="S48" s="119"/>
    </row>
    <row r="49" spans="3:19" ht="26.25" customHeight="1">
      <c r="C49" s="249" t="s">
        <v>16</v>
      </c>
      <c r="D49" s="250">
        <f>L36/1000</f>
        <v>3.7509999999999999</v>
      </c>
      <c r="E49" s="1245" t="s">
        <v>188</v>
      </c>
      <c r="F49" s="1246"/>
      <c r="G49" s="1246"/>
      <c r="H49" s="1246"/>
      <c r="I49" s="1246"/>
      <c r="J49" s="1246"/>
      <c r="K49" s="1246"/>
      <c r="L49" s="1246"/>
      <c r="M49" s="1246"/>
      <c r="N49" s="1247"/>
      <c r="P49" s="30"/>
      <c r="R49" s="118"/>
      <c r="S49" s="119"/>
    </row>
    <row r="50" spans="3:19" ht="21.6">
      <c r="C50" s="249" t="s">
        <v>17</v>
      </c>
      <c r="D50" s="250">
        <f>M36/1000</f>
        <v>3.4910000000000001</v>
      </c>
      <c r="E50" s="1248" t="s">
        <v>189</v>
      </c>
      <c r="F50" s="1249"/>
      <c r="G50" s="1249"/>
      <c r="H50" s="1249"/>
      <c r="I50" s="1249"/>
      <c r="J50" s="1249"/>
      <c r="K50" s="1249"/>
      <c r="L50" s="1249"/>
      <c r="M50" s="1249"/>
      <c r="N50" s="1250"/>
      <c r="R50" s="118"/>
      <c r="S50" s="119"/>
    </row>
    <row r="51" spans="3:19" ht="28.5" customHeight="1">
      <c r="C51" s="249" t="s">
        <v>18</v>
      </c>
      <c r="D51" s="277">
        <f>N36/1000</f>
        <v>-1.2999999999999999E-2</v>
      </c>
      <c r="E51" s="1245" t="s">
        <v>190</v>
      </c>
      <c r="F51" s="1246"/>
      <c r="G51" s="1246"/>
      <c r="H51" s="1246"/>
      <c r="I51" s="1246"/>
      <c r="J51" s="1246"/>
      <c r="K51" s="1246"/>
      <c r="L51" s="1246"/>
      <c r="M51" s="1246"/>
      <c r="N51" s="1247"/>
      <c r="R51" s="118"/>
      <c r="S51" s="119"/>
    </row>
    <row r="52" spans="3:19" ht="27.95" customHeight="1">
      <c r="C52" s="249" t="s">
        <v>19</v>
      </c>
      <c r="D52" s="250">
        <f>O36/1000</f>
        <v>0.41099999999999998</v>
      </c>
      <c r="E52" s="1245" t="s">
        <v>191</v>
      </c>
      <c r="F52" s="1246"/>
      <c r="G52" s="1246"/>
      <c r="H52" s="1246"/>
      <c r="I52" s="1246"/>
      <c r="J52" s="1246"/>
      <c r="K52" s="1246"/>
      <c r="L52" s="1246"/>
      <c r="M52" s="1246"/>
      <c r="N52" s="1247"/>
    </row>
    <row r="53" spans="3:19" ht="33" customHeight="1" thickBot="1">
      <c r="C53" s="251" t="s">
        <v>187</v>
      </c>
      <c r="D53" s="252">
        <f>SUM(D49:D52)</f>
        <v>7.64</v>
      </c>
      <c r="E53" s="1256" t="s">
        <v>192</v>
      </c>
      <c r="F53" s="1257"/>
      <c r="G53" s="1257"/>
      <c r="H53" s="1257"/>
      <c r="I53" s="1257"/>
      <c r="J53" s="1257"/>
      <c r="K53" s="1257"/>
      <c r="L53" s="1257"/>
      <c r="M53" s="1257"/>
      <c r="N53" s="1258"/>
    </row>
    <row r="56" spans="3:19" ht="21" thickBot="1">
      <c r="E56" s="30"/>
    </row>
    <row r="57" spans="3:19" ht="35.450000000000003" customHeight="1" thickBot="1">
      <c r="D57" s="172">
        <f>3.75-3.19</f>
        <v>0.56000000000000005</v>
      </c>
      <c r="E57" s="271"/>
      <c r="H57" s="31">
        <v>13550</v>
      </c>
    </row>
    <row r="58" spans="3:19" ht="24.75" customHeight="1">
      <c r="F58" s="30"/>
      <c r="G58" s="30"/>
      <c r="H58" s="36"/>
    </row>
    <row r="59" spans="3:19" ht="20.25" customHeight="1"/>
    <row r="60" spans="3:19">
      <c r="D60" s="147"/>
    </row>
    <row r="63" spans="3:19" ht="20.45">
      <c r="D63" s="30"/>
    </row>
  </sheetData>
  <mergeCells count="8">
    <mergeCell ref="E52:N52"/>
    <mergeCell ref="E53:N53"/>
    <mergeCell ref="T3:X3"/>
    <mergeCell ref="C47:N47"/>
    <mergeCell ref="E48:N48"/>
    <mergeCell ref="E49:N49"/>
    <mergeCell ref="E50:N50"/>
    <mergeCell ref="E51:N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G996"/>
  <sheetViews>
    <sheetView workbookViewId="0">
      <pane xSplit="1" topLeftCell="B1" activePane="topRight" state="frozen"/>
      <selection pane="topRight" activeCell="H75" activeCellId="2" sqref="H49 H52 H75"/>
    </sheetView>
  </sheetViews>
  <sheetFormatPr defaultColWidth="11.21875" defaultRowHeight="15" customHeight="1"/>
  <cols>
    <col min="1" max="1" width="6.33203125" customWidth="1"/>
    <col min="2" max="2" width="14.33203125" customWidth="1"/>
    <col min="3" max="3" width="8.5546875" customWidth="1"/>
    <col min="4" max="4" width="10.109375" customWidth="1"/>
    <col min="5" max="5" width="9.5546875" customWidth="1"/>
    <col min="6" max="6" width="9.21875" customWidth="1"/>
    <col min="7" max="7" width="10.77734375" customWidth="1"/>
    <col min="8" max="10" width="9.21875" customWidth="1"/>
    <col min="11" max="11" width="9.77734375" customWidth="1"/>
    <col min="12" max="12" width="27.33203125" customWidth="1"/>
    <col min="13" max="13" width="9.44140625" customWidth="1"/>
    <col min="14" max="14" width="6.33203125" customWidth="1"/>
    <col min="15" max="15" width="7.109375" customWidth="1"/>
    <col min="16" max="18" width="8.33203125" customWidth="1"/>
    <col min="19" max="19" width="6.21875" hidden="1" customWidth="1"/>
    <col min="20" max="20" width="11" hidden="1" customWidth="1"/>
    <col min="21" max="21" width="11.33203125" hidden="1" customWidth="1"/>
    <col min="22" max="22" width="9.77734375" hidden="1" customWidth="1"/>
    <col min="23" max="23" width="11.6640625" hidden="1" customWidth="1"/>
    <col min="24" max="24" width="12.109375" hidden="1" customWidth="1"/>
    <col min="25" max="25" width="18.21875" hidden="1" customWidth="1"/>
    <col min="26" max="33" width="8.5546875" customWidth="1"/>
  </cols>
  <sheetData>
    <row r="1" spans="2:21">
      <c r="E1" s="1"/>
      <c r="F1" s="1"/>
      <c r="G1" s="1"/>
      <c r="H1" s="1"/>
      <c r="I1" s="1"/>
      <c r="J1" s="1"/>
      <c r="K1" s="1"/>
    </row>
    <row r="2" spans="2:21" ht="21">
      <c r="D2" s="1226" t="s">
        <v>193</v>
      </c>
      <c r="E2" s="1382"/>
      <c r="F2" s="1382"/>
      <c r="G2" s="1382"/>
      <c r="H2" s="1382"/>
      <c r="I2" s="1382"/>
      <c r="J2" s="1382"/>
      <c r="K2" s="1382"/>
      <c r="L2" s="1382"/>
    </row>
    <row r="3" spans="2:21" ht="18" customHeight="1" thickBot="1">
      <c r="E3" s="1"/>
      <c r="F3" s="1"/>
      <c r="G3" s="1"/>
      <c r="H3" s="1"/>
      <c r="I3" s="1"/>
      <c r="J3" s="1"/>
      <c r="K3" s="1"/>
    </row>
    <row r="4" spans="2:21" ht="24" customHeight="1" thickBot="1">
      <c r="D4" s="1252" t="s">
        <v>194</v>
      </c>
      <c r="E4" s="1383"/>
      <c r="F4" s="1383"/>
      <c r="G4" s="1383"/>
      <c r="H4" s="1383"/>
      <c r="I4" s="1383"/>
      <c r="J4" s="1383"/>
      <c r="K4" s="1383"/>
      <c r="L4" s="1384"/>
    </row>
    <row r="5" spans="2:21" ht="27" thickBot="1">
      <c r="B5" s="178"/>
      <c r="C5" s="179" t="s">
        <v>156</v>
      </c>
      <c r="D5" s="179" t="s">
        <v>31</v>
      </c>
      <c r="E5" s="180" t="s">
        <v>32</v>
      </c>
      <c r="F5" s="180" t="s">
        <v>33</v>
      </c>
      <c r="G5" s="180" t="s">
        <v>34</v>
      </c>
      <c r="H5" s="180" t="s">
        <v>35</v>
      </c>
      <c r="I5" s="181" t="s">
        <v>37</v>
      </c>
      <c r="J5" s="182" t="s">
        <v>38</v>
      </c>
      <c r="K5" s="182" t="s">
        <v>39</v>
      </c>
      <c r="L5" s="183" t="s">
        <v>40</v>
      </c>
    </row>
    <row r="6" spans="2:21" ht="15.6">
      <c r="B6" s="184"/>
      <c r="C6" s="327">
        <v>1</v>
      </c>
      <c r="D6" s="282" t="s">
        <v>41</v>
      </c>
      <c r="E6" s="283" t="s">
        <v>42</v>
      </c>
      <c r="F6" s="284">
        <v>28</v>
      </c>
      <c r="G6" s="278">
        <v>2051.0158273588454</v>
      </c>
      <c r="H6" s="278">
        <v>538.18655309896099</v>
      </c>
      <c r="I6" s="278">
        <v>73.8</v>
      </c>
      <c r="J6" s="278">
        <v>521</v>
      </c>
      <c r="K6" s="278">
        <v>493</v>
      </c>
      <c r="L6" s="280" t="s">
        <v>63</v>
      </c>
      <c r="N6" s="418"/>
      <c r="O6" s="418"/>
      <c r="P6" s="418"/>
      <c r="Q6" s="418"/>
      <c r="R6" s="418"/>
      <c r="S6" s="418"/>
      <c r="T6" s="418"/>
      <c r="U6" s="950"/>
    </row>
    <row r="7" spans="2:21" ht="15.6">
      <c r="B7" s="184"/>
      <c r="C7" s="328">
        <v>2</v>
      </c>
      <c r="D7" s="222" t="s">
        <v>43</v>
      </c>
      <c r="E7" s="219" t="s">
        <v>44</v>
      </c>
      <c r="F7" s="220">
        <v>28</v>
      </c>
      <c r="G7" s="221">
        <v>1231.9335982362411</v>
      </c>
      <c r="H7" s="221">
        <v>631.24277573624988</v>
      </c>
      <c r="I7" s="221">
        <v>48.8</v>
      </c>
      <c r="J7" s="221">
        <v>606</v>
      </c>
      <c r="K7" s="221">
        <v>145</v>
      </c>
      <c r="L7" s="280" t="s">
        <v>63</v>
      </c>
      <c r="N7" s="418"/>
      <c r="O7" s="418"/>
      <c r="P7" s="418"/>
      <c r="Q7" s="418"/>
      <c r="R7" s="418"/>
      <c r="S7" s="418"/>
      <c r="T7" s="418"/>
      <c r="U7" s="950"/>
    </row>
    <row r="8" spans="2:21" ht="15.6">
      <c r="B8" s="184"/>
      <c r="C8" s="328">
        <v>3</v>
      </c>
      <c r="D8" s="222" t="s">
        <v>45</v>
      </c>
      <c r="E8" s="219" t="s">
        <v>44</v>
      </c>
      <c r="F8" s="220">
        <v>32</v>
      </c>
      <c r="G8" s="221">
        <v>2223.5427159729697</v>
      </c>
      <c r="H8" s="221">
        <v>1028.1661518659014</v>
      </c>
      <c r="I8" s="221">
        <v>53.8</v>
      </c>
      <c r="J8" s="221">
        <v>336</v>
      </c>
      <c r="K8" s="221">
        <v>247</v>
      </c>
      <c r="L8" s="280" t="s">
        <v>63</v>
      </c>
      <c r="N8" s="418"/>
      <c r="O8" s="418"/>
      <c r="P8" s="418"/>
      <c r="Q8" s="418"/>
      <c r="R8" s="418"/>
      <c r="S8" s="418"/>
      <c r="T8" s="418"/>
      <c r="U8" s="950"/>
    </row>
    <row r="9" spans="2:21" ht="15.6">
      <c r="B9" s="184"/>
      <c r="C9" s="329">
        <v>4</v>
      </c>
      <c r="D9" s="191" t="s">
        <v>46</v>
      </c>
      <c r="E9" s="192" t="s">
        <v>47</v>
      </c>
      <c r="F9" s="193">
        <v>40</v>
      </c>
      <c r="G9" s="194">
        <v>1782.6197918132709</v>
      </c>
      <c r="H9" s="194">
        <v>1166.7246537417859</v>
      </c>
      <c r="I9" s="194">
        <v>34.6</v>
      </c>
      <c r="J9" s="194">
        <v>310</v>
      </c>
      <c r="K9" s="194">
        <v>131</v>
      </c>
      <c r="L9" s="196"/>
      <c r="N9" s="418"/>
      <c r="O9" s="418"/>
      <c r="P9" s="418"/>
      <c r="Q9" s="418"/>
      <c r="R9" s="418"/>
      <c r="S9" s="418"/>
      <c r="T9" s="418"/>
      <c r="U9" s="950"/>
    </row>
    <row r="10" spans="2:21" ht="15.6">
      <c r="B10" s="184"/>
      <c r="C10" s="329">
        <v>5</v>
      </c>
      <c r="D10" s="191" t="s">
        <v>48</v>
      </c>
      <c r="E10" s="192" t="s">
        <v>47</v>
      </c>
      <c r="F10" s="193" t="s">
        <v>49</v>
      </c>
      <c r="G10" s="194">
        <v>1816.7772945869699</v>
      </c>
      <c r="H10" s="194">
        <v>1074.98712520711</v>
      </c>
      <c r="I10" s="194">
        <v>40.799999999999997</v>
      </c>
      <c r="J10" s="194">
        <v>311</v>
      </c>
      <c r="K10" s="194">
        <v>145</v>
      </c>
      <c r="L10" s="196"/>
      <c r="N10" s="418"/>
      <c r="O10" s="418"/>
      <c r="P10" s="418"/>
      <c r="Q10" s="418"/>
      <c r="R10" s="418"/>
      <c r="S10" s="418"/>
      <c r="T10" s="418"/>
      <c r="U10" s="950"/>
    </row>
    <row r="11" spans="2:21" ht="15.6">
      <c r="B11" s="184"/>
      <c r="C11" s="329">
        <v>6</v>
      </c>
      <c r="D11" s="191" t="s">
        <v>50</v>
      </c>
      <c r="E11" s="192" t="s">
        <v>47</v>
      </c>
      <c r="F11" s="193" t="s">
        <v>51</v>
      </c>
      <c r="G11" s="302">
        <v>1468.6721560255978</v>
      </c>
      <c r="H11" s="194">
        <v>453.23222734949945</v>
      </c>
      <c r="I11" s="194">
        <v>69.099999999999994</v>
      </c>
      <c r="J11" s="194">
        <v>761</v>
      </c>
      <c r="K11" s="194">
        <v>174</v>
      </c>
      <c r="L11" s="196"/>
      <c r="N11" s="418"/>
      <c r="O11" s="418"/>
      <c r="P11" s="418"/>
      <c r="Q11" s="418"/>
      <c r="R11" s="418"/>
      <c r="S11" s="418"/>
      <c r="T11" s="418"/>
      <c r="U11" s="950"/>
    </row>
    <row r="12" spans="2:21" ht="15.6">
      <c r="B12" s="184"/>
      <c r="C12" s="329">
        <v>7</v>
      </c>
      <c r="D12" s="191" t="s">
        <v>52</v>
      </c>
      <c r="E12" s="192" t="s">
        <v>47</v>
      </c>
      <c r="F12" s="193">
        <v>40</v>
      </c>
      <c r="G12" s="194">
        <v>1616.7991807010462</v>
      </c>
      <c r="H12" s="194">
        <v>792.23159854351263</v>
      </c>
      <c r="I12" s="194">
        <v>51</v>
      </c>
      <c r="J12" s="193">
        <v>448</v>
      </c>
      <c r="K12" s="193">
        <v>160</v>
      </c>
      <c r="L12" s="196"/>
      <c r="N12" s="418"/>
      <c r="O12" s="418"/>
      <c r="P12" s="418"/>
      <c r="Q12" s="418"/>
      <c r="R12" s="418"/>
      <c r="S12" s="418"/>
      <c r="T12" s="418"/>
      <c r="U12" s="950"/>
    </row>
    <row r="13" spans="2:21" ht="15.6">
      <c r="B13" s="184"/>
      <c r="C13" s="329">
        <v>8</v>
      </c>
      <c r="D13" s="191" t="s">
        <v>53</v>
      </c>
      <c r="E13" s="192" t="s">
        <v>47</v>
      </c>
      <c r="F13" s="193" t="s">
        <v>51</v>
      </c>
      <c r="G13" s="194">
        <v>1459.7871867746981</v>
      </c>
      <c r="H13" s="194">
        <v>694.85870090475635</v>
      </c>
      <c r="I13" s="194">
        <v>52.4</v>
      </c>
      <c r="J13" s="193">
        <v>447</v>
      </c>
      <c r="K13" s="193">
        <v>348</v>
      </c>
      <c r="L13" s="196"/>
      <c r="N13" s="418"/>
      <c r="O13" s="418"/>
      <c r="P13" s="418"/>
      <c r="Q13" s="418"/>
      <c r="R13" s="418"/>
      <c r="S13" s="418"/>
      <c r="T13" s="418"/>
      <c r="U13" s="950"/>
    </row>
    <row r="14" spans="2:21" ht="15.6">
      <c r="B14" s="184"/>
      <c r="C14" s="332">
        <v>9</v>
      </c>
      <c r="D14" s="263" t="s">
        <v>54</v>
      </c>
      <c r="E14" s="254" t="s">
        <v>47</v>
      </c>
      <c r="F14" s="255" t="s">
        <v>55</v>
      </c>
      <c r="G14" s="197">
        <v>1641.6851861515806</v>
      </c>
      <c r="H14" s="197">
        <v>762.56276896740928</v>
      </c>
      <c r="I14" s="197">
        <v>53.6</v>
      </c>
      <c r="J14" s="197">
        <v>495</v>
      </c>
      <c r="K14" s="197">
        <v>363</v>
      </c>
      <c r="L14" s="294"/>
      <c r="N14" s="418"/>
      <c r="O14" s="418"/>
      <c r="P14" s="418"/>
      <c r="Q14" s="418"/>
      <c r="R14" s="418"/>
      <c r="S14" s="418"/>
      <c r="T14" s="418"/>
      <c r="U14" s="950"/>
    </row>
    <row r="15" spans="2:21" ht="15.6">
      <c r="B15" s="184"/>
      <c r="C15" s="328">
        <v>10</v>
      </c>
      <c r="D15" s="222" t="s">
        <v>56</v>
      </c>
      <c r="E15" s="219" t="s">
        <v>47</v>
      </c>
      <c r="F15" s="220">
        <v>44</v>
      </c>
      <c r="G15" s="221">
        <v>3810.7235282665083</v>
      </c>
      <c r="H15" s="221">
        <v>1905.3617641332542</v>
      </c>
      <c r="I15" s="221">
        <v>50</v>
      </c>
      <c r="J15" s="220">
        <v>281</v>
      </c>
      <c r="K15" s="220">
        <v>348</v>
      </c>
      <c r="L15" s="280" t="s">
        <v>63</v>
      </c>
      <c r="N15" s="418"/>
      <c r="O15" s="418"/>
      <c r="P15" s="418"/>
      <c r="Q15" s="418"/>
      <c r="R15" s="418"/>
      <c r="S15" s="418"/>
      <c r="T15" s="418"/>
      <c r="U15" s="950"/>
    </row>
    <row r="16" spans="2:21" ht="16.149999999999999" thickBot="1">
      <c r="B16" s="184"/>
      <c r="C16" s="330">
        <v>11</v>
      </c>
      <c r="D16" s="198" t="s">
        <v>57</v>
      </c>
      <c r="E16" s="199" t="s">
        <v>47</v>
      </c>
      <c r="F16" s="200" t="s">
        <v>55</v>
      </c>
      <c r="G16" s="201">
        <v>1796.4435341122739</v>
      </c>
      <c r="H16" s="201">
        <v>341.32427148133206</v>
      </c>
      <c r="I16" s="201">
        <v>81</v>
      </c>
      <c r="J16" s="201">
        <v>350</v>
      </c>
      <c r="K16" s="201">
        <v>261</v>
      </c>
      <c r="L16" s="203"/>
      <c r="N16" s="418"/>
      <c r="O16" s="418"/>
      <c r="P16" s="418"/>
      <c r="Q16" s="418"/>
      <c r="R16" s="418"/>
      <c r="S16" s="418"/>
      <c r="T16" s="418"/>
      <c r="U16" s="950"/>
    </row>
    <row r="17" spans="2:25" s="317" customFormat="1" ht="27" customHeight="1" thickBot="1">
      <c r="D17" s="1259" t="s">
        <v>168</v>
      </c>
      <c r="E17" s="1260"/>
      <c r="F17" s="1261"/>
      <c r="G17" s="206">
        <f>SUM(G6:G16)</f>
        <v>20900</v>
      </c>
      <c r="H17" s="206">
        <f>SUM(H6:H16)</f>
        <v>9388.8785910297702</v>
      </c>
      <c r="I17" s="337"/>
      <c r="J17" s="319"/>
      <c r="K17" s="337"/>
      <c r="P17" s="954"/>
      <c r="Q17" s="954"/>
    </row>
    <row r="18" spans="2:25" ht="24" customHeight="1" thickBot="1">
      <c r="G18" s="1"/>
      <c r="H18" s="208">
        <f>ROUNDDOWN(H17, -2)</f>
        <v>9300</v>
      </c>
      <c r="I18" s="1"/>
      <c r="K18" s="1"/>
      <c r="P18" s="418"/>
      <c r="Q18" s="418"/>
    </row>
    <row r="19" spans="2:25">
      <c r="E19" s="1"/>
      <c r="F19" s="1"/>
      <c r="G19" s="1"/>
      <c r="H19" s="1"/>
      <c r="I19" s="1"/>
      <c r="K19" s="1"/>
    </row>
    <row r="20" spans="2:25" ht="15.6" thickBot="1">
      <c r="E20" s="1"/>
      <c r="F20" s="1"/>
      <c r="G20" s="1"/>
      <c r="H20" s="1"/>
      <c r="I20" s="1"/>
      <c r="J20" s="1"/>
      <c r="K20" s="1"/>
    </row>
    <row r="21" spans="2:25" ht="28.5" customHeight="1" thickBot="1">
      <c r="D21" s="1252" t="s">
        <v>195</v>
      </c>
      <c r="E21" s="1383"/>
      <c r="F21" s="1383"/>
      <c r="G21" s="1383"/>
      <c r="H21" s="1383"/>
      <c r="I21" s="1383"/>
      <c r="J21" s="1383"/>
      <c r="K21" s="1383"/>
      <c r="L21" s="1384"/>
      <c r="S21" s="1385" t="s">
        <v>196</v>
      </c>
      <c r="T21" s="1382"/>
      <c r="U21" s="1382"/>
      <c r="V21" s="303"/>
      <c r="W21" s="303"/>
      <c r="X21" s="303"/>
      <c r="Y21" s="303"/>
    </row>
    <row r="22" spans="2:25" ht="27" thickBot="1">
      <c r="B22" s="178"/>
      <c r="C22" s="179" t="s">
        <v>156</v>
      </c>
      <c r="D22" s="179" t="s">
        <v>31</v>
      </c>
      <c r="E22" s="180" t="s">
        <v>32</v>
      </c>
      <c r="F22" s="180" t="s">
        <v>33</v>
      </c>
      <c r="G22" s="180" t="s">
        <v>34</v>
      </c>
      <c r="H22" s="180" t="s">
        <v>35</v>
      </c>
      <c r="I22" s="180" t="s">
        <v>37</v>
      </c>
      <c r="J22" s="182" t="s">
        <v>38</v>
      </c>
      <c r="K22" s="182" t="s">
        <v>39</v>
      </c>
      <c r="L22" s="183" t="s">
        <v>40</v>
      </c>
      <c r="S22" s="303"/>
      <c r="T22" s="303"/>
      <c r="U22" s="303"/>
      <c r="V22" s="303"/>
      <c r="W22" s="303"/>
      <c r="X22" s="303"/>
      <c r="Y22" s="303"/>
    </row>
    <row r="23" spans="2:25" ht="18.75" customHeight="1">
      <c r="B23" s="209"/>
      <c r="C23" s="331">
        <v>1</v>
      </c>
      <c r="D23" s="210" t="s">
        <v>59</v>
      </c>
      <c r="E23" s="192" t="s">
        <v>60</v>
      </c>
      <c r="F23" s="188">
        <v>56</v>
      </c>
      <c r="G23" s="313">
        <v>967</v>
      </c>
      <c r="H23" s="188">
        <v>938</v>
      </c>
      <c r="I23" s="211">
        <v>3</v>
      </c>
      <c r="J23" s="188">
        <v>2018</v>
      </c>
      <c r="K23" s="188">
        <v>116</v>
      </c>
      <c r="L23" s="212"/>
      <c r="P23" s="950"/>
      <c r="Q23" s="955"/>
      <c r="S23" s="956" t="s">
        <v>197</v>
      </c>
      <c r="T23" s="957" t="s">
        <v>198</v>
      </c>
      <c r="U23" s="304" t="s">
        <v>199</v>
      </c>
      <c r="V23" s="305" t="s">
        <v>200</v>
      </c>
      <c r="W23" s="305" t="s">
        <v>201</v>
      </c>
      <c r="X23" s="305" t="s">
        <v>202</v>
      </c>
      <c r="Y23" s="304" t="s">
        <v>203</v>
      </c>
    </row>
    <row r="24" spans="2:25" ht="15.6">
      <c r="B24" s="209"/>
      <c r="C24" s="332">
        <v>2</v>
      </c>
      <c r="D24" s="263" t="s">
        <v>61</v>
      </c>
      <c r="E24" s="254" t="s">
        <v>62</v>
      </c>
      <c r="F24" s="295">
        <v>28</v>
      </c>
      <c r="G24" s="314">
        <v>888</v>
      </c>
      <c r="H24" s="295">
        <v>355</v>
      </c>
      <c r="I24" s="296">
        <v>60</v>
      </c>
      <c r="J24" s="295">
        <v>782</v>
      </c>
      <c r="K24" s="295">
        <v>377</v>
      </c>
      <c r="L24" s="290"/>
      <c r="P24" s="950"/>
      <c r="Q24" s="955"/>
      <c r="S24" s="953">
        <v>1</v>
      </c>
      <c r="T24" s="1263" t="s">
        <v>204</v>
      </c>
      <c r="U24" s="306" t="s">
        <v>205</v>
      </c>
      <c r="V24" s="306">
        <v>661</v>
      </c>
      <c r="W24" s="307">
        <v>44052</v>
      </c>
      <c r="X24" s="307">
        <v>44144</v>
      </c>
      <c r="Y24" s="306" t="s">
        <v>206</v>
      </c>
    </row>
    <row r="25" spans="2:25" ht="15.6">
      <c r="B25" s="209"/>
      <c r="C25" s="332">
        <v>3</v>
      </c>
      <c r="D25" s="263" t="s">
        <v>64</v>
      </c>
      <c r="E25" s="254" t="s">
        <v>65</v>
      </c>
      <c r="F25" s="295">
        <v>32</v>
      </c>
      <c r="G25" s="314">
        <v>2666</v>
      </c>
      <c r="H25" s="295">
        <v>1760</v>
      </c>
      <c r="I25" s="296">
        <v>34</v>
      </c>
      <c r="J25" s="295">
        <v>430</v>
      </c>
      <c r="K25" s="295">
        <v>406</v>
      </c>
      <c r="L25" s="290"/>
      <c r="P25" s="950"/>
      <c r="Q25" s="955"/>
      <c r="S25" s="953">
        <v>2</v>
      </c>
      <c r="T25" s="1386"/>
      <c r="U25" s="306" t="s">
        <v>207</v>
      </c>
      <c r="V25" s="306">
        <v>574</v>
      </c>
      <c r="W25" s="307">
        <v>44174</v>
      </c>
      <c r="X25" s="306" t="s">
        <v>208</v>
      </c>
      <c r="Y25" s="306" t="s">
        <v>206</v>
      </c>
    </row>
    <row r="26" spans="2:25" ht="15.6">
      <c r="B26" s="209"/>
      <c r="C26" s="331">
        <v>4</v>
      </c>
      <c r="D26" s="210" t="s">
        <v>69</v>
      </c>
      <c r="E26" s="192" t="s">
        <v>70</v>
      </c>
      <c r="F26" s="188">
        <v>24</v>
      </c>
      <c r="G26" s="316">
        <v>963</v>
      </c>
      <c r="H26" s="188">
        <v>347</v>
      </c>
      <c r="I26" s="211">
        <v>64</v>
      </c>
      <c r="J26" s="188">
        <v>2411</v>
      </c>
      <c r="K26" s="188">
        <v>754</v>
      </c>
      <c r="L26" s="212"/>
      <c r="P26" s="950"/>
      <c r="Q26" s="955"/>
      <c r="S26" s="953">
        <v>3</v>
      </c>
      <c r="T26" s="1386"/>
      <c r="U26" s="306" t="s">
        <v>209</v>
      </c>
      <c r="V26" s="306">
        <v>1037</v>
      </c>
      <c r="W26" s="306" t="s">
        <v>210</v>
      </c>
      <c r="X26" s="306" t="s">
        <v>211</v>
      </c>
      <c r="Y26" s="306" t="s">
        <v>212</v>
      </c>
    </row>
    <row r="27" spans="2:25" ht="15.6">
      <c r="B27" s="209"/>
      <c r="C27" s="331">
        <v>5</v>
      </c>
      <c r="D27" s="210" t="s">
        <v>71</v>
      </c>
      <c r="E27" s="192" t="s">
        <v>72</v>
      </c>
      <c r="F27" s="188">
        <v>28</v>
      </c>
      <c r="G27" s="316">
        <v>859</v>
      </c>
      <c r="H27" s="188">
        <v>326</v>
      </c>
      <c r="I27" s="211">
        <v>62</v>
      </c>
      <c r="J27" s="188">
        <v>3000</v>
      </c>
      <c r="K27" s="188">
        <v>812</v>
      </c>
      <c r="L27" s="212"/>
      <c r="P27" s="950"/>
      <c r="Q27" s="955"/>
      <c r="S27" s="308">
        <v>4</v>
      </c>
      <c r="T27" s="1387"/>
      <c r="U27" s="306" t="s">
        <v>213</v>
      </c>
      <c r="V27" s="306">
        <v>922</v>
      </c>
      <c r="W27" s="306" t="s">
        <v>214</v>
      </c>
      <c r="X27" s="306" t="s">
        <v>215</v>
      </c>
      <c r="Y27" s="306" t="s">
        <v>206</v>
      </c>
    </row>
    <row r="28" spans="2:25" ht="15.6">
      <c r="B28" s="209"/>
      <c r="C28" s="331">
        <v>6</v>
      </c>
      <c r="D28" s="210" t="s">
        <v>73</v>
      </c>
      <c r="E28" s="192" t="s">
        <v>72</v>
      </c>
      <c r="F28" s="188">
        <v>36</v>
      </c>
      <c r="G28" s="316">
        <v>1099</v>
      </c>
      <c r="H28" s="188">
        <v>659</v>
      </c>
      <c r="I28" s="211">
        <v>40</v>
      </c>
      <c r="J28" s="188">
        <v>3206</v>
      </c>
      <c r="K28" s="188">
        <v>435</v>
      </c>
      <c r="L28" s="212"/>
      <c r="P28" s="950"/>
      <c r="Q28" s="955"/>
      <c r="S28" s="308">
        <v>5</v>
      </c>
      <c r="T28" s="1262" t="s">
        <v>19</v>
      </c>
      <c r="U28" s="306" t="s">
        <v>216</v>
      </c>
      <c r="V28" s="306">
        <v>1571</v>
      </c>
      <c r="W28" s="307">
        <v>44052</v>
      </c>
      <c r="X28" s="307">
        <v>44144</v>
      </c>
      <c r="Y28" s="306" t="s">
        <v>206</v>
      </c>
    </row>
    <row r="29" spans="2:25" ht="15.6">
      <c r="B29" s="209"/>
      <c r="C29" s="331">
        <v>7</v>
      </c>
      <c r="D29" s="210" t="s">
        <v>74</v>
      </c>
      <c r="E29" s="192" t="s">
        <v>75</v>
      </c>
      <c r="F29" s="188">
        <v>36</v>
      </c>
      <c r="G29" s="316">
        <v>3196</v>
      </c>
      <c r="H29" s="188">
        <v>1406</v>
      </c>
      <c r="I29" s="211">
        <v>56</v>
      </c>
      <c r="J29" s="188">
        <v>1306</v>
      </c>
      <c r="K29" s="188">
        <v>754</v>
      </c>
      <c r="L29" s="212"/>
      <c r="P29" s="950"/>
      <c r="Q29" s="955"/>
      <c r="S29" s="308">
        <v>6</v>
      </c>
      <c r="T29" s="1386"/>
      <c r="U29" s="306" t="s">
        <v>217</v>
      </c>
      <c r="V29" s="306">
        <v>914</v>
      </c>
      <c r="W29" s="307">
        <v>43899</v>
      </c>
      <c r="X29" s="307">
        <v>43991</v>
      </c>
      <c r="Y29" s="306" t="s">
        <v>206</v>
      </c>
    </row>
    <row r="30" spans="2:25" ht="15.6">
      <c r="B30" s="209"/>
      <c r="C30" s="331">
        <v>8</v>
      </c>
      <c r="D30" s="210" t="s">
        <v>76</v>
      </c>
      <c r="E30" s="192" t="s">
        <v>77</v>
      </c>
      <c r="F30" s="188">
        <v>20</v>
      </c>
      <c r="G30" s="316">
        <v>717</v>
      </c>
      <c r="H30" s="188">
        <v>323</v>
      </c>
      <c r="I30" s="211">
        <v>55</v>
      </c>
      <c r="J30" s="188">
        <v>264</v>
      </c>
      <c r="K30" s="188">
        <v>174</v>
      </c>
      <c r="L30" s="212"/>
      <c r="P30" s="950"/>
      <c r="Q30" s="955"/>
      <c r="S30" s="308">
        <v>7</v>
      </c>
      <c r="T30" s="1387"/>
      <c r="U30" s="306" t="s">
        <v>218</v>
      </c>
      <c r="V30" s="306">
        <v>937</v>
      </c>
      <c r="W30" s="309">
        <v>43899</v>
      </c>
      <c r="X30" s="307">
        <v>43991</v>
      </c>
      <c r="Y30" s="306" t="s">
        <v>206</v>
      </c>
    </row>
    <row r="31" spans="2:25" ht="15.6">
      <c r="B31" s="209"/>
      <c r="C31" s="331">
        <v>9</v>
      </c>
      <c r="D31" s="210" t="s">
        <v>78</v>
      </c>
      <c r="E31" s="192" t="s">
        <v>79</v>
      </c>
      <c r="F31" s="188">
        <v>52</v>
      </c>
      <c r="G31" s="316">
        <v>1046</v>
      </c>
      <c r="H31" s="188">
        <v>1025</v>
      </c>
      <c r="I31" s="211">
        <v>2</v>
      </c>
      <c r="J31" s="188">
        <v>553</v>
      </c>
      <c r="K31" s="188">
        <v>203</v>
      </c>
      <c r="L31" s="212"/>
      <c r="P31" s="950"/>
      <c r="Q31" s="955"/>
      <c r="S31" s="308">
        <v>8</v>
      </c>
      <c r="T31" s="1262" t="s">
        <v>17</v>
      </c>
      <c r="U31" s="306" t="s">
        <v>219</v>
      </c>
      <c r="V31" s="306">
        <v>1173</v>
      </c>
      <c r="W31" s="307">
        <v>44113</v>
      </c>
      <c r="X31" s="306" t="s">
        <v>220</v>
      </c>
      <c r="Y31" s="306" t="s">
        <v>206</v>
      </c>
    </row>
    <row r="32" spans="2:25" ht="15.6">
      <c r="B32" s="209"/>
      <c r="C32" s="331">
        <v>10</v>
      </c>
      <c r="D32" s="210" t="s">
        <v>80</v>
      </c>
      <c r="E32" s="192" t="s">
        <v>81</v>
      </c>
      <c r="F32" s="188">
        <v>32</v>
      </c>
      <c r="G32" s="316">
        <v>1639</v>
      </c>
      <c r="H32" s="188">
        <v>603</v>
      </c>
      <c r="I32" s="211">
        <v>63.2</v>
      </c>
      <c r="J32" s="188">
        <v>1849</v>
      </c>
      <c r="K32" s="188">
        <v>609</v>
      </c>
      <c r="L32" s="212"/>
      <c r="P32" s="950"/>
      <c r="Q32" s="955"/>
      <c r="S32" s="308">
        <v>9</v>
      </c>
      <c r="T32" s="1386"/>
      <c r="U32" s="306" t="s">
        <v>221</v>
      </c>
      <c r="V32" s="306">
        <v>484</v>
      </c>
      <c r="W32" s="309">
        <v>43899</v>
      </c>
      <c r="X32" s="309">
        <v>43991</v>
      </c>
      <c r="Y32" s="306" t="s">
        <v>206</v>
      </c>
    </row>
    <row r="33" spans="1:33" ht="15.6">
      <c r="B33" s="209"/>
      <c r="C33" s="332">
        <v>11</v>
      </c>
      <c r="D33" s="263" t="s">
        <v>82</v>
      </c>
      <c r="E33" s="254" t="s">
        <v>65</v>
      </c>
      <c r="F33" s="295">
        <v>28</v>
      </c>
      <c r="G33" s="314">
        <v>1023</v>
      </c>
      <c r="H33" s="295">
        <v>1002</v>
      </c>
      <c r="I33" s="296">
        <v>2</v>
      </c>
      <c r="J33" s="295">
        <v>587</v>
      </c>
      <c r="K33" s="295">
        <v>464</v>
      </c>
      <c r="L33" s="290"/>
      <c r="P33" s="950"/>
      <c r="Q33" s="955"/>
      <c r="S33" s="308">
        <v>10</v>
      </c>
      <c r="T33" s="1387"/>
      <c r="U33" s="306" t="s">
        <v>222</v>
      </c>
      <c r="V33" s="306">
        <v>917</v>
      </c>
      <c r="W33" s="306" t="s">
        <v>223</v>
      </c>
      <c r="X33" s="306" t="s">
        <v>211</v>
      </c>
      <c r="Y33" s="306" t="s">
        <v>224</v>
      </c>
    </row>
    <row r="34" spans="1:33" ht="15.6">
      <c r="B34" s="209"/>
      <c r="C34" s="331">
        <v>12</v>
      </c>
      <c r="D34" s="210" t="s">
        <v>83</v>
      </c>
      <c r="E34" s="192" t="s">
        <v>84</v>
      </c>
      <c r="F34" s="188">
        <v>48</v>
      </c>
      <c r="G34" s="316">
        <v>3273</v>
      </c>
      <c r="H34" s="188">
        <v>1080</v>
      </c>
      <c r="I34" s="211">
        <v>67</v>
      </c>
      <c r="J34" s="188">
        <v>4131</v>
      </c>
      <c r="K34" s="188">
        <v>1189</v>
      </c>
      <c r="L34" s="212"/>
      <c r="P34" s="950"/>
      <c r="Q34" s="955"/>
    </row>
    <row r="35" spans="1:33" ht="15.6">
      <c r="B35" s="209"/>
      <c r="C35" s="331">
        <v>13</v>
      </c>
      <c r="D35" s="210" t="s">
        <v>85</v>
      </c>
      <c r="E35" s="192" t="s">
        <v>72</v>
      </c>
      <c r="F35" s="188">
        <v>32</v>
      </c>
      <c r="G35" s="316">
        <v>1427</v>
      </c>
      <c r="H35" s="188">
        <v>896</v>
      </c>
      <c r="I35" s="211">
        <v>37.200000000000003</v>
      </c>
      <c r="J35" s="188">
        <v>1058</v>
      </c>
      <c r="K35" s="188">
        <v>464</v>
      </c>
      <c r="L35" s="212"/>
      <c r="P35" s="950"/>
      <c r="Q35" s="955"/>
    </row>
    <row r="36" spans="1:33" ht="15.6">
      <c r="B36" s="209"/>
      <c r="C36" s="331">
        <v>14</v>
      </c>
      <c r="D36" s="210" t="s">
        <v>86</v>
      </c>
      <c r="E36" s="192" t="s">
        <v>87</v>
      </c>
      <c r="F36" s="188">
        <v>28</v>
      </c>
      <c r="G36" s="316">
        <v>901</v>
      </c>
      <c r="H36" s="188">
        <v>406</v>
      </c>
      <c r="I36" s="211">
        <v>55</v>
      </c>
      <c r="J36" s="188">
        <v>5513</v>
      </c>
      <c r="K36" s="188">
        <v>1958</v>
      </c>
      <c r="L36" s="212"/>
      <c r="P36" s="950"/>
      <c r="Q36" s="955"/>
    </row>
    <row r="37" spans="1:33" ht="15.6">
      <c r="B37" s="209"/>
      <c r="C37" s="331">
        <v>15</v>
      </c>
      <c r="D37" s="210" t="s">
        <v>88</v>
      </c>
      <c r="E37" s="192" t="s">
        <v>89</v>
      </c>
      <c r="F37" s="188">
        <v>28</v>
      </c>
      <c r="G37" s="316">
        <v>1172</v>
      </c>
      <c r="H37" s="188">
        <v>492</v>
      </c>
      <c r="I37" s="211">
        <v>58</v>
      </c>
      <c r="J37" s="188">
        <v>2051</v>
      </c>
      <c r="K37" s="188">
        <v>464</v>
      </c>
      <c r="L37" s="212"/>
      <c r="P37" s="950"/>
      <c r="Q37" s="955"/>
    </row>
    <row r="38" spans="1:33" ht="15.6">
      <c r="B38" s="209"/>
      <c r="C38" s="331">
        <v>16</v>
      </c>
      <c r="D38" s="210" t="s">
        <v>90</v>
      </c>
      <c r="E38" s="192" t="s">
        <v>84</v>
      </c>
      <c r="F38" s="188">
        <v>48</v>
      </c>
      <c r="G38" s="316">
        <v>547</v>
      </c>
      <c r="H38" s="188">
        <v>507</v>
      </c>
      <c r="I38" s="211">
        <v>7.3</v>
      </c>
      <c r="J38" s="188">
        <v>6498</v>
      </c>
      <c r="K38" s="188">
        <v>550</v>
      </c>
      <c r="L38" s="212"/>
      <c r="P38" s="950"/>
      <c r="Q38" s="955"/>
    </row>
    <row r="39" spans="1:33" ht="15.6">
      <c r="B39" s="209"/>
      <c r="C39" s="331">
        <v>17</v>
      </c>
      <c r="D39" s="210" t="s">
        <v>91</v>
      </c>
      <c r="E39" s="192" t="s">
        <v>89</v>
      </c>
      <c r="F39" s="188">
        <v>36</v>
      </c>
      <c r="G39" s="316">
        <v>497</v>
      </c>
      <c r="H39" s="188">
        <v>497</v>
      </c>
      <c r="I39" s="211">
        <v>0.1</v>
      </c>
      <c r="J39" s="188">
        <v>1297</v>
      </c>
      <c r="K39" s="188">
        <v>200</v>
      </c>
      <c r="L39" s="212"/>
      <c r="P39" s="950"/>
      <c r="Q39" s="955"/>
    </row>
    <row r="40" spans="1:33" ht="15.6">
      <c r="B40" s="209"/>
      <c r="C40" s="331">
        <v>18</v>
      </c>
      <c r="D40" s="210" t="s">
        <v>92</v>
      </c>
      <c r="E40" s="192" t="s">
        <v>93</v>
      </c>
      <c r="F40" s="188">
        <v>24</v>
      </c>
      <c r="G40" s="316">
        <v>651</v>
      </c>
      <c r="H40" s="188">
        <v>384</v>
      </c>
      <c r="I40" s="211">
        <v>41</v>
      </c>
      <c r="J40" s="188">
        <v>373</v>
      </c>
      <c r="K40" s="188">
        <v>203</v>
      </c>
      <c r="L40" s="212"/>
      <c r="P40" s="950"/>
      <c r="Q40" s="955"/>
    </row>
    <row r="41" spans="1:33" ht="15.6">
      <c r="B41" s="209"/>
      <c r="C41" s="328">
        <v>19</v>
      </c>
      <c r="D41" s="222" t="s">
        <v>94</v>
      </c>
      <c r="E41" s="219" t="s">
        <v>67</v>
      </c>
      <c r="F41" s="278">
        <v>24</v>
      </c>
      <c r="G41" s="315">
        <v>1600</v>
      </c>
      <c r="H41" s="278">
        <v>930</v>
      </c>
      <c r="I41" s="286">
        <v>41.9</v>
      </c>
      <c r="J41" s="278">
        <v>258</v>
      </c>
      <c r="K41" s="278">
        <v>464</v>
      </c>
      <c r="L41" s="287" t="s">
        <v>63</v>
      </c>
      <c r="P41" s="950"/>
      <c r="Q41" s="955"/>
    </row>
    <row r="42" spans="1:33" ht="15.6">
      <c r="B42" s="209"/>
      <c r="C42" s="332">
        <v>20</v>
      </c>
      <c r="D42" s="263" t="s">
        <v>95</v>
      </c>
      <c r="E42" s="254" t="s">
        <v>65</v>
      </c>
      <c r="F42" s="295">
        <v>20</v>
      </c>
      <c r="G42" s="314">
        <v>576</v>
      </c>
      <c r="H42" s="295">
        <v>255</v>
      </c>
      <c r="I42" s="296">
        <v>55.7</v>
      </c>
      <c r="J42" s="295">
        <v>415</v>
      </c>
      <c r="K42" s="295">
        <v>319</v>
      </c>
      <c r="L42" s="290"/>
      <c r="P42" s="950"/>
      <c r="Q42" s="955"/>
    </row>
    <row r="43" spans="1:33" ht="16.149999999999999" thickBot="1">
      <c r="B43" s="209"/>
      <c r="C43" s="333">
        <v>21</v>
      </c>
      <c r="D43" s="289" t="s">
        <v>96</v>
      </c>
      <c r="E43" s="258" t="s">
        <v>67</v>
      </c>
      <c r="F43" s="278">
        <v>32</v>
      </c>
      <c r="G43" s="315">
        <v>2120</v>
      </c>
      <c r="H43" s="278">
        <v>954</v>
      </c>
      <c r="I43" s="286">
        <v>55</v>
      </c>
      <c r="J43" s="278">
        <v>450</v>
      </c>
      <c r="K43" s="278">
        <v>406</v>
      </c>
      <c r="L43" s="287" t="s">
        <v>63</v>
      </c>
      <c r="P43" s="950"/>
      <c r="Q43" s="955"/>
    </row>
    <row r="44" spans="1:33" s="317" customFormat="1" ht="25.5" customHeight="1" thickBot="1">
      <c r="D44" s="1264" t="s">
        <v>168</v>
      </c>
      <c r="E44" s="1265"/>
      <c r="F44" s="1266"/>
      <c r="G44" s="206">
        <f>SUM(G23:G43)</f>
        <v>27827</v>
      </c>
      <c r="H44" s="206">
        <f>SUM(H23:H43)</f>
        <v>15145</v>
      </c>
      <c r="I44" s="320"/>
      <c r="J44" s="320"/>
      <c r="K44" s="319"/>
      <c r="P44" s="958"/>
      <c r="Q44" s="958"/>
    </row>
    <row r="45" spans="1:33" ht="23.25" customHeight="1" thickBot="1">
      <c r="G45" s="1"/>
      <c r="H45" s="208">
        <f>ROUNDDOWN(H44, -3)</f>
        <v>15000</v>
      </c>
      <c r="I45" s="1"/>
      <c r="P45" s="955"/>
      <c r="Q45" s="955"/>
    </row>
    <row r="46" spans="1:33" ht="20.25" customHeight="1" thickBot="1">
      <c r="E46" s="1"/>
      <c r="F46" s="1"/>
      <c r="G46" s="1"/>
      <c r="H46" s="1"/>
      <c r="I46" s="1"/>
      <c r="J46" s="1"/>
      <c r="P46" s="955"/>
      <c r="Q46" s="955"/>
    </row>
    <row r="47" spans="1:33" ht="30" customHeight="1" thickBot="1">
      <c r="A47" s="23"/>
      <c r="B47" s="23"/>
      <c r="C47" s="23"/>
      <c r="D47" s="1252" t="s">
        <v>225</v>
      </c>
      <c r="E47" s="1383"/>
      <c r="F47" s="1383"/>
      <c r="G47" s="1383"/>
      <c r="H47" s="1383"/>
      <c r="I47" s="1383"/>
      <c r="J47" s="1383"/>
      <c r="K47" s="1383"/>
      <c r="L47" s="1384"/>
      <c r="M47" s="23"/>
      <c r="N47" s="23"/>
      <c r="O47" s="23"/>
      <c r="P47" s="955"/>
      <c r="Q47" s="955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27" thickBot="1">
      <c r="B48" s="178"/>
      <c r="C48" s="179" t="s">
        <v>156</v>
      </c>
      <c r="D48" s="179" t="s">
        <v>31</v>
      </c>
      <c r="E48" s="180" t="s">
        <v>32</v>
      </c>
      <c r="F48" s="180" t="s">
        <v>33</v>
      </c>
      <c r="G48" s="180" t="s">
        <v>34</v>
      </c>
      <c r="H48" s="180" t="s">
        <v>35</v>
      </c>
      <c r="I48" s="180" t="s">
        <v>37</v>
      </c>
      <c r="J48" s="182" t="s">
        <v>38</v>
      </c>
      <c r="K48" s="182" t="s">
        <v>39</v>
      </c>
      <c r="L48" s="183" t="s">
        <v>40</v>
      </c>
      <c r="T48" s="430"/>
      <c r="U48" s="430"/>
      <c r="V48" s="430"/>
    </row>
    <row r="49" spans="2:22" s="264" customFormat="1" ht="15.6">
      <c r="B49" s="262"/>
      <c r="C49" s="222">
        <v>1</v>
      </c>
      <c r="D49" s="288" t="s">
        <v>98</v>
      </c>
      <c r="E49" s="283" t="s">
        <v>99</v>
      </c>
      <c r="F49" s="284">
        <v>36</v>
      </c>
      <c r="G49" s="284">
        <v>1833</v>
      </c>
      <c r="H49" s="278">
        <v>1173.1200000000001</v>
      </c>
      <c r="I49" s="278">
        <v>36</v>
      </c>
      <c r="J49" s="284">
        <v>330</v>
      </c>
      <c r="K49" s="284">
        <v>330</v>
      </c>
      <c r="L49" s="287"/>
      <c r="M49" s="439"/>
      <c r="N49" s="439"/>
      <c r="O49" s="439"/>
      <c r="P49" s="321"/>
      <c r="Q49" s="439"/>
      <c r="R49" s="439"/>
      <c r="S49" s="439"/>
      <c r="T49" s="321"/>
      <c r="U49" s="321"/>
      <c r="V49" s="321"/>
    </row>
    <row r="50" spans="2:22" ht="15" customHeight="1">
      <c r="B50" s="209"/>
      <c r="C50" s="210">
        <v>2</v>
      </c>
      <c r="D50" s="216" t="s">
        <v>100</v>
      </c>
      <c r="E50" s="192" t="s">
        <v>101</v>
      </c>
      <c r="F50" s="193">
        <v>36</v>
      </c>
      <c r="G50" s="193">
        <v>1000</v>
      </c>
      <c r="H50" s="194">
        <v>999.5</v>
      </c>
      <c r="I50" s="194">
        <v>0.05</v>
      </c>
      <c r="J50" s="193">
        <v>307</v>
      </c>
      <c r="K50" s="193">
        <v>140</v>
      </c>
      <c r="L50" s="310"/>
      <c r="M50" s="217"/>
      <c r="P50" s="430"/>
      <c r="T50" s="430"/>
      <c r="U50" s="430"/>
      <c r="V50" s="430"/>
    </row>
    <row r="51" spans="2:22" ht="15.6">
      <c r="B51" s="209"/>
      <c r="C51" s="210">
        <v>3</v>
      </c>
      <c r="D51" s="216" t="s">
        <v>104</v>
      </c>
      <c r="E51" s="192" t="s">
        <v>105</v>
      </c>
      <c r="F51" s="193">
        <v>24</v>
      </c>
      <c r="G51" s="193">
        <v>806</v>
      </c>
      <c r="H51" s="194">
        <v>353.26979999999998</v>
      </c>
      <c r="I51" s="194">
        <v>56.17</v>
      </c>
      <c r="J51" s="193">
        <v>366</v>
      </c>
      <c r="K51" s="193">
        <v>280</v>
      </c>
      <c r="L51" s="310"/>
      <c r="P51" s="430"/>
      <c r="T51" s="430"/>
      <c r="U51" s="430"/>
      <c r="V51" s="430"/>
    </row>
    <row r="52" spans="2:22" ht="15.6">
      <c r="B52" s="209"/>
      <c r="C52" s="222">
        <v>4</v>
      </c>
      <c r="D52" s="218" t="s">
        <v>106</v>
      </c>
      <c r="E52" s="219" t="s">
        <v>103</v>
      </c>
      <c r="F52" s="220">
        <v>28</v>
      </c>
      <c r="G52" s="220">
        <v>1343</v>
      </c>
      <c r="H52" s="221">
        <v>972.0634</v>
      </c>
      <c r="I52" s="221">
        <v>27.62</v>
      </c>
      <c r="J52" s="220">
        <v>833</v>
      </c>
      <c r="K52" s="220">
        <v>315</v>
      </c>
      <c r="L52" s="287" t="s">
        <v>63</v>
      </c>
      <c r="P52" s="430"/>
      <c r="T52" s="430"/>
      <c r="U52" s="430"/>
      <c r="V52" s="430"/>
    </row>
    <row r="53" spans="2:22" ht="24">
      <c r="B53" s="209"/>
      <c r="C53" s="222">
        <v>5</v>
      </c>
      <c r="D53" s="218" t="s">
        <v>107</v>
      </c>
      <c r="E53" s="219" t="s">
        <v>103</v>
      </c>
      <c r="F53" s="220">
        <v>28</v>
      </c>
      <c r="G53" s="221">
        <v>745.48</v>
      </c>
      <c r="H53" s="221">
        <v>339.93888000000004</v>
      </c>
      <c r="I53" s="221">
        <v>54.4</v>
      </c>
      <c r="J53" s="220">
        <v>600</v>
      </c>
      <c r="K53" s="220">
        <v>130</v>
      </c>
      <c r="L53" s="324" t="s">
        <v>179</v>
      </c>
      <c r="P53" s="430"/>
      <c r="T53" s="430"/>
      <c r="U53" s="430"/>
      <c r="V53" s="430"/>
    </row>
    <row r="54" spans="2:22" ht="15.6">
      <c r="B54" s="209"/>
      <c r="C54" s="210">
        <v>6</v>
      </c>
      <c r="D54" s="216" t="s">
        <v>109</v>
      </c>
      <c r="E54" s="192" t="s">
        <v>110</v>
      </c>
      <c r="F54" s="193">
        <v>32</v>
      </c>
      <c r="G54" s="193">
        <v>1364</v>
      </c>
      <c r="H54" s="194">
        <v>665.63199999999995</v>
      </c>
      <c r="I54" s="194">
        <v>51.2</v>
      </c>
      <c r="J54" s="193">
        <v>305</v>
      </c>
      <c r="K54" s="193">
        <v>190</v>
      </c>
      <c r="L54" s="310"/>
      <c r="P54" s="430"/>
      <c r="T54" s="430"/>
      <c r="U54" s="430"/>
      <c r="V54" s="430"/>
    </row>
    <row r="55" spans="2:22" ht="15.6">
      <c r="B55" s="209"/>
      <c r="C55" s="210">
        <v>7</v>
      </c>
      <c r="D55" s="216" t="s">
        <v>111</v>
      </c>
      <c r="E55" s="192" t="s">
        <v>99</v>
      </c>
      <c r="F55" s="193">
        <v>36</v>
      </c>
      <c r="G55" s="193">
        <v>2467</v>
      </c>
      <c r="H55" s="194">
        <v>1245.835</v>
      </c>
      <c r="I55" s="194">
        <v>49.5</v>
      </c>
      <c r="J55" s="193">
        <v>324</v>
      </c>
      <c r="K55" s="193">
        <v>390</v>
      </c>
      <c r="L55" s="310"/>
      <c r="P55" s="430"/>
      <c r="T55" s="430"/>
      <c r="U55" s="430"/>
      <c r="V55" s="430"/>
    </row>
    <row r="56" spans="2:22" ht="15.6">
      <c r="B56" s="209"/>
      <c r="C56" s="210">
        <v>8</v>
      </c>
      <c r="D56" s="216" t="s">
        <v>112</v>
      </c>
      <c r="E56" s="192" t="s">
        <v>103</v>
      </c>
      <c r="F56" s="193">
        <v>56</v>
      </c>
      <c r="G56" s="193">
        <v>5950</v>
      </c>
      <c r="H56" s="194">
        <v>5947.0250000000005</v>
      </c>
      <c r="I56" s="194">
        <v>0.05</v>
      </c>
      <c r="J56" s="193">
        <v>473</v>
      </c>
      <c r="K56" s="193">
        <v>610</v>
      </c>
      <c r="L56" s="322"/>
      <c r="P56" s="430"/>
      <c r="T56" s="430"/>
      <c r="U56" s="430"/>
      <c r="V56" s="430"/>
    </row>
    <row r="57" spans="2:22" ht="15.6">
      <c r="B57" s="209"/>
      <c r="C57" s="210">
        <v>9</v>
      </c>
      <c r="D57" s="253" t="s">
        <v>113</v>
      </c>
      <c r="E57" s="254" t="s">
        <v>103</v>
      </c>
      <c r="F57" s="255">
        <v>36</v>
      </c>
      <c r="G57" s="255">
        <v>2181</v>
      </c>
      <c r="H57" s="197">
        <v>2006.52</v>
      </c>
      <c r="I57" s="197">
        <v>8</v>
      </c>
      <c r="J57" s="255">
        <v>380</v>
      </c>
      <c r="K57" s="255">
        <v>330</v>
      </c>
      <c r="L57" s="311"/>
      <c r="P57" s="430"/>
      <c r="T57" s="430"/>
      <c r="U57" s="430"/>
      <c r="V57" s="430"/>
    </row>
    <row r="58" spans="2:22" ht="15.6">
      <c r="B58" s="209"/>
      <c r="C58" s="210">
        <v>10</v>
      </c>
      <c r="D58" s="216" t="s">
        <v>114</v>
      </c>
      <c r="E58" s="192" t="s">
        <v>99</v>
      </c>
      <c r="F58" s="193">
        <v>40</v>
      </c>
      <c r="G58" s="193">
        <v>707</v>
      </c>
      <c r="H58" s="194">
        <v>445.97560000000004</v>
      </c>
      <c r="I58" s="194">
        <v>36.92</v>
      </c>
      <c r="J58" s="193">
        <v>381</v>
      </c>
      <c r="K58" s="193">
        <v>310</v>
      </c>
      <c r="L58" s="310"/>
      <c r="P58" s="430"/>
      <c r="T58" s="430"/>
      <c r="U58" s="430"/>
      <c r="V58" s="430"/>
    </row>
    <row r="59" spans="2:22" ht="15.6">
      <c r="B59" s="209"/>
      <c r="C59" s="210">
        <v>11</v>
      </c>
      <c r="D59" s="216" t="s">
        <v>115</v>
      </c>
      <c r="E59" s="192" t="s">
        <v>105</v>
      </c>
      <c r="F59" s="193">
        <v>20</v>
      </c>
      <c r="G59" s="193">
        <v>2240</v>
      </c>
      <c r="H59" s="194">
        <v>1328.096</v>
      </c>
      <c r="I59" s="194">
        <v>40.71</v>
      </c>
      <c r="J59" s="193">
        <v>443</v>
      </c>
      <c r="K59" s="193">
        <v>320</v>
      </c>
      <c r="L59" s="310"/>
      <c r="P59" s="430"/>
      <c r="T59" s="430"/>
      <c r="U59" s="430"/>
      <c r="V59" s="430"/>
    </row>
    <row r="60" spans="2:22" ht="15.6">
      <c r="B60" s="209"/>
      <c r="C60" s="210">
        <v>12</v>
      </c>
      <c r="D60" s="216" t="s">
        <v>116</v>
      </c>
      <c r="E60" s="192" t="s">
        <v>117</v>
      </c>
      <c r="F60" s="193">
        <v>28</v>
      </c>
      <c r="G60" s="193">
        <v>641</v>
      </c>
      <c r="H60" s="194">
        <v>246.52860000000001</v>
      </c>
      <c r="I60" s="194">
        <v>61.54</v>
      </c>
      <c r="J60" s="193">
        <v>805</v>
      </c>
      <c r="K60" s="193">
        <v>190</v>
      </c>
      <c r="L60" s="310"/>
      <c r="P60" s="430"/>
      <c r="T60" s="430"/>
      <c r="U60" s="430"/>
      <c r="V60" s="430"/>
    </row>
    <row r="61" spans="2:22" s="264" customFormat="1" ht="15.6">
      <c r="B61" s="262"/>
      <c r="C61" s="263">
        <v>13</v>
      </c>
      <c r="D61" s="253" t="s">
        <v>118</v>
      </c>
      <c r="E61" s="254" t="s">
        <v>99</v>
      </c>
      <c r="F61" s="255">
        <v>24</v>
      </c>
      <c r="G61" s="255">
        <v>931</v>
      </c>
      <c r="H61" s="197">
        <v>427.14280000000002</v>
      </c>
      <c r="I61" s="197">
        <v>54.12</v>
      </c>
      <c r="J61" s="255">
        <v>380</v>
      </c>
      <c r="K61" s="255">
        <v>310</v>
      </c>
      <c r="L61" s="290"/>
      <c r="M61" s="439"/>
      <c r="N61" s="439"/>
      <c r="O61" s="439"/>
      <c r="P61" s="321"/>
      <c r="Q61" s="439"/>
      <c r="R61" s="439"/>
      <c r="S61" s="439"/>
      <c r="T61" s="321"/>
      <c r="U61" s="321"/>
      <c r="V61" s="321"/>
    </row>
    <row r="62" spans="2:22" ht="15.6">
      <c r="B62" s="209"/>
      <c r="C62" s="210">
        <v>14</v>
      </c>
      <c r="D62" s="216" t="s">
        <v>119</v>
      </c>
      <c r="E62" s="192" t="s">
        <v>103</v>
      </c>
      <c r="F62" s="193">
        <v>28</v>
      </c>
      <c r="G62" s="193">
        <v>688</v>
      </c>
      <c r="H62" s="194">
        <v>344</v>
      </c>
      <c r="I62" s="194">
        <v>50</v>
      </c>
      <c r="J62" s="193">
        <v>455</v>
      </c>
      <c r="K62" s="193">
        <v>200</v>
      </c>
      <c r="L62" s="310"/>
      <c r="P62" s="430"/>
      <c r="T62" s="430"/>
      <c r="U62" s="430"/>
      <c r="V62" s="430"/>
    </row>
    <row r="63" spans="2:22" ht="15.6">
      <c r="B63" s="209"/>
      <c r="C63" s="210">
        <v>15</v>
      </c>
      <c r="D63" s="216" t="s">
        <v>120</v>
      </c>
      <c r="E63" s="192" t="s">
        <v>101</v>
      </c>
      <c r="F63" s="193">
        <v>20</v>
      </c>
      <c r="G63" s="193">
        <v>596</v>
      </c>
      <c r="H63" s="194">
        <v>309.92</v>
      </c>
      <c r="I63" s="194">
        <v>48</v>
      </c>
      <c r="J63" s="193">
        <v>295</v>
      </c>
      <c r="K63" s="193">
        <v>130</v>
      </c>
      <c r="L63" s="310"/>
      <c r="N63" s="959"/>
      <c r="P63" s="430"/>
      <c r="T63" s="430"/>
      <c r="U63" s="430"/>
      <c r="V63" s="430"/>
    </row>
    <row r="64" spans="2:22" ht="15.6">
      <c r="B64" s="209"/>
      <c r="C64" s="210">
        <v>16</v>
      </c>
      <c r="D64" s="216" t="s">
        <v>121</v>
      </c>
      <c r="E64" s="192" t="s">
        <v>105</v>
      </c>
      <c r="F64" s="255">
        <v>24</v>
      </c>
      <c r="G64" s="255">
        <v>324</v>
      </c>
      <c r="H64" s="197">
        <v>188.76240000000001</v>
      </c>
      <c r="I64" s="197">
        <v>41.74</v>
      </c>
      <c r="J64" s="255">
        <v>280</v>
      </c>
      <c r="K64" s="255">
        <v>135</v>
      </c>
      <c r="L64" s="312" t="s">
        <v>165</v>
      </c>
      <c r="P64" s="430"/>
      <c r="T64" s="430"/>
      <c r="U64" s="430"/>
      <c r="V64" s="430"/>
    </row>
    <row r="65" spans="2:22" ht="15.6">
      <c r="B65" s="209"/>
      <c r="C65" s="210">
        <v>17</v>
      </c>
      <c r="D65" s="216" t="s">
        <v>122</v>
      </c>
      <c r="E65" s="192" t="s">
        <v>110</v>
      </c>
      <c r="F65" s="193">
        <v>24</v>
      </c>
      <c r="G65" s="193">
        <v>840</v>
      </c>
      <c r="H65" s="194">
        <v>764.4</v>
      </c>
      <c r="I65" s="194">
        <v>9</v>
      </c>
      <c r="J65" s="193">
        <v>379</v>
      </c>
      <c r="K65" s="193">
        <v>570</v>
      </c>
      <c r="L65" s="310"/>
      <c r="P65" s="430"/>
      <c r="T65" s="430"/>
      <c r="U65" s="430"/>
      <c r="V65" s="430"/>
    </row>
    <row r="66" spans="2:22" ht="15" customHeight="1">
      <c r="B66" s="209"/>
      <c r="C66" s="210">
        <v>18</v>
      </c>
      <c r="D66" s="216" t="s">
        <v>123</v>
      </c>
      <c r="E66" s="192" t="s">
        <v>124</v>
      </c>
      <c r="F66" s="193">
        <v>28</v>
      </c>
      <c r="G66" s="193">
        <v>450</v>
      </c>
      <c r="H66" s="194">
        <v>152.05500000000004</v>
      </c>
      <c r="I66" s="194">
        <v>66.209999999999994</v>
      </c>
      <c r="J66" s="194">
        <v>379</v>
      </c>
      <c r="K66" s="194">
        <v>330</v>
      </c>
      <c r="L66" s="312" t="s">
        <v>165</v>
      </c>
      <c r="P66" s="430"/>
      <c r="T66" s="430"/>
      <c r="U66" s="430"/>
      <c r="V66" s="430"/>
    </row>
    <row r="67" spans="2:22" ht="15.6">
      <c r="B67" s="209"/>
      <c r="C67" s="210">
        <v>19</v>
      </c>
      <c r="D67" s="216" t="s">
        <v>127</v>
      </c>
      <c r="E67" s="192" t="s">
        <v>101</v>
      </c>
      <c r="F67" s="193">
        <v>36</v>
      </c>
      <c r="G67" s="193">
        <v>3875</v>
      </c>
      <c r="H67" s="194">
        <v>988.9</v>
      </c>
      <c r="I67" s="194">
        <v>74.48</v>
      </c>
      <c r="J67" s="193">
        <v>307</v>
      </c>
      <c r="K67" s="193">
        <v>225</v>
      </c>
      <c r="L67" s="310"/>
      <c r="P67" s="430"/>
      <c r="T67" s="430"/>
      <c r="U67" s="430"/>
      <c r="V67" s="430"/>
    </row>
    <row r="68" spans="2:22" ht="15.6">
      <c r="B68" s="209"/>
      <c r="C68" s="210">
        <v>20</v>
      </c>
      <c r="D68" s="216" t="s">
        <v>128</v>
      </c>
      <c r="E68" s="192" t="s">
        <v>105</v>
      </c>
      <c r="F68" s="193">
        <v>24</v>
      </c>
      <c r="G68" s="193">
        <v>821</v>
      </c>
      <c r="H68" s="194">
        <v>179.79900000000004</v>
      </c>
      <c r="I68" s="194">
        <v>78.099999999999994</v>
      </c>
      <c r="J68" s="193">
        <v>285</v>
      </c>
      <c r="K68" s="193">
        <v>200</v>
      </c>
      <c r="L68" s="310"/>
      <c r="P68" s="430"/>
      <c r="T68" s="430"/>
      <c r="U68" s="430"/>
      <c r="V68" s="430"/>
    </row>
    <row r="69" spans="2:22" ht="15.6">
      <c r="B69" s="209"/>
      <c r="C69" s="263">
        <v>21</v>
      </c>
      <c r="D69" s="253" t="s">
        <v>129</v>
      </c>
      <c r="E69" s="254" t="s">
        <v>99</v>
      </c>
      <c r="F69" s="255">
        <v>20</v>
      </c>
      <c r="G69" s="255">
        <v>735</v>
      </c>
      <c r="H69" s="197">
        <v>339.423</v>
      </c>
      <c r="I69" s="197">
        <v>53.82</v>
      </c>
      <c r="J69" s="255">
        <v>325</v>
      </c>
      <c r="K69" s="255">
        <v>160</v>
      </c>
      <c r="L69" s="311" t="s">
        <v>165</v>
      </c>
      <c r="M69" s="952"/>
      <c r="P69" s="430"/>
      <c r="T69" s="430"/>
      <c r="U69" s="430"/>
      <c r="V69" s="430"/>
    </row>
    <row r="70" spans="2:22" ht="15.6">
      <c r="B70" s="209"/>
      <c r="C70" s="210">
        <v>22</v>
      </c>
      <c r="D70" s="216" t="s">
        <v>130</v>
      </c>
      <c r="E70" s="192" t="s">
        <v>105</v>
      </c>
      <c r="F70" s="193">
        <v>16</v>
      </c>
      <c r="G70" s="193">
        <v>919</v>
      </c>
      <c r="H70" s="194">
        <v>349.22</v>
      </c>
      <c r="I70" s="194">
        <v>62</v>
      </c>
      <c r="J70" s="193">
        <v>379</v>
      </c>
      <c r="K70" s="193">
        <v>180</v>
      </c>
      <c r="L70" s="310"/>
      <c r="P70" s="430"/>
      <c r="T70" s="430"/>
      <c r="U70" s="430"/>
      <c r="V70" s="430"/>
    </row>
    <row r="71" spans="2:22" ht="15.6">
      <c r="B71" s="209"/>
      <c r="C71" s="222">
        <v>23</v>
      </c>
      <c r="D71" s="218" t="s">
        <v>131</v>
      </c>
      <c r="E71" s="219" t="s">
        <v>110</v>
      </c>
      <c r="F71" s="220">
        <v>20</v>
      </c>
      <c r="G71" s="220">
        <v>744</v>
      </c>
      <c r="H71" s="221">
        <v>409.20000000000005</v>
      </c>
      <c r="I71" s="221">
        <v>45</v>
      </c>
      <c r="J71" s="220">
        <v>350</v>
      </c>
      <c r="K71" s="220">
        <v>390</v>
      </c>
      <c r="L71" s="338"/>
      <c r="P71" s="430"/>
      <c r="T71" s="430"/>
      <c r="U71" s="430"/>
      <c r="V71" s="430"/>
    </row>
    <row r="72" spans="2:22" ht="26.45">
      <c r="B72" s="209"/>
      <c r="C72" s="210">
        <v>24</v>
      </c>
      <c r="D72" s="216" t="s">
        <v>132</v>
      </c>
      <c r="E72" s="192" t="s">
        <v>133</v>
      </c>
      <c r="F72" s="193">
        <v>24</v>
      </c>
      <c r="G72" s="193">
        <v>900</v>
      </c>
      <c r="H72" s="194">
        <v>271.70999999999998</v>
      </c>
      <c r="I72" s="194">
        <v>69.81</v>
      </c>
      <c r="J72" s="193">
        <v>300</v>
      </c>
      <c r="K72" s="193">
        <v>140</v>
      </c>
      <c r="L72" s="310"/>
      <c r="P72" s="430"/>
      <c r="T72" s="430"/>
      <c r="U72" s="430"/>
      <c r="V72" s="430"/>
    </row>
    <row r="73" spans="2:22" ht="15.6">
      <c r="B73" s="209"/>
      <c r="C73" s="263">
        <v>25</v>
      </c>
      <c r="D73" s="253" t="s">
        <v>134</v>
      </c>
      <c r="E73" s="254" t="s">
        <v>135</v>
      </c>
      <c r="F73" s="255">
        <v>20</v>
      </c>
      <c r="G73" s="197">
        <v>764.36800000000005</v>
      </c>
      <c r="H73" s="197">
        <v>293.517312</v>
      </c>
      <c r="I73" s="197">
        <v>61.6</v>
      </c>
      <c r="J73" s="255">
        <v>1666</v>
      </c>
      <c r="K73" s="255">
        <v>462</v>
      </c>
      <c r="L73" s="323"/>
      <c r="P73" s="430"/>
      <c r="T73" s="430"/>
      <c r="U73" s="430"/>
      <c r="V73" s="430"/>
    </row>
    <row r="74" spans="2:22" ht="15.6">
      <c r="B74" s="209"/>
      <c r="C74" s="210">
        <v>26</v>
      </c>
      <c r="D74" s="216" t="s">
        <v>136</v>
      </c>
      <c r="E74" s="192" t="s">
        <v>105</v>
      </c>
      <c r="F74" s="193">
        <v>40</v>
      </c>
      <c r="G74" s="193">
        <v>2104</v>
      </c>
      <c r="H74" s="194">
        <v>882.62800000000004</v>
      </c>
      <c r="I74" s="194">
        <v>58.05</v>
      </c>
      <c r="J74" s="193">
        <v>280</v>
      </c>
      <c r="K74" s="193">
        <v>290</v>
      </c>
      <c r="L74" s="310"/>
      <c r="P74" s="430"/>
      <c r="T74" s="430"/>
      <c r="U74" s="430"/>
      <c r="V74" s="430"/>
    </row>
    <row r="75" spans="2:22" ht="16.149999999999999" thickBot="1">
      <c r="B75" s="209"/>
      <c r="C75" s="289">
        <v>27</v>
      </c>
      <c r="D75" s="257" t="s">
        <v>137</v>
      </c>
      <c r="E75" s="258" t="s">
        <v>110</v>
      </c>
      <c r="F75" s="259">
        <v>40</v>
      </c>
      <c r="G75" s="259">
        <v>2293</v>
      </c>
      <c r="H75" s="260">
        <v>835.33990000000006</v>
      </c>
      <c r="I75" s="260">
        <v>63.57</v>
      </c>
      <c r="J75" s="259">
        <v>348</v>
      </c>
      <c r="K75" s="259">
        <v>260</v>
      </c>
      <c r="L75" s="287" t="s">
        <v>63</v>
      </c>
      <c r="P75" s="430"/>
      <c r="T75" s="430"/>
      <c r="U75" s="430"/>
      <c r="V75" s="430"/>
    </row>
    <row r="76" spans="2:22" s="317" customFormat="1" ht="21" customHeight="1" thickBot="1">
      <c r="D76" s="1259" t="s">
        <v>168</v>
      </c>
      <c r="E76" s="1260"/>
      <c r="F76" s="1261"/>
      <c r="G76" s="224">
        <f>SUM(G49:G75)</f>
        <v>38261.847999999998</v>
      </c>
      <c r="H76" s="224">
        <f>SUM(H49:H75)</f>
        <v>22459.521691999998</v>
      </c>
      <c r="I76" s="318"/>
      <c r="J76" s="319"/>
      <c r="K76" s="318"/>
      <c r="T76" s="960"/>
      <c r="U76" s="960"/>
      <c r="V76" s="960"/>
    </row>
    <row r="77" spans="2:22" ht="20.25" customHeight="1" thickBot="1">
      <c r="E77" s="1251"/>
      <c r="F77" s="1382"/>
      <c r="G77" s="1"/>
      <c r="H77" s="208">
        <f>H76*1</f>
        <v>22459.521691999998</v>
      </c>
      <c r="I77" s="1"/>
      <c r="K77" s="1"/>
    </row>
    <row r="78" spans="2:22" ht="15.6" thickBot="1">
      <c r="E78" s="1"/>
      <c r="F78" s="1"/>
      <c r="G78" s="1"/>
      <c r="H78" s="1"/>
      <c r="I78" s="1"/>
      <c r="J78" s="1"/>
      <c r="K78" s="1"/>
    </row>
    <row r="79" spans="2:22" ht="25.5" customHeight="1" thickBot="1">
      <c r="D79" s="1252" t="s">
        <v>226</v>
      </c>
      <c r="E79" s="1383"/>
      <c r="F79" s="1383"/>
      <c r="G79" s="1383"/>
      <c r="H79" s="1383"/>
      <c r="I79" s="1383"/>
      <c r="J79" s="1383"/>
      <c r="K79" s="1383"/>
      <c r="L79" s="1384"/>
    </row>
    <row r="80" spans="2:22" ht="27" thickBot="1">
      <c r="B80" s="178"/>
      <c r="C80" s="179" t="s">
        <v>156</v>
      </c>
      <c r="D80" s="179" t="s">
        <v>31</v>
      </c>
      <c r="E80" s="180" t="s">
        <v>32</v>
      </c>
      <c r="F80" s="180" t="s">
        <v>33</v>
      </c>
      <c r="G80" s="187" t="s">
        <v>34</v>
      </c>
      <c r="H80" s="187" t="s">
        <v>35</v>
      </c>
      <c r="I80" s="180" t="s">
        <v>37</v>
      </c>
      <c r="J80" s="182" t="s">
        <v>38</v>
      </c>
      <c r="K80" s="182" t="s">
        <v>39</v>
      </c>
      <c r="L80" s="226" t="s">
        <v>40</v>
      </c>
    </row>
    <row r="81" spans="2:16" ht="15.6">
      <c r="B81" s="209"/>
      <c r="C81" s="210">
        <v>1</v>
      </c>
      <c r="D81" s="227" t="s">
        <v>139</v>
      </c>
      <c r="E81" s="228" t="s">
        <v>140</v>
      </c>
      <c r="F81" s="187">
        <v>20</v>
      </c>
      <c r="G81" s="194">
        <v>502.02384432635614</v>
      </c>
      <c r="H81" s="194">
        <v>441.78093461567016</v>
      </c>
      <c r="I81" s="187">
        <v>12</v>
      </c>
      <c r="J81" s="432">
        <v>311</v>
      </c>
      <c r="K81" s="187">
        <v>240</v>
      </c>
      <c r="L81" s="190"/>
      <c r="P81" s="1"/>
    </row>
    <row r="82" spans="2:16" ht="15.6">
      <c r="B82" s="209"/>
      <c r="C82" s="222">
        <v>2</v>
      </c>
      <c r="D82" s="334" t="s">
        <v>142</v>
      </c>
      <c r="E82" s="335" t="s">
        <v>143</v>
      </c>
      <c r="F82" s="220">
        <v>24</v>
      </c>
      <c r="G82" s="278">
        <v>458.35694681826453</v>
      </c>
      <c r="H82" s="278">
        <v>407.93771795374113</v>
      </c>
      <c r="I82" s="220">
        <v>11</v>
      </c>
      <c r="J82" s="336">
        <v>526</v>
      </c>
      <c r="K82" s="284">
        <v>260</v>
      </c>
      <c r="L82" s="280" t="s">
        <v>227</v>
      </c>
      <c r="P82" s="1"/>
    </row>
    <row r="83" spans="2:16" ht="15.6">
      <c r="B83" s="209"/>
      <c r="C83" s="210">
        <v>3</v>
      </c>
      <c r="D83" s="229" t="s">
        <v>144</v>
      </c>
      <c r="E83" s="230" t="s">
        <v>140</v>
      </c>
      <c r="F83" s="193">
        <v>36</v>
      </c>
      <c r="G83" s="194">
        <v>1807.2832586936433</v>
      </c>
      <c r="H83" s="194">
        <v>1373.5359218274787</v>
      </c>
      <c r="I83" s="193">
        <v>24</v>
      </c>
      <c r="J83" s="432">
        <v>1321</v>
      </c>
      <c r="K83" s="187">
        <v>900</v>
      </c>
      <c r="L83" s="231"/>
      <c r="P83" s="1"/>
    </row>
    <row r="84" spans="2:16" ht="16.149999999999999" thickBot="1">
      <c r="B84" s="209"/>
      <c r="C84" s="213">
        <v>4</v>
      </c>
      <c r="D84" s="232" t="s">
        <v>145</v>
      </c>
      <c r="E84" s="233" t="s">
        <v>146</v>
      </c>
      <c r="F84" s="200">
        <v>36</v>
      </c>
      <c r="G84" s="326">
        <v>2126.2116251395114</v>
      </c>
      <c r="H84" s="326">
        <v>1966.7454256031099</v>
      </c>
      <c r="I84" s="194">
        <v>7.5</v>
      </c>
      <c r="J84" s="432">
        <v>404</v>
      </c>
      <c r="K84" s="187">
        <v>520</v>
      </c>
      <c r="L84" s="234"/>
      <c r="P84" s="1"/>
    </row>
    <row r="85" spans="2:16" s="317" customFormat="1" ht="24.75" customHeight="1" thickBot="1">
      <c r="D85" s="1259" t="s">
        <v>168</v>
      </c>
      <c r="E85" s="1260"/>
      <c r="F85" s="1261"/>
      <c r="G85" s="206">
        <f>SUM(G81:G84)</f>
        <v>4893.8756749777749</v>
      </c>
      <c r="H85" s="206">
        <f>SUM(H81:H84)</f>
        <v>4190</v>
      </c>
      <c r="I85" s="320"/>
      <c r="J85" s="320"/>
      <c r="K85" s="320"/>
    </row>
    <row r="86" spans="2:16" ht="20.45" customHeight="1" thickBot="1">
      <c r="G86" s="1"/>
      <c r="H86" s="208">
        <f>H85*1</f>
        <v>4190</v>
      </c>
      <c r="I86" s="1"/>
      <c r="K86" s="1"/>
    </row>
    <row r="87" spans="2:16">
      <c r="E87" s="1"/>
      <c r="F87" s="1"/>
      <c r="G87" s="1"/>
      <c r="H87" s="1"/>
      <c r="I87" s="1"/>
      <c r="J87" s="1"/>
      <c r="K87" s="1"/>
    </row>
    <row r="88" spans="2:16">
      <c r="E88" s="1"/>
      <c r="F88" s="1"/>
      <c r="G88" s="1"/>
      <c r="H88" s="1"/>
      <c r="I88" s="1"/>
      <c r="J88" s="1"/>
      <c r="K88" s="1"/>
    </row>
    <row r="89" spans="2:16">
      <c r="E89" s="1"/>
      <c r="F89" s="1"/>
      <c r="G89" s="1"/>
      <c r="H89" s="1"/>
      <c r="I89" s="1"/>
      <c r="J89" s="1"/>
      <c r="K89" s="1"/>
    </row>
    <row r="90" spans="2:16">
      <c r="E90" s="1"/>
      <c r="F90" s="1"/>
      <c r="G90" s="1"/>
      <c r="H90" s="1"/>
      <c r="I90" s="1"/>
      <c r="J90" s="1"/>
      <c r="K90" s="1"/>
    </row>
    <row r="91" spans="2:16">
      <c r="E91" s="1"/>
      <c r="F91" s="1"/>
      <c r="G91" s="1"/>
      <c r="H91" s="1"/>
      <c r="I91" s="1"/>
      <c r="J91" s="1"/>
      <c r="K91" s="1"/>
    </row>
    <row r="92" spans="2:16">
      <c r="E92" s="1"/>
      <c r="F92" s="1"/>
      <c r="G92" s="1"/>
      <c r="H92" s="1"/>
      <c r="I92" s="1"/>
      <c r="J92" s="1"/>
      <c r="K92" s="1"/>
    </row>
    <row r="93" spans="2:16">
      <c r="E93" s="1"/>
      <c r="F93" s="1"/>
      <c r="G93" s="1"/>
      <c r="H93" s="1"/>
      <c r="I93" s="1"/>
      <c r="J93" s="1"/>
      <c r="K93" s="1"/>
    </row>
    <row r="94" spans="2:16">
      <c r="E94" s="1"/>
      <c r="F94" s="1"/>
      <c r="G94" s="1"/>
      <c r="H94" s="1"/>
      <c r="I94" s="1"/>
      <c r="J94" s="1"/>
      <c r="K94" s="1"/>
    </row>
    <row r="95" spans="2:16">
      <c r="E95" s="1"/>
      <c r="F95" s="1"/>
      <c r="G95" s="1"/>
      <c r="H95" s="1"/>
      <c r="I95" s="1"/>
      <c r="J95" s="1"/>
      <c r="K95" s="1"/>
    </row>
    <row r="96" spans="2:16">
      <c r="E96" s="1"/>
      <c r="F96" s="1"/>
      <c r="G96" s="1"/>
      <c r="H96" s="1"/>
      <c r="I96" s="1"/>
      <c r="J96" s="1"/>
      <c r="K96" s="1"/>
    </row>
    <row r="97" spans="5:11">
      <c r="E97" s="1"/>
      <c r="F97" s="1"/>
      <c r="G97" s="1"/>
      <c r="H97" s="1"/>
      <c r="I97" s="1"/>
      <c r="J97" s="1"/>
      <c r="K97" s="1"/>
    </row>
    <row r="98" spans="5:11">
      <c r="E98" s="1"/>
      <c r="F98" s="1"/>
      <c r="G98" s="1"/>
      <c r="H98" s="1"/>
      <c r="I98" s="1"/>
      <c r="J98" s="1"/>
      <c r="K98" s="1"/>
    </row>
    <row r="99" spans="5:11">
      <c r="E99" s="1"/>
      <c r="F99" s="1"/>
      <c r="G99" s="1"/>
      <c r="H99" s="1"/>
      <c r="I99" s="1"/>
      <c r="J99" s="1"/>
      <c r="K99" s="1"/>
    </row>
    <row r="100" spans="5:11">
      <c r="E100" s="1"/>
      <c r="F100" s="1"/>
      <c r="G100" s="1"/>
      <c r="H100" s="1"/>
      <c r="I100" s="1"/>
      <c r="J100" s="1"/>
      <c r="K100" s="1"/>
    </row>
    <row r="101" spans="5:11">
      <c r="E101" s="1"/>
      <c r="F101" s="1"/>
      <c r="G101" s="1"/>
      <c r="H101" s="1"/>
      <c r="I101" s="1"/>
      <c r="J101" s="1"/>
      <c r="K101" s="1"/>
    </row>
    <row r="102" spans="5:11">
      <c r="E102" s="1"/>
      <c r="F102" s="1"/>
      <c r="G102" s="1"/>
      <c r="H102" s="1"/>
      <c r="I102" s="1"/>
      <c r="J102" s="1"/>
      <c r="K102" s="1"/>
    </row>
    <row r="103" spans="5:11">
      <c r="E103" s="1"/>
      <c r="F103" s="1"/>
      <c r="G103" s="1"/>
      <c r="H103" s="1"/>
      <c r="I103" s="1"/>
      <c r="J103" s="1"/>
      <c r="K103" s="1"/>
    </row>
    <row r="104" spans="5:11">
      <c r="E104" s="1"/>
      <c r="F104" s="1"/>
      <c r="G104" s="1"/>
      <c r="H104" s="1"/>
      <c r="I104" s="1"/>
      <c r="J104" s="1"/>
      <c r="K104" s="1"/>
    </row>
    <row r="105" spans="5:11">
      <c r="E105" s="1"/>
      <c r="F105" s="1"/>
      <c r="G105" s="1"/>
      <c r="H105" s="1"/>
      <c r="I105" s="1"/>
      <c r="J105" s="1"/>
      <c r="K105" s="1"/>
    </row>
    <row r="106" spans="5:11">
      <c r="E106" s="1"/>
      <c r="F106" s="1"/>
      <c r="G106" s="1"/>
      <c r="H106" s="1"/>
      <c r="I106" s="1"/>
      <c r="J106" s="1"/>
      <c r="K106" s="1"/>
    </row>
    <row r="107" spans="5:11">
      <c r="E107" s="1"/>
      <c r="F107" s="1"/>
      <c r="G107" s="1"/>
      <c r="H107" s="1"/>
      <c r="I107" s="1"/>
      <c r="J107" s="1"/>
      <c r="K107" s="1"/>
    </row>
    <row r="108" spans="5:11">
      <c r="E108" s="1"/>
      <c r="F108" s="1"/>
      <c r="G108" s="1"/>
      <c r="H108" s="1"/>
      <c r="I108" s="1"/>
      <c r="J108" s="1"/>
      <c r="K108" s="1"/>
    </row>
    <row r="109" spans="5:11">
      <c r="E109" s="1"/>
      <c r="F109" s="1"/>
      <c r="G109" s="1"/>
      <c r="H109" s="1"/>
      <c r="I109" s="1"/>
      <c r="J109" s="1"/>
      <c r="K109" s="1"/>
    </row>
    <row r="110" spans="5:11">
      <c r="E110" s="1"/>
      <c r="F110" s="1"/>
      <c r="G110" s="1"/>
      <c r="H110" s="1"/>
      <c r="I110" s="1"/>
      <c r="J110" s="1"/>
      <c r="K110" s="1"/>
    </row>
    <row r="111" spans="5:11">
      <c r="E111" s="1"/>
      <c r="F111" s="1"/>
      <c r="G111" s="1"/>
      <c r="H111" s="1"/>
      <c r="I111" s="1"/>
      <c r="J111" s="1"/>
      <c r="K111" s="1"/>
    </row>
    <row r="112" spans="5:11">
      <c r="E112" s="1"/>
      <c r="F112" s="1"/>
      <c r="G112" s="1"/>
      <c r="H112" s="1"/>
      <c r="I112" s="1"/>
      <c r="J112" s="1"/>
      <c r="K112" s="1"/>
    </row>
    <row r="113" spans="5:11">
      <c r="E113" s="1"/>
      <c r="F113" s="1"/>
      <c r="G113" s="1"/>
      <c r="H113" s="1"/>
      <c r="I113" s="1"/>
      <c r="J113" s="1"/>
      <c r="K113" s="1"/>
    </row>
    <row r="114" spans="5:11">
      <c r="E114" s="1"/>
      <c r="F114" s="1"/>
      <c r="G114" s="1"/>
      <c r="H114" s="1"/>
      <c r="I114" s="1"/>
      <c r="J114" s="1"/>
      <c r="K114" s="1"/>
    </row>
    <row r="115" spans="5:11">
      <c r="E115" s="1"/>
      <c r="F115" s="1"/>
      <c r="G115" s="1"/>
      <c r="H115" s="1"/>
      <c r="I115" s="1"/>
      <c r="J115" s="1"/>
      <c r="K115" s="1"/>
    </row>
    <row r="116" spans="5:11">
      <c r="E116" s="1"/>
      <c r="F116" s="1"/>
      <c r="G116" s="1"/>
      <c r="H116" s="1"/>
      <c r="I116" s="1"/>
      <c r="J116" s="1"/>
      <c r="K116" s="1"/>
    </row>
    <row r="117" spans="5:11">
      <c r="E117" s="1"/>
      <c r="F117" s="1"/>
      <c r="G117" s="1"/>
      <c r="H117" s="1"/>
      <c r="I117" s="1"/>
      <c r="J117" s="1"/>
      <c r="K117" s="1"/>
    </row>
    <row r="118" spans="5:11">
      <c r="E118" s="1"/>
      <c r="F118" s="1"/>
      <c r="G118" s="1"/>
      <c r="H118" s="1"/>
      <c r="I118" s="1"/>
      <c r="J118" s="1"/>
      <c r="K118" s="1"/>
    </row>
    <row r="119" spans="5:11">
      <c r="E119" s="1"/>
      <c r="F119" s="1"/>
      <c r="G119" s="1"/>
      <c r="H119" s="1"/>
      <c r="I119" s="1"/>
      <c r="J119" s="1"/>
      <c r="K119" s="1"/>
    </row>
    <row r="120" spans="5:11">
      <c r="E120" s="1"/>
      <c r="F120" s="1"/>
      <c r="G120" s="1"/>
      <c r="H120" s="1"/>
      <c r="I120" s="1"/>
      <c r="J120" s="1"/>
      <c r="K120" s="1"/>
    </row>
    <row r="121" spans="5:11">
      <c r="E121" s="1"/>
      <c r="F121" s="1"/>
      <c r="G121" s="1"/>
      <c r="H121" s="1"/>
      <c r="I121" s="1"/>
      <c r="J121" s="1"/>
      <c r="K121" s="1"/>
    </row>
    <row r="122" spans="5:11">
      <c r="E122" s="1"/>
      <c r="F122" s="1"/>
      <c r="G122" s="1"/>
      <c r="H122" s="1"/>
      <c r="I122" s="1"/>
      <c r="J122" s="1"/>
      <c r="K122" s="1"/>
    </row>
    <row r="123" spans="5:11">
      <c r="E123" s="1"/>
      <c r="F123" s="1"/>
      <c r="G123" s="1"/>
      <c r="H123" s="1"/>
      <c r="I123" s="1"/>
      <c r="J123" s="1"/>
      <c r="K123" s="1"/>
    </row>
    <row r="124" spans="5:11">
      <c r="E124" s="1"/>
      <c r="F124" s="1"/>
      <c r="G124" s="1"/>
      <c r="H124" s="1"/>
      <c r="I124" s="1"/>
      <c r="J124" s="1"/>
      <c r="K124" s="1"/>
    </row>
    <row r="125" spans="5:11">
      <c r="E125" s="1"/>
      <c r="F125" s="1"/>
      <c r="G125" s="1"/>
      <c r="H125" s="1"/>
      <c r="I125" s="1"/>
      <c r="J125" s="1"/>
      <c r="K125" s="1"/>
    </row>
    <row r="126" spans="5:11">
      <c r="E126" s="1"/>
      <c r="F126" s="1"/>
      <c r="G126" s="1"/>
      <c r="H126" s="1"/>
      <c r="I126" s="1"/>
      <c r="J126" s="1"/>
      <c r="K126" s="1"/>
    </row>
    <row r="127" spans="5:11">
      <c r="E127" s="1"/>
      <c r="F127" s="1"/>
      <c r="G127" s="1"/>
      <c r="H127" s="1"/>
      <c r="I127" s="1"/>
      <c r="J127" s="1"/>
      <c r="K127" s="1"/>
    </row>
    <row r="128" spans="5:11">
      <c r="E128" s="1"/>
      <c r="F128" s="1"/>
      <c r="G128" s="1"/>
      <c r="H128" s="1"/>
      <c r="I128" s="1"/>
      <c r="J128" s="1"/>
      <c r="K128" s="1"/>
    </row>
    <row r="129" spans="5:11">
      <c r="E129" s="1"/>
      <c r="F129" s="1"/>
      <c r="G129" s="1"/>
      <c r="H129" s="1"/>
      <c r="I129" s="1"/>
      <c r="J129" s="1"/>
      <c r="K129" s="1"/>
    </row>
    <row r="130" spans="5:11">
      <c r="E130" s="1"/>
      <c r="F130" s="1"/>
      <c r="G130" s="1"/>
      <c r="H130" s="1"/>
      <c r="I130" s="1"/>
      <c r="J130" s="1"/>
      <c r="K130" s="1"/>
    </row>
    <row r="131" spans="5:11">
      <c r="E131" s="1"/>
      <c r="F131" s="1"/>
      <c r="G131" s="1"/>
      <c r="H131" s="1"/>
      <c r="I131" s="1"/>
      <c r="J131" s="1"/>
      <c r="K131" s="1"/>
    </row>
    <row r="132" spans="5:11">
      <c r="E132" s="1"/>
      <c r="F132" s="1"/>
      <c r="G132" s="1"/>
      <c r="H132" s="1"/>
      <c r="I132" s="1"/>
      <c r="J132" s="1"/>
      <c r="K132" s="1"/>
    </row>
    <row r="133" spans="5:11">
      <c r="E133" s="1"/>
      <c r="F133" s="1"/>
      <c r="G133" s="1"/>
      <c r="H133" s="1"/>
      <c r="I133" s="1"/>
      <c r="J133" s="1"/>
      <c r="K133" s="1"/>
    </row>
    <row r="134" spans="5:11">
      <c r="E134" s="1"/>
      <c r="F134" s="1"/>
      <c r="G134" s="1"/>
      <c r="H134" s="1"/>
      <c r="I134" s="1"/>
      <c r="J134" s="1"/>
      <c r="K134" s="1"/>
    </row>
    <row r="135" spans="5:11">
      <c r="E135" s="1"/>
      <c r="F135" s="1"/>
      <c r="G135" s="1"/>
      <c r="H135" s="1"/>
      <c r="I135" s="1"/>
      <c r="J135" s="1"/>
      <c r="K135" s="1"/>
    </row>
    <row r="136" spans="5:11">
      <c r="E136" s="1"/>
      <c r="F136" s="1"/>
      <c r="G136" s="1"/>
      <c r="H136" s="1"/>
      <c r="I136" s="1"/>
      <c r="J136" s="1"/>
      <c r="K136" s="1"/>
    </row>
    <row r="137" spans="5:11">
      <c r="E137" s="1"/>
      <c r="F137" s="1"/>
      <c r="G137" s="1"/>
      <c r="H137" s="1"/>
      <c r="I137" s="1"/>
      <c r="J137" s="1"/>
      <c r="K137" s="1"/>
    </row>
    <row r="138" spans="5:11">
      <c r="E138" s="1"/>
      <c r="F138" s="1"/>
      <c r="G138" s="1"/>
      <c r="H138" s="1"/>
      <c r="I138" s="1"/>
      <c r="J138" s="1"/>
      <c r="K138" s="1"/>
    </row>
    <row r="139" spans="5:11">
      <c r="E139" s="1"/>
      <c r="F139" s="1"/>
      <c r="G139" s="1"/>
      <c r="H139" s="1"/>
      <c r="I139" s="1"/>
      <c r="J139" s="1"/>
      <c r="K139" s="1"/>
    </row>
    <row r="140" spans="5:11">
      <c r="E140" s="1"/>
      <c r="F140" s="1"/>
      <c r="G140" s="1"/>
      <c r="H140" s="1"/>
      <c r="I140" s="1"/>
      <c r="J140" s="1"/>
      <c r="K140" s="1"/>
    </row>
    <row r="141" spans="5:11">
      <c r="E141" s="1"/>
      <c r="F141" s="1"/>
      <c r="G141" s="1"/>
      <c r="H141" s="1"/>
      <c r="I141" s="1"/>
      <c r="J141" s="1"/>
      <c r="K141" s="1"/>
    </row>
    <row r="142" spans="5:11">
      <c r="E142" s="1"/>
      <c r="F142" s="1"/>
      <c r="G142" s="1"/>
      <c r="H142" s="1"/>
      <c r="I142" s="1"/>
      <c r="J142" s="1"/>
      <c r="K142" s="1"/>
    </row>
    <row r="143" spans="5:11">
      <c r="E143" s="1"/>
      <c r="F143" s="1"/>
      <c r="G143" s="1"/>
      <c r="H143" s="1"/>
      <c r="I143" s="1"/>
      <c r="J143" s="1"/>
      <c r="K143" s="1"/>
    </row>
    <row r="144" spans="5:11">
      <c r="E144" s="1"/>
      <c r="F144" s="1"/>
      <c r="G144" s="1"/>
      <c r="H144" s="1"/>
      <c r="I144" s="1"/>
      <c r="J144" s="1"/>
      <c r="K144" s="1"/>
    </row>
    <row r="145" spans="5:11">
      <c r="E145" s="1"/>
      <c r="F145" s="1"/>
      <c r="G145" s="1"/>
      <c r="H145" s="1"/>
      <c r="I145" s="1"/>
      <c r="J145" s="1"/>
      <c r="K145" s="1"/>
    </row>
    <row r="146" spans="5:11">
      <c r="E146" s="1"/>
      <c r="F146" s="1"/>
      <c r="G146" s="1"/>
      <c r="H146" s="1"/>
      <c r="I146" s="1"/>
      <c r="J146" s="1"/>
      <c r="K146" s="1"/>
    </row>
    <row r="147" spans="5:11">
      <c r="E147" s="1"/>
      <c r="F147" s="1"/>
      <c r="G147" s="1"/>
      <c r="H147" s="1"/>
      <c r="I147" s="1"/>
      <c r="J147" s="1"/>
      <c r="K147" s="1"/>
    </row>
    <row r="148" spans="5:11">
      <c r="E148" s="1"/>
      <c r="F148" s="1"/>
      <c r="G148" s="1"/>
      <c r="H148" s="1"/>
      <c r="I148" s="1"/>
      <c r="J148" s="1"/>
      <c r="K148" s="1"/>
    </row>
    <row r="149" spans="5:11">
      <c r="E149" s="1"/>
      <c r="F149" s="1"/>
      <c r="G149" s="1"/>
      <c r="H149" s="1"/>
      <c r="I149" s="1"/>
      <c r="J149" s="1"/>
      <c r="K149" s="1"/>
    </row>
    <row r="150" spans="5:11">
      <c r="E150" s="1"/>
      <c r="F150" s="1"/>
      <c r="G150" s="1"/>
      <c r="H150" s="1"/>
      <c r="I150" s="1"/>
      <c r="J150" s="1"/>
      <c r="K150" s="1"/>
    </row>
    <row r="151" spans="5:11">
      <c r="E151" s="1"/>
      <c r="F151" s="1"/>
      <c r="G151" s="1"/>
      <c r="H151" s="1"/>
      <c r="I151" s="1"/>
      <c r="J151" s="1"/>
      <c r="K151" s="1"/>
    </row>
    <row r="152" spans="5:11">
      <c r="E152" s="1"/>
      <c r="F152" s="1"/>
      <c r="G152" s="1"/>
      <c r="H152" s="1"/>
      <c r="I152" s="1"/>
      <c r="J152" s="1"/>
      <c r="K152" s="1"/>
    </row>
    <row r="153" spans="5:11">
      <c r="E153" s="1"/>
      <c r="F153" s="1"/>
      <c r="G153" s="1"/>
      <c r="H153" s="1"/>
      <c r="I153" s="1"/>
      <c r="J153" s="1"/>
      <c r="K153" s="1"/>
    </row>
    <row r="154" spans="5:11">
      <c r="E154" s="1"/>
      <c r="F154" s="1"/>
      <c r="G154" s="1"/>
      <c r="H154" s="1"/>
      <c r="I154" s="1"/>
      <c r="J154" s="1"/>
      <c r="K154" s="1"/>
    </row>
    <row r="155" spans="5:11">
      <c r="E155" s="1"/>
      <c r="F155" s="1"/>
      <c r="G155" s="1"/>
      <c r="H155" s="1"/>
      <c r="I155" s="1"/>
      <c r="J155" s="1"/>
      <c r="K155" s="1"/>
    </row>
    <row r="156" spans="5:11">
      <c r="E156" s="1"/>
      <c r="F156" s="1"/>
      <c r="G156" s="1"/>
      <c r="H156" s="1"/>
      <c r="I156" s="1"/>
      <c r="J156" s="1"/>
      <c r="K156" s="1"/>
    </row>
    <row r="157" spans="5:11">
      <c r="E157" s="1"/>
      <c r="F157" s="1"/>
      <c r="G157" s="1"/>
      <c r="H157" s="1"/>
      <c r="I157" s="1"/>
      <c r="J157" s="1"/>
      <c r="K157" s="1"/>
    </row>
    <row r="158" spans="5:11">
      <c r="E158" s="1"/>
      <c r="F158" s="1"/>
      <c r="G158" s="1"/>
      <c r="H158" s="1"/>
      <c r="I158" s="1"/>
      <c r="J158" s="1"/>
      <c r="K158" s="1"/>
    </row>
    <row r="159" spans="5:11">
      <c r="E159" s="1"/>
      <c r="F159" s="1"/>
      <c r="G159" s="1"/>
      <c r="H159" s="1"/>
      <c r="I159" s="1"/>
      <c r="J159" s="1"/>
      <c r="K159" s="1"/>
    </row>
    <row r="160" spans="5:11">
      <c r="E160" s="1"/>
      <c r="F160" s="1"/>
      <c r="G160" s="1"/>
      <c r="H160" s="1"/>
      <c r="I160" s="1"/>
      <c r="J160" s="1"/>
      <c r="K160" s="1"/>
    </row>
    <row r="161" spans="5:11">
      <c r="E161" s="1"/>
      <c r="F161" s="1"/>
      <c r="G161" s="1"/>
      <c r="H161" s="1"/>
      <c r="I161" s="1"/>
      <c r="J161" s="1"/>
      <c r="K161" s="1"/>
    </row>
    <row r="162" spans="5:11">
      <c r="E162" s="1"/>
      <c r="F162" s="1"/>
      <c r="G162" s="1"/>
      <c r="H162" s="1"/>
      <c r="I162" s="1"/>
      <c r="J162" s="1"/>
      <c r="K162" s="1"/>
    </row>
    <row r="163" spans="5:11">
      <c r="E163" s="1"/>
      <c r="F163" s="1"/>
      <c r="G163" s="1"/>
      <c r="H163" s="1"/>
      <c r="I163" s="1"/>
      <c r="J163" s="1"/>
      <c r="K163" s="1"/>
    </row>
    <row r="164" spans="5:11">
      <c r="E164" s="1"/>
      <c r="F164" s="1"/>
      <c r="G164" s="1"/>
      <c r="H164" s="1"/>
      <c r="I164" s="1"/>
      <c r="J164" s="1"/>
      <c r="K164" s="1"/>
    </row>
    <row r="165" spans="5:11">
      <c r="E165" s="1"/>
      <c r="F165" s="1"/>
      <c r="G165" s="1"/>
      <c r="H165" s="1"/>
      <c r="I165" s="1"/>
      <c r="J165" s="1"/>
      <c r="K165" s="1"/>
    </row>
    <row r="166" spans="5:11">
      <c r="E166" s="1"/>
      <c r="F166" s="1"/>
      <c r="G166" s="1"/>
      <c r="H166" s="1"/>
      <c r="I166" s="1"/>
      <c r="J166" s="1"/>
      <c r="K166" s="1"/>
    </row>
    <row r="167" spans="5:11">
      <c r="E167" s="1"/>
      <c r="F167" s="1"/>
      <c r="G167" s="1"/>
      <c r="H167" s="1"/>
      <c r="I167" s="1"/>
      <c r="J167" s="1"/>
      <c r="K167" s="1"/>
    </row>
    <row r="168" spans="5:11">
      <c r="E168" s="1"/>
      <c r="F168" s="1"/>
      <c r="G168" s="1"/>
      <c r="H168" s="1"/>
      <c r="I168" s="1"/>
      <c r="J168" s="1"/>
      <c r="K168" s="1"/>
    </row>
    <row r="169" spans="5:11">
      <c r="E169" s="1"/>
      <c r="F169" s="1"/>
      <c r="G169" s="1"/>
      <c r="H169" s="1"/>
      <c r="I169" s="1"/>
      <c r="J169" s="1"/>
      <c r="K169" s="1"/>
    </row>
    <row r="170" spans="5:11">
      <c r="E170" s="1"/>
      <c r="F170" s="1"/>
      <c r="G170" s="1"/>
      <c r="H170" s="1"/>
      <c r="I170" s="1"/>
      <c r="J170" s="1"/>
      <c r="K170" s="1"/>
    </row>
    <row r="171" spans="5:11">
      <c r="E171" s="1"/>
      <c r="F171" s="1"/>
      <c r="G171" s="1"/>
      <c r="H171" s="1"/>
      <c r="I171" s="1"/>
      <c r="J171" s="1"/>
      <c r="K171" s="1"/>
    </row>
    <row r="172" spans="5:11">
      <c r="E172" s="1"/>
      <c r="F172" s="1"/>
      <c r="G172" s="1"/>
      <c r="H172" s="1"/>
      <c r="I172" s="1"/>
      <c r="J172" s="1"/>
      <c r="K172" s="1"/>
    </row>
    <row r="173" spans="5:11">
      <c r="E173" s="1"/>
      <c r="F173" s="1"/>
      <c r="G173" s="1"/>
      <c r="H173" s="1"/>
      <c r="I173" s="1"/>
      <c r="J173" s="1"/>
      <c r="K173" s="1"/>
    </row>
    <row r="174" spans="5:11">
      <c r="E174" s="1"/>
      <c r="F174" s="1"/>
      <c r="G174" s="1"/>
      <c r="H174" s="1"/>
      <c r="I174" s="1"/>
      <c r="J174" s="1"/>
      <c r="K174" s="1"/>
    </row>
    <row r="175" spans="5:11">
      <c r="E175" s="1"/>
      <c r="F175" s="1"/>
      <c r="G175" s="1"/>
      <c r="H175" s="1"/>
      <c r="I175" s="1"/>
      <c r="J175" s="1"/>
      <c r="K175" s="1"/>
    </row>
    <row r="176" spans="5:11">
      <c r="E176" s="1"/>
      <c r="F176" s="1"/>
      <c r="G176" s="1"/>
      <c r="H176" s="1"/>
      <c r="I176" s="1"/>
      <c r="J176" s="1"/>
      <c r="K176" s="1"/>
    </row>
    <row r="177" spans="5:11">
      <c r="E177" s="1"/>
      <c r="F177" s="1"/>
      <c r="G177" s="1"/>
      <c r="H177" s="1"/>
      <c r="I177" s="1"/>
      <c r="J177" s="1"/>
      <c r="K177" s="1"/>
    </row>
    <row r="178" spans="5:11">
      <c r="E178" s="1"/>
      <c r="F178" s="1"/>
      <c r="G178" s="1"/>
      <c r="H178" s="1"/>
      <c r="I178" s="1"/>
      <c r="J178" s="1"/>
      <c r="K178" s="1"/>
    </row>
    <row r="179" spans="5:11">
      <c r="E179" s="1"/>
      <c r="F179" s="1"/>
      <c r="G179" s="1"/>
      <c r="H179" s="1"/>
      <c r="I179" s="1"/>
      <c r="J179" s="1"/>
      <c r="K179" s="1"/>
    </row>
    <row r="180" spans="5:11">
      <c r="E180" s="1"/>
      <c r="F180" s="1"/>
      <c r="G180" s="1"/>
      <c r="H180" s="1"/>
      <c r="I180" s="1"/>
      <c r="J180" s="1"/>
      <c r="K180" s="1"/>
    </row>
    <row r="181" spans="5:11">
      <c r="E181" s="1"/>
      <c r="F181" s="1"/>
      <c r="G181" s="1"/>
      <c r="H181" s="1"/>
      <c r="I181" s="1"/>
      <c r="J181" s="1"/>
      <c r="K181" s="1"/>
    </row>
    <row r="182" spans="5:11">
      <c r="E182" s="1"/>
      <c r="F182" s="1"/>
      <c r="G182" s="1"/>
      <c r="H182" s="1"/>
      <c r="I182" s="1"/>
      <c r="J182" s="1"/>
      <c r="K182" s="1"/>
    </row>
    <row r="183" spans="5:11">
      <c r="E183" s="1"/>
      <c r="F183" s="1"/>
      <c r="G183" s="1"/>
      <c r="H183" s="1"/>
      <c r="I183" s="1"/>
      <c r="J183" s="1"/>
      <c r="K183" s="1"/>
    </row>
    <row r="184" spans="5:11">
      <c r="E184" s="1"/>
      <c r="F184" s="1"/>
      <c r="G184" s="1"/>
      <c r="H184" s="1"/>
      <c r="I184" s="1"/>
      <c r="J184" s="1"/>
      <c r="K184" s="1"/>
    </row>
    <row r="185" spans="5:11">
      <c r="E185" s="1"/>
      <c r="F185" s="1"/>
      <c r="G185" s="1"/>
      <c r="H185" s="1"/>
      <c r="I185" s="1"/>
      <c r="J185" s="1"/>
      <c r="K185" s="1"/>
    </row>
    <row r="186" spans="5:11">
      <c r="E186" s="1"/>
      <c r="F186" s="1"/>
      <c r="G186" s="1"/>
      <c r="H186" s="1"/>
      <c r="I186" s="1"/>
      <c r="J186" s="1"/>
      <c r="K186" s="1"/>
    </row>
    <row r="187" spans="5:11">
      <c r="E187" s="1"/>
      <c r="F187" s="1"/>
      <c r="G187" s="1"/>
      <c r="H187" s="1"/>
      <c r="I187" s="1"/>
      <c r="J187" s="1"/>
      <c r="K187" s="1"/>
    </row>
    <row r="188" spans="5:11">
      <c r="E188" s="1"/>
      <c r="F188" s="1"/>
      <c r="G188" s="1"/>
      <c r="H188" s="1"/>
      <c r="I188" s="1"/>
      <c r="J188" s="1"/>
      <c r="K188" s="1"/>
    </row>
    <row r="189" spans="5:11">
      <c r="E189" s="1"/>
      <c r="F189" s="1"/>
      <c r="G189" s="1"/>
      <c r="H189" s="1"/>
      <c r="I189" s="1"/>
      <c r="J189" s="1"/>
      <c r="K189" s="1"/>
    </row>
    <row r="190" spans="5:11">
      <c r="E190" s="1"/>
      <c r="F190" s="1"/>
      <c r="G190" s="1"/>
      <c r="H190" s="1"/>
      <c r="I190" s="1"/>
      <c r="J190" s="1"/>
      <c r="K190" s="1"/>
    </row>
    <row r="191" spans="5:11">
      <c r="E191" s="1"/>
      <c r="F191" s="1"/>
      <c r="G191" s="1"/>
      <c r="H191" s="1"/>
      <c r="I191" s="1"/>
      <c r="J191" s="1"/>
      <c r="K191" s="1"/>
    </row>
    <row r="192" spans="5:11">
      <c r="E192" s="1"/>
      <c r="F192" s="1"/>
      <c r="G192" s="1"/>
      <c r="H192" s="1"/>
      <c r="I192" s="1"/>
      <c r="J192" s="1"/>
      <c r="K192" s="1"/>
    </row>
    <row r="193" spans="5:11">
      <c r="E193" s="1"/>
      <c r="F193" s="1"/>
      <c r="G193" s="1"/>
      <c r="H193" s="1"/>
      <c r="I193" s="1"/>
      <c r="J193" s="1"/>
      <c r="K193" s="1"/>
    </row>
    <row r="194" spans="5:11">
      <c r="E194" s="1"/>
      <c r="F194" s="1"/>
      <c r="G194" s="1"/>
      <c r="H194" s="1"/>
      <c r="I194" s="1"/>
      <c r="J194" s="1"/>
      <c r="K194" s="1"/>
    </row>
    <row r="195" spans="5:11">
      <c r="E195" s="1"/>
      <c r="F195" s="1"/>
      <c r="G195" s="1"/>
      <c r="H195" s="1"/>
      <c r="I195" s="1"/>
      <c r="J195" s="1"/>
      <c r="K195" s="1"/>
    </row>
    <row r="196" spans="5:11">
      <c r="E196" s="1"/>
      <c r="F196" s="1"/>
      <c r="G196" s="1"/>
      <c r="H196" s="1"/>
      <c r="I196" s="1"/>
      <c r="J196" s="1"/>
      <c r="K196" s="1"/>
    </row>
    <row r="197" spans="5:11">
      <c r="E197" s="1"/>
      <c r="F197" s="1"/>
      <c r="G197" s="1"/>
      <c r="H197" s="1"/>
      <c r="I197" s="1"/>
      <c r="J197" s="1"/>
      <c r="K197" s="1"/>
    </row>
    <row r="198" spans="5:11">
      <c r="E198" s="1"/>
      <c r="F198" s="1"/>
      <c r="G198" s="1"/>
      <c r="H198" s="1"/>
      <c r="I198" s="1"/>
      <c r="J198" s="1"/>
      <c r="K198" s="1"/>
    </row>
    <row r="199" spans="5:11">
      <c r="E199" s="1"/>
      <c r="F199" s="1"/>
      <c r="G199" s="1"/>
      <c r="H199" s="1"/>
      <c r="I199" s="1"/>
      <c r="J199" s="1"/>
      <c r="K199" s="1"/>
    </row>
    <row r="200" spans="5:11">
      <c r="E200" s="1"/>
      <c r="F200" s="1"/>
      <c r="G200" s="1"/>
      <c r="H200" s="1"/>
      <c r="I200" s="1"/>
      <c r="J200" s="1"/>
      <c r="K200" s="1"/>
    </row>
    <row r="201" spans="5:11">
      <c r="E201" s="1"/>
      <c r="F201" s="1"/>
      <c r="G201" s="1"/>
      <c r="H201" s="1"/>
      <c r="I201" s="1"/>
      <c r="J201" s="1"/>
      <c r="K201" s="1"/>
    </row>
    <row r="202" spans="5:11">
      <c r="E202" s="1"/>
      <c r="F202" s="1"/>
      <c r="G202" s="1"/>
      <c r="H202" s="1"/>
      <c r="I202" s="1"/>
      <c r="J202" s="1"/>
      <c r="K202" s="1"/>
    </row>
    <row r="203" spans="5:11">
      <c r="E203" s="1"/>
      <c r="F203" s="1"/>
      <c r="G203" s="1"/>
      <c r="H203" s="1"/>
      <c r="I203" s="1"/>
      <c r="J203" s="1"/>
      <c r="K203" s="1"/>
    </row>
    <row r="204" spans="5:11">
      <c r="E204" s="1"/>
      <c r="F204" s="1"/>
      <c r="G204" s="1"/>
      <c r="H204" s="1"/>
      <c r="I204" s="1"/>
      <c r="J204" s="1"/>
      <c r="K204" s="1"/>
    </row>
    <row r="205" spans="5:11">
      <c r="E205" s="1"/>
      <c r="F205" s="1"/>
      <c r="G205" s="1"/>
      <c r="H205" s="1"/>
      <c r="I205" s="1"/>
      <c r="J205" s="1"/>
      <c r="K205" s="1"/>
    </row>
    <row r="206" spans="5:11">
      <c r="E206" s="1"/>
      <c r="F206" s="1"/>
      <c r="G206" s="1"/>
      <c r="H206" s="1"/>
      <c r="I206" s="1"/>
      <c r="J206" s="1"/>
      <c r="K206" s="1"/>
    </row>
    <row r="207" spans="5:11">
      <c r="E207" s="1"/>
      <c r="F207" s="1"/>
      <c r="G207" s="1"/>
      <c r="H207" s="1"/>
      <c r="I207" s="1"/>
      <c r="J207" s="1"/>
      <c r="K207" s="1"/>
    </row>
    <row r="208" spans="5:11">
      <c r="E208" s="1"/>
      <c r="F208" s="1"/>
      <c r="G208" s="1"/>
      <c r="H208" s="1"/>
      <c r="I208" s="1"/>
      <c r="J208" s="1"/>
      <c r="K208" s="1"/>
    </row>
    <row r="209" spans="5:11">
      <c r="E209" s="1"/>
      <c r="F209" s="1"/>
      <c r="G209" s="1"/>
      <c r="H209" s="1"/>
      <c r="I209" s="1"/>
      <c r="J209" s="1"/>
      <c r="K209" s="1"/>
    </row>
    <row r="210" spans="5:11">
      <c r="E210" s="1"/>
      <c r="F210" s="1"/>
      <c r="G210" s="1"/>
      <c r="H210" s="1"/>
      <c r="I210" s="1"/>
      <c r="J210" s="1"/>
      <c r="K210" s="1"/>
    </row>
    <row r="211" spans="5:11">
      <c r="E211" s="1"/>
      <c r="F211" s="1"/>
      <c r="G211" s="1"/>
      <c r="H211" s="1"/>
      <c r="I211" s="1"/>
      <c r="J211" s="1"/>
      <c r="K211" s="1"/>
    </row>
    <row r="212" spans="5:11">
      <c r="E212" s="1"/>
      <c r="F212" s="1"/>
      <c r="G212" s="1"/>
      <c r="H212" s="1"/>
      <c r="I212" s="1"/>
      <c r="J212" s="1"/>
      <c r="K212" s="1"/>
    </row>
    <row r="213" spans="5:11">
      <c r="E213" s="1"/>
      <c r="F213" s="1"/>
      <c r="G213" s="1"/>
      <c r="H213" s="1"/>
      <c r="I213" s="1"/>
      <c r="J213" s="1"/>
      <c r="K213" s="1"/>
    </row>
    <row r="214" spans="5:11">
      <c r="E214" s="1"/>
      <c r="F214" s="1"/>
      <c r="G214" s="1"/>
      <c r="H214" s="1"/>
      <c r="I214" s="1"/>
      <c r="J214" s="1"/>
      <c r="K214" s="1"/>
    </row>
    <row r="215" spans="5:11">
      <c r="E215" s="1"/>
      <c r="F215" s="1"/>
      <c r="G215" s="1"/>
      <c r="H215" s="1"/>
      <c r="I215" s="1"/>
      <c r="J215" s="1"/>
      <c r="K215" s="1"/>
    </row>
    <row r="216" spans="5:11">
      <c r="E216" s="1"/>
      <c r="F216" s="1"/>
      <c r="G216" s="1"/>
      <c r="H216" s="1"/>
      <c r="I216" s="1"/>
      <c r="J216" s="1"/>
      <c r="K216" s="1"/>
    </row>
    <row r="217" spans="5:11">
      <c r="E217" s="1"/>
      <c r="F217" s="1"/>
      <c r="G217" s="1"/>
      <c r="H217" s="1"/>
      <c r="I217" s="1"/>
      <c r="J217" s="1"/>
      <c r="K217" s="1"/>
    </row>
    <row r="218" spans="5:11">
      <c r="E218" s="1"/>
      <c r="F218" s="1"/>
      <c r="G218" s="1"/>
      <c r="H218" s="1"/>
      <c r="I218" s="1"/>
      <c r="J218" s="1"/>
      <c r="K218" s="1"/>
    </row>
    <row r="219" spans="5:11">
      <c r="E219" s="1"/>
      <c r="F219" s="1"/>
      <c r="G219" s="1"/>
      <c r="H219" s="1"/>
      <c r="I219" s="1"/>
      <c r="J219" s="1"/>
      <c r="K219" s="1"/>
    </row>
    <row r="220" spans="5:11">
      <c r="E220" s="1"/>
      <c r="F220" s="1"/>
      <c r="G220" s="1"/>
      <c r="H220" s="1"/>
      <c r="I220" s="1"/>
      <c r="J220" s="1"/>
      <c r="K220" s="1"/>
    </row>
    <row r="221" spans="5:11">
      <c r="E221" s="1"/>
      <c r="F221" s="1"/>
      <c r="G221" s="1"/>
      <c r="H221" s="1"/>
      <c r="I221" s="1"/>
      <c r="J221" s="1"/>
      <c r="K221" s="1"/>
    </row>
    <row r="222" spans="5:11">
      <c r="E222" s="1"/>
      <c r="F222" s="1"/>
      <c r="G222" s="1"/>
      <c r="H222" s="1"/>
      <c r="I222" s="1"/>
      <c r="J222" s="1"/>
      <c r="K222" s="1"/>
    </row>
    <row r="223" spans="5:11">
      <c r="E223" s="1"/>
      <c r="F223" s="1"/>
      <c r="G223" s="1"/>
      <c r="H223" s="1"/>
      <c r="I223" s="1"/>
      <c r="J223" s="1"/>
      <c r="K223" s="1"/>
    </row>
    <row r="224" spans="5:11">
      <c r="E224" s="1"/>
      <c r="F224" s="1"/>
      <c r="G224" s="1"/>
      <c r="H224" s="1"/>
      <c r="I224" s="1"/>
      <c r="J224" s="1"/>
      <c r="K224" s="1"/>
    </row>
    <row r="225" spans="5:11">
      <c r="E225" s="1"/>
      <c r="F225" s="1"/>
      <c r="G225" s="1"/>
      <c r="H225" s="1"/>
      <c r="I225" s="1"/>
      <c r="J225" s="1"/>
      <c r="K225" s="1"/>
    </row>
    <row r="226" spans="5:11">
      <c r="E226" s="1"/>
      <c r="F226" s="1"/>
      <c r="G226" s="1"/>
      <c r="H226" s="1"/>
      <c r="I226" s="1"/>
      <c r="J226" s="1"/>
      <c r="K226" s="1"/>
    </row>
    <row r="227" spans="5:11">
      <c r="E227" s="1"/>
      <c r="F227" s="1"/>
      <c r="G227" s="1"/>
      <c r="H227" s="1"/>
      <c r="I227" s="1"/>
      <c r="J227" s="1"/>
      <c r="K227" s="1"/>
    </row>
    <row r="228" spans="5:11">
      <c r="E228" s="1"/>
      <c r="F228" s="1"/>
      <c r="G228" s="1"/>
      <c r="H228" s="1"/>
      <c r="I228" s="1"/>
      <c r="J228" s="1"/>
      <c r="K228" s="1"/>
    </row>
    <row r="229" spans="5:11">
      <c r="E229" s="1"/>
      <c r="F229" s="1"/>
      <c r="G229" s="1"/>
      <c r="H229" s="1"/>
      <c r="I229" s="1"/>
      <c r="J229" s="1"/>
      <c r="K229" s="1"/>
    </row>
    <row r="230" spans="5:11">
      <c r="E230" s="1"/>
      <c r="F230" s="1"/>
      <c r="G230" s="1"/>
      <c r="H230" s="1"/>
      <c r="I230" s="1"/>
      <c r="J230" s="1"/>
      <c r="K230" s="1"/>
    </row>
    <row r="231" spans="5:11">
      <c r="E231" s="1"/>
      <c r="F231" s="1"/>
      <c r="G231" s="1"/>
      <c r="H231" s="1"/>
      <c r="I231" s="1"/>
      <c r="J231" s="1"/>
      <c r="K231" s="1"/>
    </row>
    <row r="232" spans="5:11">
      <c r="E232" s="1"/>
      <c r="F232" s="1"/>
      <c r="G232" s="1"/>
      <c r="H232" s="1"/>
      <c r="I232" s="1"/>
      <c r="J232" s="1"/>
      <c r="K232" s="1"/>
    </row>
    <row r="233" spans="5:11">
      <c r="E233" s="1"/>
      <c r="F233" s="1"/>
      <c r="G233" s="1"/>
      <c r="H233" s="1"/>
      <c r="I233" s="1"/>
      <c r="J233" s="1"/>
      <c r="K233" s="1"/>
    </row>
    <row r="234" spans="5:11">
      <c r="E234" s="1"/>
      <c r="F234" s="1"/>
      <c r="G234" s="1"/>
      <c r="H234" s="1"/>
      <c r="I234" s="1"/>
      <c r="J234" s="1"/>
      <c r="K234" s="1"/>
    </row>
    <row r="235" spans="5:11">
      <c r="E235" s="1"/>
      <c r="F235" s="1"/>
      <c r="G235" s="1"/>
      <c r="H235" s="1"/>
      <c r="I235" s="1"/>
      <c r="J235" s="1"/>
      <c r="K235" s="1"/>
    </row>
    <row r="236" spans="5:11">
      <c r="E236" s="1"/>
      <c r="F236" s="1"/>
      <c r="G236" s="1"/>
      <c r="H236" s="1"/>
      <c r="I236" s="1"/>
      <c r="J236" s="1"/>
      <c r="K236" s="1"/>
    </row>
    <row r="237" spans="5:11">
      <c r="E237" s="1"/>
      <c r="F237" s="1"/>
      <c r="G237" s="1"/>
      <c r="H237" s="1"/>
      <c r="I237" s="1"/>
      <c r="J237" s="1"/>
      <c r="K237" s="1"/>
    </row>
    <row r="238" spans="5:11">
      <c r="E238" s="1"/>
      <c r="F238" s="1"/>
      <c r="G238" s="1"/>
      <c r="H238" s="1"/>
      <c r="I238" s="1"/>
      <c r="J238" s="1"/>
      <c r="K238" s="1"/>
    </row>
    <row r="239" spans="5:11">
      <c r="E239" s="1"/>
      <c r="F239" s="1"/>
      <c r="G239" s="1"/>
      <c r="H239" s="1"/>
      <c r="I239" s="1"/>
      <c r="J239" s="1"/>
      <c r="K239" s="1"/>
    </row>
    <row r="240" spans="5:11">
      <c r="E240" s="1"/>
      <c r="F240" s="1"/>
      <c r="G240" s="1"/>
      <c r="H240" s="1"/>
      <c r="I240" s="1"/>
      <c r="J240" s="1"/>
      <c r="K240" s="1"/>
    </row>
    <row r="241" spans="5:11">
      <c r="E241" s="1"/>
      <c r="F241" s="1"/>
      <c r="G241" s="1"/>
      <c r="H241" s="1"/>
      <c r="I241" s="1"/>
      <c r="J241" s="1"/>
      <c r="K241" s="1"/>
    </row>
    <row r="242" spans="5:11">
      <c r="E242" s="1"/>
      <c r="F242" s="1"/>
      <c r="G242" s="1"/>
      <c r="H242" s="1"/>
      <c r="I242" s="1"/>
      <c r="J242" s="1"/>
      <c r="K242" s="1"/>
    </row>
    <row r="243" spans="5:11">
      <c r="E243" s="1"/>
      <c r="F243" s="1"/>
      <c r="G243" s="1"/>
      <c r="H243" s="1"/>
      <c r="I243" s="1"/>
      <c r="J243" s="1"/>
      <c r="K243" s="1"/>
    </row>
    <row r="244" spans="5:11">
      <c r="E244" s="1"/>
      <c r="F244" s="1"/>
      <c r="G244" s="1"/>
      <c r="H244" s="1"/>
      <c r="I244" s="1"/>
      <c r="J244" s="1"/>
      <c r="K244" s="1"/>
    </row>
    <row r="245" spans="5:11">
      <c r="E245" s="1"/>
      <c r="F245" s="1"/>
      <c r="G245" s="1"/>
      <c r="H245" s="1"/>
      <c r="I245" s="1"/>
      <c r="J245" s="1"/>
      <c r="K245" s="1"/>
    </row>
    <row r="246" spans="5:11">
      <c r="E246" s="1"/>
      <c r="F246" s="1"/>
      <c r="G246" s="1"/>
      <c r="H246" s="1"/>
      <c r="I246" s="1"/>
      <c r="J246" s="1"/>
      <c r="K246" s="1"/>
    </row>
    <row r="247" spans="5:11">
      <c r="E247" s="1"/>
      <c r="F247" s="1"/>
      <c r="G247" s="1"/>
      <c r="H247" s="1"/>
      <c r="I247" s="1"/>
      <c r="J247" s="1"/>
      <c r="K247" s="1"/>
    </row>
    <row r="248" spans="5:11">
      <c r="E248" s="1"/>
      <c r="F248" s="1"/>
      <c r="G248" s="1"/>
      <c r="H248" s="1"/>
      <c r="I248" s="1"/>
      <c r="J248" s="1"/>
      <c r="K248" s="1"/>
    </row>
    <row r="249" spans="5:11">
      <c r="E249" s="1"/>
      <c r="F249" s="1"/>
      <c r="G249" s="1"/>
      <c r="H249" s="1"/>
      <c r="I249" s="1"/>
      <c r="J249" s="1"/>
      <c r="K249" s="1"/>
    </row>
    <row r="250" spans="5:11">
      <c r="E250" s="1"/>
      <c r="F250" s="1"/>
      <c r="G250" s="1"/>
      <c r="H250" s="1"/>
      <c r="I250" s="1"/>
      <c r="J250" s="1"/>
      <c r="K250" s="1"/>
    </row>
    <row r="251" spans="5:11">
      <c r="E251" s="1"/>
      <c r="F251" s="1"/>
      <c r="G251" s="1"/>
      <c r="H251" s="1"/>
      <c r="I251" s="1"/>
      <c r="J251" s="1"/>
      <c r="K251" s="1"/>
    </row>
    <row r="252" spans="5:11">
      <c r="E252" s="1"/>
      <c r="F252" s="1"/>
      <c r="G252" s="1"/>
      <c r="H252" s="1"/>
      <c r="I252" s="1"/>
      <c r="J252" s="1"/>
      <c r="K252" s="1"/>
    </row>
    <row r="253" spans="5:11">
      <c r="E253" s="1"/>
      <c r="F253" s="1"/>
      <c r="G253" s="1"/>
      <c r="H253" s="1"/>
      <c r="I253" s="1"/>
      <c r="J253" s="1"/>
      <c r="K253" s="1"/>
    </row>
    <row r="254" spans="5:11">
      <c r="E254" s="1"/>
      <c r="F254" s="1"/>
      <c r="G254" s="1"/>
      <c r="H254" s="1"/>
      <c r="I254" s="1"/>
      <c r="J254" s="1"/>
      <c r="K254" s="1"/>
    </row>
    <row r="255" spans="5:11">
      <c r="E255" s="1"/>
      <c r="F255" s="1"/>
      <c r="G255" s="1"/>
      <c r="H255" s="1"/>
      <c r="I255" s="1"/>
      <c r="J255" s="1"/>
      <c r="K255" s="1"/>
    </row>
    <row r="256" spans="5:11">
      <c r="E256" s="1"/>
      <c r="F256" s="1"/>
      <c r="G256" s="1"/>
      <c r="H256" s="1"/>
      <c r="I256" s="1"/>
      <c r="J256" s="1"/>
      <c r="K256" s="1"/>
    </row>
    <row r="257" spans="5:11">
      <c r="E257" s="1"/>
      <c r="F257" s="1"/>
      <c r="G257" s="1"/>
      <c r="H257" s="1"/>
      <c r="I257" s="1"/>
      <c r="J257" s="1"/>
      <c r="K257" s="1"/>
    </row>
    <row r="258" spans="5:11">
      <c r="E258" s="1"/>
      <c r="F258" s="1"/>
      <c r="G258" s="1"/>
      <c r="H258" s="1"/>
      <c r="I258" s="1"/>
      <c r="J258" s="1"/>
      <c r="K258" s="1"/>
    </row>
    <row r="259" spans="5:11">
      <c r="E259" s="1"/>
      <c r="F259" s="1"/>
      <c r="G259" s="1"/>
      <c r="H259" s="1"/>
      <c r="I259" s="1"/>
      <c r="J259" s="1"/>
      <c r="K259" s="1"/>
    </row>
    <row r="260" spans="5:11">
      <c r="E260" s="1"/>
      <c r="F260" s="1"/>
      <c r="G260" s="1"/>
      <c r="H260" s="1"/>
      <c r="I260" s="1"/>
      <c r="J260" s="1"/>
      <c r="K260" s="1"/>
    </row>
    <row r="261" spans="5:11">
      <c r="E261" s="1"/>
      <c r="F261" s="1"/>
      <c r="G261" s="1"/>
      <c r="H261" s="1"/>
      <c r="I261" s="1"/>
      <c r="J261" s="1"/>
      <c r="K261" s="1"/>
    </row>
    <row r="262" spans="5:11">
      <c r="E262" s="1"/>
      <c r="F262" s="1"/>
      <c r="G262" s="1"/>
      <c r="H262" s="1"/>
      <c r="I262" s="1"/>
      <c r="J262" s="1"/>
      <c r="K262" s="1"/>
    </row>
    <row r="263" spans="5:11">
      <c r="E263" s="1"/>
      <c r="F263" s="1"/>
      <c r="G263" s="1"/>
      <c r="H263" s="1"/>
      <c r="I263" s="1"/>
      <c r="J263" s="1"/>
      <c r="K263" s="1"/>
    </row>
    <row r="264" spans="5:11">
      <c r="E264" s="1"/>
      <c r="F264" s="1"/>
      <c r="G264" s="1"/>
      <c r="H264" s="1"/>
      <c r="I264" s="1"/>
      <c r="J264" s="1"/>
      <c r="K264" s="1"/>
    </row>
    <row r="265" spans="5:11">
      <c r="E265" s="1"/>
      <c r="F265" s="1"/>
      <c r="G265" s="1"/>
      <c r="H265" s="1"/>
      <c r="I265" s="1"/>
      <c r="J265" s="1"/>
      <c r="K265" s="1"/>
    </row>
    <row r="266" spans="5:11">
      <c r="E266" s="1"/>
      <c r="F266" s="1"/>
      <c r="G266" s="1"/>
      <c r="H266" s="1"/>
      <c r="I266" s="1"/>
      <c r="J266" s="1"/>
      <c r="K266" s="1"/>
    </row>
    <row r="267" spans="5:11">
      <c r="E267" s="1"/>
      <c r="F267" s="1"/>
      <c r="G267" s="1"/>
      <c r="H267" s="1"/>
      <c r="I267" s="1"/>
      <c r="J267" s="1"/>
      <c r="K267" s="1"/>
    </row>
    <row r="268" spans="5:11">
      <c r="E268" s="1"/>
      <c r="F268" s="1"/>
      <c r="G268" s="1"/>
      <c r="H268" s="1"/>
      <c r="I268" s="1"/>
      <c r="J268" s="1"/>
      <c r="K268" s="1"/>
    </row>
    <row r="269" spans="5:11">
      <c r="E269" s="1"/>
      <c r="F269" s="1"/>
      <c r="G269" s="1"/>
      <c r="H269" s="1"/>
      <c r="I269" s="1"/>
      <c r="J269" s="1"/>
      <c r="K269" s="1"/>
    </row>
    <row r="270" spans="5:11">
      <c r="E270" s="1"/>
      <c r="F270" s="1"/>
      <c r="G270" s="1"/>
      <c r="H270" s="1"/>
      <c r="I270" s="1"/>
      <c r="J270" s="1"/>
      <c r="K270" s="1"/>
    </row>
    <row r="271" spans="5:11">
      <c r="E271" s="1"/>
      <c r="F271" s="1"/>
      <c r="G271" s="1"/>
      <c r="H271" s="1"/>
      <c r="I271" s="1"/>
      <c r="J271" s="1"/>
      <c r="K271" s="1"/>
    </row>
    <row r="272" spans="5:11">
      <c r="E272" s="1"/>
      <c r="F272" s="1"/>
      <c r="G272" s="1"/>
      <c r="H272" s="1"/>
      <c r="I272" s="1"/>
      <c r="J272" s="1"/>
      <c r="K272" s="1"/>
    </row>
    <row r="273" spans="5:11">
      <c r="E273" s="1"/>
      <c r="F273" s="1"/>
      <c r="G273" s="1"/>
      <c r="H273" s="1"/>
      <c r="I273" s="1"/>
      <c r="J273" s="1"/>
      <c r="K273" s="1"/>
    </row>
    <row r="274" spans="5:11">
      <c r="E274" s="1"/>
      <c r="F274" s="1"/>
      <c r="G274" s="1"/>
      <c r="H274" s="1"/>
      <c r="I274" s="1"/>
      <c r="J274" s="1"/>
      <c r="K274" s="1"/>
    </row>
    <row r="275" spans="5:11">
      <c r="E275" s="1"/>
      <c r="F275" s="1"/>
      <c r="G275" s="1"/>
      <c r="H275" s="1"/>
      <c r="I275" s="1"/>
      <c r="J275" s="1"/>
      <c r="K275" s="1"/>
    </row>
    <row r="276" spans="5:11">
      <c r="E276" s="1"/>
      <c r="F276" s="1"/>
      <c r="G276" s="1"/>
      <c r="H276" s="1"/>
      <c r="I276" s="1"/>
      <c r="J276" s="1"/>
      <c r="K276" s="1"/>
    </row>
    <row r="277" spans="5:11">
      <c r="E277" s="1"/>
      <c r="F277" s="1"/>
      <c r="G277" s="1"/>
      <c r="H277" s="1"/>
      <c r="I277" s="1"/>
      <c r="J277" s="1"/>
      <c r="K277" s="1"/>
    </row>
    <row r="278" spans="5:11">
      <c r="E278" s="1"/>
      <c r="F278" s="1"/>
      <c r="G278" s="1"/>
      <c r="H278" s="1"/>
      <c r="I278" s="1"/>
      <c r="J278" s="1"/>
      <c r="K278" s="1"/>
    </row>
    <row r="279" spans="5:11">
      <c r="E279" s="1"/>
      <c r="F279" s="1"/>
      <c r="G279" s="1"/>
      <c r="H279" s="1"/>
      <c r="I279" s="1"/>
      <c r="J279" s="1"/>
      <c r="K279" s="1"/>
    </row>
    <row r="280" spans="5:11">
      <c r="E280" s="1"/>
      <c r="F280" s="1"/>
      <c r="G280" s="1"/>
      <c r="H280" s="1"/>
      <c r="I280" s="1"/>
      <c r="J280" s="1"/>
      <c r="K280" s="1"/>
    </row>
    <row r="281" spans="5:11">
      <c r="E281" s="1"/>
      <c r="F281" s="1"/>
      <c r="G281" s="1"/>
      <c r="H281" s="1"/>
      <c r="I281" s="1"/>
      <c r="J281" s="1"/>
      <c r="K281" s="1"/>
    </row>
    <row r="282" spans="5:11">
      <c r="E282" s="1"/>
      <c r="F282" s="1"/>
      <c r="G282" s="1"/>
      <c r="H282" s="1"/>
      <c r="I282" s="1"/>
      <c r="J282" s="1"/>
      <c r="K282" s="1"/>
    </row>
    <row r="283" spans="5:11">
      <c r="E283" s="1"/>
      <c r="F283" s="1"/>
      <c r="G283" s="1"/>
      <c r="H283" s="1"/>
      <c r="I283" s="1"/>
      <c r="J283" s="1"/>
      <c r="K283" s="1"/>
    </row>
    <row r="284" spans="5:11">
      <c r="E284" s="1"/>
      <c r="F284" s="1"/>
      <c r="G284" s="1"/>
      <c r="H284" s="1"/>
      <c r="I284" s="1"/>
      <c r="J284" s="1"/>
      <c r="K284" s="1"/>
    </row>
    <row r="285" spans="5:11">
      <c r="E285" s="1"/>
      <c r="F285" s="1"/>
      <c r="G285" s="1"/>
      <c r="H285" s="1"/>
      <c r="I285" s="1"/>
      <c r="J285" s="1"/>
      <c r="K285" s="1"/>
    </row>
    <row r="286" spans="5:11">
      <c r="E286" s="1"/>
      <c r="F286" s="1"/>
      <c r="G286" s="1"/>
      <c r="H286" s="1"/>
      <c r="I286" s="1"/>
      <c r="J286" s="1"/>
      <c r="K286" s="1"/>
    </row>
    <row r="287" spans="5:11">
      <c r="E287" s="1"/>
      <c r="F287" s="1"/>
      <c r="G287" s="1"/>
      <c r="H287" s="1"/>
      <c r="I287" s="1"/>
      <c r="J287" s="1"/>
      <c r="K287" s="1"/>
    </row>
    <row r="288" spans="5:11">
      <c r="E288" s="1"/>
      <c r="F288" s="1"/>
      <c r="G288" s="1"/>
      <c r="H288" s="1"/>
      <c r="I288" s="1"/>
      <c r="J288" s="1"/>
      <c r="K288" s="1"/>
    </row>
    <row r="289" spans="5:11">
      <c r="E289" s="1"/>
      <c r="F289" s="1"/>
      <c r="G289" s="1"/>
      <c r="H289" s="1"/>
      <c r="I289" s="1"/>
      <c r="J289" s="1"/>
      <c r="K289" s="1"/>
    </row>
    <row r="290" spans="5:11">
      <c r="E290" s="1"/>
      <c r="F290" s="1"/>
      <c r="G290" s="1"/>
      <c r="H290" s="1"/>
      <c r="I290" s="1"/>
      <c r="J290" s="1"/>
      <c r="K290" s="1"/>
    </row>
    <row r="291" spans="5:11">
      <c r="E291" s="1"/>
      <c r="F291" s="1"/>
      <c r="G291" s="1"/>
      <c r="H291" s="1"/>
      <c r="I291" s="1"/>
      <c r="J291" s="1"/>
      <c r="K291" s="1"/>
    </row>
    <row r="292" spans="5:11">
      <c r="E292" s="1"/>
      <c r="F292" s="1"/>
      <c r="G292" s="1"/>
      <c r="H292" s="1"/>
      <c r="I292" s="1"/>
      <c r="J292" s="1"/>
      <c r="K292" s="1"/>
    </row>
    <row r="293" spans="5:11">
      <c r="E293" s="1"/>
      <c r="F293" s="1"/>
      <c r="G293" s="1"/>
      <c r="H293" s="1"/>
      <c r="I293" s="1"/>
      <c r="J293" s="1"/>
      <c r="K293" s="1"/>
    </row>
    <row r="294" spans="5:11">
      <c r="E294" s="1"/>
      <c r="F294" s="1"/>
      <c r="G294" s="1"/>
      <c r="H294" s="1"/>
      <c r="I294" s="1"/>
      <c r="J294" s="1"/>
      <c r="K294" s="1"/>
    </row>
    <row r="295" spans="5:11">
      <c r="E295" s="1"/>
      <c r="F295" s="1"/>
      <c r="G295" s="1"/>
      <c r="H295" s="1"/>
      <c r="I295" s="1"/>
      <c r="J295" s="1"/>
      <c r="K295" s="1"/>
    </row>
    <row r="296" spans="5:11">
      <c r="E296" s="1"/>
      <c r="F296" s="1"/>
      <c r="G296" s="1"/>
      <c r="H296" s="1"/>
      <c r="I296" s="1"/>
      <c r="J296" s="1"/>
      <c r="K296" s="1"/>
    </row>
    <row r="297" spans="5:11">
      <c r="E297" s="1"/>
      <c r="F297" s="1"/>
      <c r="G297" s="1"/>
      <c r="H297" s="1"/>
      <c r="I297" s="1"/>
      <c r="J297" s="1"/>
      <c r="K297" s="1"/>
    </row>
    <row r="298" spans="5:11">
      <c r="E298" s="1"/>
      <c r="F298" s="1"/>
      <c r="G298" s="1"/>
      <c r="H298" s="1"/>
      <c r="I298" s="1"/>
      <c r="J298" s="1"/>
      <c r="K298" s="1"/>
    </row>
    <row r="299" spans="5:11">
      <c r="E299" s="1"/>
      <c r="F299" s="1"/>
      <c r="G299" s="1"/>
      <c r="H299" s="1"/>
      <c r="I299" s="1"/>
      <c r="J299" s="1"/>
      <c r="K299" s="1"/>
    </row>
    <row r="300" spans="5:11">
      <c r="E300" s="1"/>
      <c r="F300" s="1"/>
      <c r="G300" s="1"/>
      <c r="H300" s="1"/>
      <c r="I300" s="1"/>
      <c r="J300" s="1"/>
      <c r="K300" s="1"/>
    </row>
    <row r="301" spans="5:11">
      <c r="E301" s="1"/>
      <c r="F301" s="1"/>
      <c r="G301" s="1"/>
      <c r="H301" s="1"/>
      <c r="I301" s="1"/>
      <c r="J301" s="1"/>
      <c r="K301" s="1"/>
    </row>
    <row r="302" spans="5:11">
      <c r="E302" s="1"/>
      <c r="F302" s="1"/>
      <c r="G302" s="1"/>
      <c r="H302" s="1"/>
      <c r="I302" s="1"/>
      <c r="J302" s="1"/>
      <c r="K302" s="1"/>
    </row>
    <row r="303" spans="5:11">
      <c r="E303" s="1"/>
      <c r="F303" s="1"/>
      <c r="G303" s="1"/>
      <c r="H303" s="1"/>
      <c r="I303" s="1"/>
      <c r="J303" s="1"/>
      <c r="K303" s="1"/>
    </row>
    <row r="304" spans="5:11">
      <c r="E304" s="1"/>
      <c r="F304" s="1"/>
      <c r="G304" s="1"/>
      <c r="H304" s="1"/>
      <c r="I304" s="1"/>
      <c r="J304" s="1"/>
      <c r="K304" s="1"/>
    </row>
    <row r="305" spans="5:11">
      <c r="E305" s="1"/>
      <c r="F305" s="1"/>
      <c r="G305" s="1"/>
      <c r="H305" s="1"/>
      <c r="I305" s="1"/>
      <c r="J305" s="1"/>
      <c r="K305" s="1"/>
    </row>
    <row r="306" spans="5:11">
      <c r="E306" s="1"/>
      <c r="F306" s="1"/>
      <c r="G306" s="1"/>
      <c r="H306" s="1"/>
      <c r="I306" s="1"/>
      <c r="J306" s="1"/>
      <c r="K306" s="1"/>
    </row>
    <row r="307" spans="5:11">
      <c r="E307" s="1"/>
      <c r="F307" s="1"/>
      <c r="G307" s="1"/>
      <c r="H307" s="1"/>
      <c r="I307" s="1"/>
      <c r="J307" s="1"/>
      <c r="K307" s="1"/>
    </row>
    <row r="308" spans="5:11">
      <c r="E308" s="1"/>
      <c r="F308" s="1"/>
      <c r="G308" s="1"/>
      <c r="H308" s="1"/>
      <c r="I308" s="1"/>
      <c r="J308" s="1"/>
      <c r="K308" s="1"/>
    </row>
    <row r="309" spans="5:11">
      <c r="E309" s="1"/>
      <c r="F309" s="1"/>
      <c r="G309" s="1"/>
      <c r="H309" s="1"/>
      <c r="I309" s="1"/>
      <c r="J309" s="1"/>
      <c r="K309" s="1"/>
    </row>
    <row r="310" spans="5:11">
      <c r="E310" s="1"/>
      <c r="F310" s="1"/>
      <c r="G310" s="1"/>
      <c r="H310" s="1"/>
      <c r="I310" s="1"/>
      <c r="J310" s="1"/>
      <c r="K310" s="1"/>
    </row>
    <row r="311" spans="5:11">
      <c r="E311" s="1"/>
      <c r="F311" s="1"/>
      <c r="G311" s="1"/>
      <c r="H311" s="1"/>
      <c r="I311" s="1"/>
      <c r="J311" s="1"/>
      <c r="K311" s="1"/>
    </row>
    <row r="312" spans="5:11">
      <c r="E312" s="1"/>
      <c r="F312" s="1"/>
      <c r="G312" s="1"/>
      <c r="H312" s="1"/>
      <c r="I312" s="1"/>
      <c r="J312" s="1"/>
      <c r="K312" s="1"/>
    </row>
    <row r="313" spans="5:11">
      <c r="E313" s="1"/>
      <c r="F313" s="1"/>
      <c r="G313" s="1"/>
      <c r="H313" s="1"/>
      <c r="I313" s="1"/>
      <c r="J313" s="1"/>
      <c r="K313" s="1"/>
    </row>
    <row r="314" spans="5:11">
      <c r="E314" s="1"/>
      <c r="F314" s="1"/>
      <c r="G314" s="1"/>
      <c r="H314" s="1"/>
      <c r="I314" s="1"/>
      <c r="J314" s="1"/>
      <c r="K314" s="1"/>
    </row>
    <row r="315" spans="5:11">
      <c r="E315" s="1"/>
      <c r="F315" s="1"/>
      <c r="G315" s="1"/>
      <c r="H315" s="1"/>
      <c r="I315" s="1"/>
      <c r="J315" s="1"/>
      <c r="K315" s="1"/>
    </row>
    <row r="316" spans="5:11">
      <c r="E316" s="1"/>
      <c r="F316" s="1"/>
      <c r="G316" s="1"/>
      <c r="H316" s="1"/>
      <c r="I316" s="1"/>
      <c r="J316" s="1"/>
      <c r="K316" s="1"/>
    </row>
    <row r="317" spans="5:11">
      <c r="E317" s="1"/>
      <c r="F317" s="1"/>
      <c r="G317" s="1"/>
      <c r="H317" s="1"/>
      <c r="I317" s="1"/>
      <c r="J317" s="1"/>
      <c r="K317" s="1"/>
    </row>
    <row r="318" spans="5:11">
      <c r="E318" s="1"/>
      <c r="F318" s="1"/>
      <c r="G318" s="1"/>
      <c r="H318" s="1"/>
      <c r="I318" s="1"/>
      <c r="J318" s="1"/>
      <c r="K318" s="1"/>
    </row>
    <row r="319" spans="5:11">
      <c r="E319" s="1"/>
      <c r="F319" s="1"/>
      <c r="G319" s="1"/>
      <c r="H319" s="1"/>
      <c r="I319" s="1"/>
      <c r="J319" s="1"/>
      <c r="K319" s="1"/>
    </row>
    <row r="320" spans="5:11">
      <c r="E320" s="1"/>
      <c r="F320" s="1"/>
      <c r="G320" s="1"/>
      <c r="H320" s="1"/>
      <c r="I320" s="1"/>
      <c r="J320" s="1"/>
      <c r="K320" s="1"/>
    </row>
    <row r="321" spans="5:11">
      <c r="E321" s="1"/>
      <c r="F321" s="1"/>
      <c r="G321" s="1"/>
      <c r="H321" s="1"/>
      <c r="I321" s="1"/>
      <c r="J321" s="1"/>
      <c r="K321" s="1"/>
    </row>
    <row r="322" spans="5:11">
      <c r="E322" s="1"/>
      <c r="F322" s="1"/>
      <c r="G322" s="1"/>
      <c r="H322" s="1"/>
      <c r="I322" s="1"/>
      <c r="J322" s="1"/>
      <c r="K322" s="1"/>
    </row>
    <row r="323" spans="5:11">
      <c r="E323" s="1"/>
      <c r="F323" s="1"/>
      <c r="G323" s="1"/>
      <c r="H323" s="1"/>
      <c r="I323" s="1"/>
      <c r="J323" s="1"/>
      <c r="K323" s="1"/>
    </row>
    <row r="324" spans="5:11">
      <c r="E324" s="1"/>
      <c r="F324" s="1"/>
      <c r="G324" s="1"/>
      <c r="H324" s="1"/>
      <c r="I324" s="1"/>
      <c r="J324" s="1"/>
      <c r="K324" s="1"/>
    </row>
    <row r="325" spans="5:11">
      <c r="E325" s="1"/>
      <c r="F325" s="1"/>
      <c r="G325" s="1"/>
      <c r="H325" s="1"/>
      <c r="I325" s="1"/>
      <c r="J325" s="1"/>
      <c r="K325" s="1"/>
    </row>
    <row r="326" spans="5:11">
      <c r="E326" s="1"/>
      <c r="F326" s="1"/>
      <c r="G326" s="1"/>
      <c r="H326" s="1"/>
      <c r="I326" s="1"/>
      <c r="J326" s="1"/>
      <c r="K326" s="1"/>
    </row>
    <row r="327" spans="5:11">
      <c r="E327" s="1"/>
      <c r="F327" s="1"/>
      <c r="G327" s="1"/>
      <c r="H327" s="1"/>
      <c r="I327" s="1"/>
      <c r="J327" s="1"/>
      <c r="K327" s="1"/>
    </row>
    <row r="328" spans="5:11">
      <c r="E328" s="1"/>
      <c r="F328" s="1"/>
      <c r="G328" s="1"/>
      <c r="H328" s="1"/>
      <c r="I328" s="1"/>
      <c r="J328" s="1"/>
      <c r="K328" s="1"/>
    </row>
    <row r="329" spans="5:11">
      <c r="E329" s="1"/>
      <c r="F329" s="1"/>
      <c r="G329" s="1"/>
      <c r="H329" s="1"/>
      <c r="I329" s="1"/>
      <c r="J329" s="1"/>
      <c r="K329" s="1"/>
    </row>
    <row r="330" spans="5:11">
      <c r="E330" s="1"/>
      <c r="F330" s="1"/>
      <c r="G330" s="1"/>
      <c r="H330" s="1"/>
      <c r="I330" s="1"/>
      <c r="J330" s="1"/>
      <c r="K330" s="1"/>
    </row>
    <row r="331" spans="5:11">
      <c r="E331" s="1"/>
      <c r="F331" s="1"/>
      <c r="G331" s="1"/>
      <c r="H331" s="1"/>
      <c r="I331" s="1"/>
      <c r="J331" s="1"/>
      <c r="K331" s="1"/>
    </row>
    <row r="332" spans="5:11">
      <c r="E332" s="1"/>
      <c r="F332" s="1"/>
      <c r="G332" s="1"/>
      <c r="H332" s="1"/>
      <c r="I332" s="1"/>
      <c r="J332" s="1"/>
      <c r="K332" s="1"/>
    </row>
    <row r="333" spans="5:11">
      <c r="E333" s="1"/>
      <c r="F333" s="1"/>
      <c r="G333" s="1"/>
      <c r="H333" s="1"/>
      <c r="I333" s="1"/>
      <c r="J333" s="1"/>
      <c r="K333" s="1"/>
    </row>
    <row r="334" spans="5:11">
      <c r="E334" s="1"/>
      <c r="F334" s="1"/>
      <c r="G334" s="1"/>
      <c r="H334" s="1"/>
      <c r="I334" s="1"/>
      <c r="J334" s="1"/>
      <c r="K334" s="1"/>
    </row>
    <row r="335" spans="5:11">
      <c r="E335" s="1"/>
      <c r="F335" s="1"/>
      <c r="G335" s="1"/>
      <c r="H335" s="1"/>
      <c r="I335" s="1"/>
      <c r="J335" s="1"/>
      <c r="K335" s="1"/>
    </row>
    <row r="336" spans="5:11">
      <c r="E336" s="1"/>
      <c r="F336" s="1"/>
      <c r="G336" s="1"/>
      <c r="H336" s="1"/>
      <c r="I336" s="1"/>
      <c r="J336" s="1"/>
      <c r="K336" s="1"/>
    </row>
    <row r="337" spans="5:11">
      <c r="E337" s="1"/>
      <c r="F337" s="1"/>
      <c r="G337" s="1"/>
      <c r="H337" s="1"/>
      <c r="I337" s="1"/>
      <c r="J337" s="1"/>
      <c r="K337" s="1"/>
    </row>
    <row r="338" spans="5:11">
      <c r="E338" s="1"/>
      <c r="F338" s="1"/>
      <c r="G338" s="1"/>
      <c r="H338" s="1"/>
      <c r="I338" s="1"/>
      <c r="J338" s="1"/>
      <c r="K338" s="1"/>
    </row>
    <row r="339" spans="5:11">
      <c r="E339" s="1"/>
      <c r="F339" s="1"/>
      <c r="G339" s="1"/>
      <c r="H339" s="1"/>
      <c r="I339" s="1"/>
      <c r="J339" s="1"/>
      <c r="K339" s="1"/>
    </row>
    <row r="340" spans="5:11">
      <c r="E340" s="1"/>
      <c r="F340" s="1"/>
      <c r="G340" s="1"/>
      <c r="H340" s="1"/>
      <c r="I340" s="1"/>
      <c r="J340" s="1"/>
      <c r="K340" s="1"/>
    </row>
    <row r="341" spans="5:11">
      <c r="E341" s="1"/>
      <c r="F341" s="1"/>
      <c r="G341" s="1"/>
      <c r="H341" s="1"/>
      <c r="I341" s="1"/>
      <c r="J341" s="1"/>
      <c r="K341" s="1"/>
    </row>
    <row r="342" spans="5:11">
      <c r="E342" s="1"/>
      <c r="F342" s="1"/>
      <c r="G342" s="1"/>
      <c r="H342" s="1"/>
      <c r="I342" s="1"/>
      <c r="J342" s="1"/>
      <c r="K342" s="1"/>
    </row>
    <row r="343" spans="5:11">
      <c r="E343" s="1"/>
      <c r="F343" s="1"/>
      <c r="G343" s="1"/>
      <c r="H343" s="1"/>
      <c r="I343" s="1"/>
      <c r="J343" s="1"/>
      <c r="K343" s="1"/>
    </row>
    <row r="344" spans="5:11">
      <c r="E344" s="1"/>
      <c r="F344" s="1"/>
      <c r="G344" s="1"/>
      <c r="H344" s="1"/>
      <c r="I344" s="1"/>
      <c r="J344" s="1"/>
      <c r="K344" s="1"/>
    </row>
    <row r="345" spans="5:11">
      <c r="E345" s="1"/>
      <c r="F345" s="1"/>
      <c r="G345" s="1"/>
      <c r="H345" s="1"/>
      <c r="I345" s="1"/>
      <c r="J345" s="1"/>
      <c r="K345" s="1"/>
    </row>
    <row r="346" spans="5:11">
      <c r="E346" s="1"/>
      <c r="F346" s="1"/>
      <c r="G346" s="1"/>
      <c r="H346" s="1"/>
      <c r="I346" s="1"/>
      <c r="J346" s="1"/>
      <c r="K346" s="1"/>
    </row>
    <row r="347" spans="5:11">
      <c r="E347" s="1"/>
      <c r="F347" s="1"/>
      <c r="G347" s="1"/>
      <c r="H347" s="1"/>
      <c r="I347" s="1"/>
      <c r="J347" s="1"/>
      <c r="K347" s="1"/>
    </row>
    <row r="348" spans="5:11">
      <c r="E348" s="1"/>
      <c r="F348" s="1"/>
      <c r="G348" s="1"/>
      <c r="H348" s="1"/>
      <c r="I348" s="1"/>
      <c r="J348" s="1"/>
      <c r="K348" s="1"/>
    </row>
    <row r="349" spans="5:11">
      <c r="E349" s="1"/>
      <c r="F349" s="1"/>
      <c r="G349" s="1"/>
      <c r="H349" s="1"/>
      <c r="I349" s="1"/>
      <c r="J349" s="1"/>
      <c r="K349" s="1"/>
    </row>
    <row r="350" spans="5:11">
      <c r="E350" s="1"/>
      <c r="F350" s="1"/>
      <c r="G350" s="1"/>
      <c r="H350" s="1"/>
      <c r="I350" s="1"/>
      <c r="J350" s="1"/>
      <c r="K350" s="1"/>
    </row>
    <row r="351" spans="5:11">
      <c r="E351" s="1"/>
      <c r="F351" s="1"/>
      <c r="G351" s="1"/>
      <c r="H351" s="1"/>
      <c r="I351" s="1"/>
      <c r="J351" s="1"/>
      <c r="K351" s="1"/>
    </row>
    <row r="352" spans="5:11">
      <c r="E352" s="1"/>
      <c r="F352" s="1"/>
      <c r="G352" s="1"/>
      <c r="H352" s="1"/>
      <c r="I352" s="1"/>
      <c r="J352" s="1"/>
      <c r="K352" s="1"/>
    </row>
    <row r="353" spans="5:11">
      <c r="E353" s="1"/>
      <c r="F353" s="1"/>
      <c r="G353" s="1"/>
      <c r="H353" s="1"/>
      <c r="I353" s="1"/>
      <c r="J353" s="1"/>
      <c r="K353" s="1"/>
    </row>
    <row r="354" spans="5:11">
      <c r="E354" s="1"/>
      <c r="F354" s="1"/>
      <c r="G354" s="1"/>
      <c r="H354" s="1"/>
      <c r="I354" s="1"/>
      <c r="J354" s="1"/>
      <c r="K354" s="1"/>
    </row>
    <row r="355" spans="5:11">
      <c r="E355" s="1"/>
      <c r="F355" s="1"/>
      <c r="G355" s="1"/>
      <c r="H355" s="1"/>
      <c r="I355" s="1"/>
      <c r="J355" s="1"/>
      <c r="K355" s="1"/>
    </row>
    <row r="356" spans="5:11">
      <c r="E356" s="1"/>
      <c r="F356" s="1"/>
      <c r="G356" s="1"/>
      <c r="H356" s="1"/>
      <c r="I356" s="1"/>
      <c r="J356" s="1"/>
      <c r="K356" s="1"/>
    </row>
    <row r="357" spans="5:11">
      <c r="E357" s="1"/>
      <c r="F357" s="1"/>
      <c r="G357" s="1"/>
      <c r="H357" s="1"/>
      <c r="I357" s="1"/>
      <c r="J357" s="1"/>
      <c r="K357" s="1"/>
    </row>
    <row r="358" spans="5:11">
      <c r="E358" s="1"/>
      <c r="F358" s="1"/>
      <c r="G358" s="1"/>
      <c r="H358" s="1"/>
      <c r="I358" s="1"/>
      <c r="J358" s="1"/>
      <c r="K358" s="1"/>
    </row>
    <row r="359" spans="5:11">
      <c r="E359" s="1"/>
      <c r="F359" s="1"/>
      <c r="G359" s="1"/>
      <c r="H359" s="1"/>
      <c r="I359" s="1"/>
      <c r="J359" s="1"/>
      <c r="K359" s="1"/>
    </row>
    <row r="360" spans="5:11">
      <c r="E360" s="1"/>
      <c r="F360" s="1"/>
      <c r="G360" s="1"/>
      <c r="H360" s="1"/>
      <c r="I360" s="1"/>
      <c r="J360" s="1"/>
      <c r="K360" s="1"/>
    </row>
    <row r="361" spans="5:11">
      <c r="E361" s="1"/>
      <c r="F361" s="1"/>
      <c r="G361" s="1"/>
      <c r="H361" s="1"/>
      <c r="I361" s="1"/>
      <c r="J361" s="1"/>
      <c r="K361" s="1"/>
    </row>
    <row r="362" spans="5:11">
      <c r="E362" s="1"/>
      <c r="F362" s="1"/>
      <c r="G362" s="1"/>
      <c r="H362" s="1"/>
      <c r="I362" s="1"/>
      <c r="J362" s="1"/>
      <c r="K362" s="1"/>
    </row>
    <row r="363" spans="5:11">
      <c r="E363" s="1"/>
      <c r="F363" s="1"/>
      <c r="G363" s="1"/>
      <c r="H363" s="1"/>
      <c r="I363" s="1"/>
      <c r="J363" s="1"/>
      <c r="K363" s="1"/>
    </row>
    <row r="364" spans="5:11">
      <c r="E364" s="1"/>
      <c r="F364" s="1"/>
      <c r="G364" s="1"/>
      <c r="H364" s="1"/>
      <c r="I364" s="1"/>
      <c r="J364" s="1"/>
      <c r="K364" s="1"/>
    </row>
    <row r="365" spans="5:11">
      <c r="E365" s="1"/>
      <c r="F365" s="1"/>
      <c r="G365" s="1"/>
      <c r="H365" s="1"/>
      <c r="I365" s="1"/>
      <c r="J365" s="1"/>
      <c r="K365" s="1"/>
    </row>
    <row r="366" spans="5:11">
      <c r="E366" s="1"/>
      <c r="F366" s="1"/>
      <c r="G366" s="1"/>
      <c r="H366" s="1"/>
      <c r="I366" s="1"/>
      <c r="J366" s="1"/>
      <c r="K366" s="1"/>
    </row>
    <row r="367" spans="5:11">
      <c r="E367" s="1"/>
      <c r="F367" s="1"/>
      <c r="G367" s="1"/>
      <c r="H367" s="1"/>
      <c r="I367" s="1"/>
      <c r="J367" s="1"/>
      <c r="K367" s="1"/>
    </row>
    <row r="368" spans="5:11">
      <c r="E368" s="1"/>
      <c r="F368" s="1"/>
      <c r="G368" s="1"/>
      <c r="H368" s="1"/>
      <c r="I368" s="1"/>
      <c r="J368" s="1"/>
      <c r="K368" s="1"/>
    </row>
    <row r="369" spans="5:11">
      <c r="E369" s="1"/>
      <c r="F369" s="1"/>
      <c r="G369" s="1"/>
      <c r="H369" s="1"/>
      <c r="I369" s="1"/>
      <c r="J369" s="1"/>
      <c r="K369" s="1"/>
    </row>
    <row r="370" spans="5:11">
      <c r="E370" s="1"/>
      <c r="F370" s="1"/>
      <c r="G370" s="1"/>
      <c r="H370" s="1"/>
      <c r="I370" s="1"/>
      <c r="J370" s="1"/>
      <c r="K370" s="1"/>
    </row>
    <row r="371" spans="5:11">
      <c r="E371" s="1"/>
      <c r="F371" s="1"/>
      <c r="G371" s="1"/>
      <c r="H371" s="1"/>
      <c r="I371" s="1"/>
      <c r="J371" s="1"/>
      <c r="K371" s="1"/>
    </row>
    <row r="372" spans="5:11">
      <c r="E372" s="1"/>
      <c r="F372" s="1"/>
      <c r="G372" s="1"/>
      <c r="H372" s="1"/>
      <c r="I372" s="1"/>
      <c r="J372" s="1"/>
      <c r="K372" s="1"/>
    </row>
    <row r="373" spans="5:11">
      <c r="E373" s="1"/>
      <c r="F373" s="1"/>
      <c r="G373" s="1"/>
      <c r="H373" s="1"/>
      <c r="I373" s="1"/>
      <c r="J373" s="1"/>
      <c r="K373" s="1"/>
    </row>
    <row r="374" spans="5:11">
      <c r="E374" s="1"/>
      <c r="F374" s="1"/>
      <c r="G374" s="1"/>
      <c r="H374" s="1"/>
      <c r="I374" s="1"/>
      <c r="J374" s="1"/>
      <c r="K374" s="1"/>
    </row>
    <row r="375" spans="5:11">
      <c r="E375" s="1"/>
      <c r="F375" s="1"/>
      <c r="G375" s="1"/>
      <c r="H375" s="1"/>
      <c r="I375" s="1"/>
      <c r="J375" s="1"/>
      <c r="K375" s="1"/>
    </row>
    <row r="376" spans="5:11">
      <c r="E376" s="1"/>
      <c r="F376" s="1"/>
      <c r="G376" s="1"/>
      <c r="H376" s="1"/>
      <c r="I376" s="1"/>
      <c r="J376" s="1"/>
      <c r="K376" s="1"/>
    </row>
    <row r="377" spans="5:11">
      <c r="E377" s="1"/>
      <c r="F377" s="1"/>
      <c r="G377" s="1"/>
      <c r="H377" s="1"/>
      <c r="I377" s="1"/>
      <c r="J377" s="1"/>
      <c r="K377" s="1"/>
    </row>
    <row r="378" spans="5:11">
      <c r="E378" s="1"/>
      <c r="F378" s="1"/>
      <c r="G378" s="1"/>
      <c r="H378" s="1"/>
      <c r="I378" s="1"/>
      <c r="J378" s="1"/>
      <c r="K378" s="1"/>
    </row>
    <row r="379" spans="5:11">
      <c r="E379" s="1"/>
      <c r="F379" s="1"/>
      <c r="G379" s="1"/>
      <c r="H379" s="1"/>
      <c r="I379" s="1"/>
      <c r="J379" s="1"/>
      <c r="K379" s="1"/>
    </row>
    <row r="380" spans="5:11">
      <c r="E380" s="1"/>
      <c r="F380" s="1"/>
      <c r="G380" s="1"/>
      <c r="H380" s="1"/>
      <c r="I380" s="1"/>
      <c r="J380" s="1"/>
      <c r="K380" s="1"/>
    </row>
    <row r="381" spans="5:11">
      <c r="E381" s="1"/>
      <c r="F381" s="1"/>
      <c r="G381" s="1"/>
      <c r="H381" s="1"/>
      <c r="I381" s="1"/>
      <c r="J381" s="1"/>
      <c r="K381" s="1"/>
    </row>
    <row r="382" spans="5:11">
      <c r="E382" s="1"/>
      <c r="F382" s="1"/>
      <c r="G382" s="1"/>
      <c r="H382" s="1"/>
      <c r="I382" s="1"/>
      <c r="J382" s="1"/>
      <c r="K382" s="1"/>
    </row>
    <row r="383" spans="5:11">
      <c r="E383" s="1"/>
      <c r="F383" s="1"/>
      <c r="G383" s="1"/>
      <c r="H383" s="1"/>
      <c r="I383" s="1"/>
      <c r="J383" s="1"/>
      <c r="K383" s="1"/>
    </row>
    <row r="384" spans="5:11">
      <c r="E384" s="1"/>
      <c r="F384" s="1"/>
      <c r="G384" s="1"/>
      <c r="H384" s="1"/>
      <c r="I384" s="1"/>
      <c r="J384" s="1"/>
      <c r="K384" s="1"/>
    </row>
    <row r="385" spans="5:11">
      <c r="E385" s="1"/>
      <c r="F385" s="1"/>
      <c r="G385" s="1"/>
      <c r="H385" s="1"/>
      <c r="I385" s="1"/>
      <c r="J385" s="1"/>
      <c r="K385" s="1"/>
    </row>
    <row r="386" spans="5:11">
      <c r="E386" s="1"/>
      <c r="F386" s="1"/>
      <c r="G386" s="1"/>
      <c r="H386" s="1"/>
      <c r="I386" s="1"/>
      <c r="J386" s="1"/>
      <c r="K386" s="1"/>
    </row>
    <row r="387" spans="5:11">
      <c r="E387" s="1"/>
      <c r="F387" s="1"/>
      <c r="G387" s="1"/>
      <c r="H387" s="1"/>
      <c r="I387" s="1"/>
      <c r="J387" s="1"/>
      <c r="K387" s="1"/>
    </row>
    <row r="388" spans="5:11">
      <c r="E388" s="1"/>
      <c r="F388" s="1"/>
      <c r="G388" s="1"/>
      <c r="H388" s="1"/>
      <c r="I388" s="1"/>
      <c r="J388" s="1"/>
      <c r="K388" s="1"/>
    </row>
    <row r="389" spans="5:11">
      <c r="E389" s="1"/>
      <c r="F389" s="1"/>
      <c r="G389" s="1"/>
      <c r="H389" s="1"/>
      <c r="I389" s="1"/>
      <c r="J389" s="1"/>
      <c r="K389" s="1"/>
    </row>
    <row r="390" spans="5:11">
      <c r="E390" s="1"/>
      <c r="F390" s="1"/>
      <c r="G390" s="1"/>
      <c r="H390" s="1"/>
      <c r="I390" s="1"/>
      <c r="J390" s="1"/>
      <c r="K390" s="1"/>
    </row>
    <row r="391" spans="5:11">
      <c r="E391" s="1"/>
      <c r="F391" s="1"/>
      <c r="G391" s="1"/>
      <c r="H391" s="1"/>
      <c r="I391" s="1"/>
      <c r="J391" s="1"/>
      <c r="K391" s="1"/>
    </row>
    <row r="392" spans="5:11">
      <c r="E392" s="1"/>
      <c r="F392" s="1"/>
      <c r="G392" s="1"/>
      <c r="H392" s="1"/>
      <c r="I392" s="1"/>
      <c r="J392" s="1"/>
      <c r="K392" s="1"/>
    </row>
    <row r="393" spans="5:11">
      <c r="E393" s="1"/>
      <c r="F393" s="1"/>
      <c r="G393" s="1"/>
      <c r="H393" s="1"/>
      <c r="I393" s="1"/>
      <c r="J393" s="1"/>
      <c r="K393" s="1"/>
    </row>
    <row r="394" spans="5:11">
      <c r="E394" s="1"/>
      <c r="F394" s="1"/>
      <c r="G394" s="1"/>
      <c r="H394" s="1"/>
      <c r="I394" s="1"/>
      <c r="J394" s="1"/>
      <c r="K394" s="1"/>
    </row>
    <row r="395" spans="5:11">
      <c r="E395" s="1"/>
      <c r="F395" s="1"/>
      <c r="G395" s="1"/>
      <c r="H395" s="1"/>
      <c r="I395" s="1"/>
      <c r="J395" s="1"/>
      <c r="K395" s="1"/>
    </row>
    <row r="396" spans="5:11">
      <c r="E396" s="1"/>
      <c r="F396" s="1"/>
      <c r="G396" s="1"/>
      <c r="H396" s="1"/>
      <c r="I396" s="1"/>
      <c r="J396" s="1"/>
      <c r="K396" s="1"/>
    </row>
    <row r="397" spans="5:11">
      <c r="E397" s="1"/>
      <c r="F397" s="1"/>
      <c r="G397" s="1"/>
      <c r="H397" s="1"/>
      <c r="I397" s="1"/>
      <c r="J397" s="1"/>
      <c r="K397" s="1"/>
    </row>
    <row r="398" spans="5:11">
      <c r="E398" s="1"/>
      <c r="F398" s="1"/>
      <c r="G398" s="1"/>
      <c r="H398" s="1"/>
      <c r="I398" s="1"/>
      <c r="J398" s="1"/>
      <c r="K398" s="1"/>
    </row>
    <row r="399" spans="5:11">
      <c r="E399" s="1"/>
      <c r="F399" s="1"/>
      <c r="G399" s="1"/>
      <c r="H399" s="1"/>
      <c r="I399" s="1"/>
      <c r="J399" s="1"/>
      <c r="K399" s="1"/>
    </row>
    <row r="400" spans="5:11">
      <c r="E400" s="1"/>
      <c r="F400" s="1"/>
      <c r="G400" s="1"/>
      <c r="H400" s="1"/>
      <c r="I400" s="1"/>
      <c r="J400" s="1"/>
      <c r="K400" s="1"/>
    </row>
    <row r="401" spans="5:11">
      <c r="E401" s="1"/>
      <c r="F401" s="1"/>
      <c r="G401" s="1"/>
      <c r="H401" s="1"/>
      <c r="I401" s="1"/>
      <c r="J401" s="1"/>
      <c r="K401" s="1"/>
    </row>
    <row r="402" spans="5:11">
      <c r="E402" s="1"/>
      <c r="F402" s="1"/>
      <c r="G402" s="1"/>
      <c r="H402" s="1"/>
      <c r="I402" s="1"/>
      <c r="J402" s="1"/>
      <c r="K402" s="1"/>
    </row>
    <row r="403" spans="5:11">
      <c r="E403" s="1"/>
      <c r="F403" s="1"/>
      <c r="G403" s="1"/>
      <c r="H403" s="1"/>
      <c r="I403" s="1"/>
      <c r="J403" s="1"/>
      <c r="K403" s="1"/>
    </row>
    <row r="404" spans="5:11">
      <c r="E404" s="1"/>
      <c r="F404" s="1"/>
      <c r="G404" s="1"/>
      <c r="H404" s="1"/>
      <c r="I404" s="1"/>
      <c r="J404" s="1"/>
      <c r="K404" s="1"/>
    </row>
    <row r="405" spans="5:11">
      <c r="E405" s="1"/>
      <c r="F405" s="1"/>
      <c r="G405" s="1"/>
      <c r="H405" s="1"/>
      <c r="I405" s="1"/>
      <c r="J405" s="1"/>
      <c r="K405" s="1"/>
    </row>
    <row r="406" spans="5:11">
      <c r="E406" s="1"/>
      <c r="F406" s="1"/>
      <c r="G406" s="1"/>
      <c r="H406" s="1"/>
      <c r="I406" s="1"/>
      <c r="J406" s="1"/>
      <c r="K406" s="1"/>
    </row>
    <row r="407" spans="5:11">
      <c r="E407" s="1"/>
      <c r="F407" s="1"/>
      <c r="G407" s="1"/>
      <c r="H407" s="1"/>
      <c r="I407" s="1"/>
      <c r="J407" s="1"/>
      <c r="K407" s="1"/>
    </row>
    <row r="408" spans="5:11">
      <c r="E408" s="1"/>
      <c r="F408" s="1"/>
      <c r="G408" s="1"/>
      <c r="H408" s="1"/>
      <c r="I408" s="1"/>
      <c r="J408" s="1"/>
      <c r="K408" s="1"/>
    </row>
    <row r="409" spans="5:11">
      <c r="E409" s="1"/>
      <c r="F409" s="1"/>
      <c r="G409" s="1"/>
      <c r="H409" s="1"/>
      <c r="I409" s="1"/>
      <c r="J409" s="1"/>
      <c r="K409" s="1"/>
    </row>
    <row r="410" spans="5:11">
      <c r="E410" s="1"/>
      <c r="F410" s="1"/>
      <c r="G410" s="1"/>
      <c r="H410" s="1"/>
      <c r="I410" s="1"/>
      <c r="J410" s="1"/>
      <c r="K410" s="1"/>
    </row>
    <row r="411" spans="5:11">
      <c r="E411" s="1"/>
      <c r="F411" s="1"/>
      <c r="G411" s="1"/>
      <c r="H411" s="1"/>
      <c r="I411" s="1"/>
      <c r="J411" s="1"/>
      <c r="K411" s="1"/>
    </row>
    <row r="412" spans="5:11">
      <c r="E412" s="1"/>
      <c r="F412" s="1"/>
      <c r="G412" s="1"/>
      <c r="H412" s="1"/>
      <c r="I412" s="1"/>
      <c r="J412" s="1"/>
      <c r="K412" s="1"/>
    </row>
    <row r="413" spans="5:11">
      <c r="E413" s="1"/>
      <c r="F413" s="1"/>
      <c r="G413" s="1"/>
      <c r="H413" s="1"/>
      <c r="I413" s="1"/>
      <c r="J413" s="1"/>
      <c r="K413" s="1"/>
    </row>
    <row r="414" spans="5:11">
      <c r="E414" s="1"/>
      <c r="F414" s="1"/>
      <c r="G414" s="1"/>
      <c r="H414" s="1"/>
      <c r="I414" s="1"/>
      <c r="J414" s="1"/>
      <c r="K414" s="1"/>
    </row>
    <row r="415" spans="5:11">
      <c r="E415" s="1"/>
      <c r="F415" s="1"/>
      <c r="G415" s="1"/>
      <c r="H415" s="1"/>
      <c r="I415" s="1"/>
      <c r="J415" s="1"/>
      <c r="K415" s="1"/>
    </row>
    <row r="416" spans="5:11">
      <c r="E416" s="1"/>
      <c r="F416" s="1"/>
      <c r="G416" s="1"/>
      <c r="H416" s="1"/>
      <c r="I416" s="1"/>
      <c r="J416" s="1"/>
      <c r="K416" s="1"/>
    </row>
    <row r="417" spans="5:11">
      <c r="E417" s="1"/>
      <c r="F417" s="1"/>
      <c r="G417" s="1"/>
      <c r="H417" s="1"/>
      <c r="I417" s="1"/>
      <c r="J417" s="1"/>
      <c r="K417" s="1"/>
    </row>
    <row r="418" spans="5:11">
      <c r="E418" s="1"/>
      <c r="F418" s="1"/>
      <c r="G418" s="1"/>
      <c r="H418" s="1"/>
      <c r="I418" s="1"/>
      <c r="J418" s="1"/>
      <c r="K418" s="1"/>
    </row>
    <row r="419" spans="5:11">
      <c r="E419" s="1"/>
      <c r="F419" s="1"/>
      <c r="G419" s="1"/>
      <c r="H419" s="1"/>
      <c r="I419" s="1"/>
      <c r="J419" s="1"/>
      <c r="K419" s="1"/>
    </row>
    <row r="420" spans="5:11">
      <c r="E420" s="1"/>
      <c r="F420" s="1"/>
      <c r="G420" s="1"/>
      <c r="H420" s="1"/>
      <c r="I420" s="1"/>
      <c r="J420" s="1"/>
      <c r="K420" s="1"/>
    </row>
    <row r="421" spans="5:11">
      <c r="E421" s="1"/>
      <c r="F421" s="1"/>
      <c r="G421" s="1"/>
      <c r="H421" s="1"/>
      <c r="I421" s="1"/>
      <c r="J421" s="1"/>
      <c r="K421" s="1"/>
    </row>
    <row r="422" spans="5:11">
      <c r="E422" s="1"/>
      <c r="F422" s="1"/>
      <c r="G422" s="1"/>
      <c r="H422" s="1"/>
      <c r="I422" s="1"/>
      <c r="J422" s="1"/>
      <c r="K422" s="1"/>
    </row>
    <row r="423" spans="5:11">
      <c r="E423" s="1"/>
      <c r="F423" s="1"/>
      <c r="G423" s="1"/>
      <c r="H423" s="1"/>
      <c r="I423" s="1"/>
      <c r="J423" s="1"/>
      <c r="K423" s="1"/>
    </row>
    <row r="424" spans="5:11">
      <c r="E424" s="1"/>
      <c r="F424" s="1"/>
      <c r="G424" s="1"/>
      <c r="H424" s="1"/>
      <c r="I424" s="1"/>
      <c r="J424" s="1"/>
      <c r="K424" s="1"/>
    </row>
    <row r="425" spans="5:11">
      <c r="E425" s="1"/>
      <c r="F425" s="1"/>
      <c r="G425" s="1"/>
      <c r="H425" s="1"/>
      <c r="I425" s="1"/>
      <c r="J425" s="1"/>
      <c r="K425" s="1"/>
    </row>
    <row r="426" spans="5:11">
      <c r="E426" s="1"/>
      <c r="F426" s="1"/>
      <c r="G426" s="1"/>
      <c r="H426" s="1"/>
      <c r="I426" s="1"/>
      <c r="J426" s="1"/>
      <c r="K426" s="1"/>
    </row>
    <row r="427" spans="5:11">
      <c r="E427" s="1"/>
      <c r="F427" s="1"/>
      <c r="G427" s="1"/>
      <c r="H427" s="1"/>
      <c r="I427" s="1"/>
      <c r="J427" s="1"/>
      <c r="K427" s="1"/>
    </row>
    <row r="428" spans="5:11">
      <c r="E428" s="1"/>
      <c r="F428" s="1"/>
      <c r="G428" s="1"/>
      <c r="H428" s="1"/>
      <c r="I428" s="1"/>
      <c r="J428" s="1"/>
      <c r="K428" s="1"/>
    </row>
    <row r="429" spans="5:11">
      <c r="E429" s="1"/>
      <c r="F429" s="1"/>
      <c r="G429" s="1"/>
      <c r="H429" s="1"/>
      <c r="I429" s="1"/>
      <c r="J429" s="1"/>
      <c r="K429" s="1"/>
    </row>
    <row r="430" spans="5:11">
      <c r="E430" s="1"/>
      <c r="F430" s="1"/>
      <c r="G430" s="1"/>
      <c r="H430" s="1"/>
      <c r="I430" s="1"/>
      <c r="J430" s="1"/>
      <c r="K430" s="1"/>
    </row>
    <row r="431" spans="5:11">
      <c r="E431" s="1"/>
      <c r="F431" s="1"/>
      <c r="G431" s="1"/>
      <c r="H431" s="1"/>
      <c r="I431" s="1"/>
      <c r="J431" s="1"/>
      <c r="K431" s="1"/>
    </row>
    <row r="432" spans="5:11">
      <c r="E432" s="1"/>
      <c r="F432" s="1"/>
      <c r="G432" s="1"/>
      <c r="H432" s="1"/>
      <c r="I432" s="1"/>
      <c r="J432" s="1"/>
      <c r="K432" s="1"/>
    </row>
    <row r="433" spans="5:11">
      <c r="E433" s="1"/>
      <c r="F433" s="1"/>
      <c r="G433" s="1"/>
      <c r="H433" s="1"/>
      <c r="I433" s="1"/>
      <c r="J433" s="1"/>
      <c r="K433" s="1"/>
    </row>
    <row r="434" spans="5:11">
      <c r="E434" s="1"/>
      <c r="F434" s="1"/>
      <c r="G434" s="1"/>
      <c r="H434" s="1"/>
      <c r="I434" s="1"/>
      <c r="J434" s="1"/>
      <c r="K434" s="1"/>
    </row>
    <row r="435" spans="5:11">
      <c r="E435" s="1"/>
      <c r="F435" s="1"/>
      <c r="G435" s="1"/>
      <c r="H435" s="1"/>
      <c r="I435" s="1"/>
      <c r="J435" s="1"/>
      <c r="K435" s="1"/>
    </row>
    <row r="436" spans="5:11">
      <c r="E436" s="1"/>
      <c r="F436" s="1"/>
      <c r="G436" s="1"/>
      <c r="H436" s="1"/>
      <c r="I436" s="1"/>
      <c r="J436" s="1"/>
      <c r="K436" s="1"/>
    </row>
    <row r="437" spans="5:11">
      <c r="E437" s="1"/>
      <c r="F437" s="1"/>
      <c r="G437" s="1"/>
      <c r="H437" s="1"/>
      <c r="I437" s="1"/>
      <c r="J437" s="1"/>
      <c r="K437" s="1"/>
    </row>
    <row r="438" spans="5:11">
      <c r="E438" s="1"/>
      <c r="F438" s="1"/>
      <c r="G438" s="1"/>
      <c r="H438" s="1"/>
      <c r="I438" s="1"/>
      <c r="J438" s="1"/>
      <c r="K438" s="1"/>
    </row>
    <row r="439" spans="5:11">
      <c r="E439" s="1"/>
      <c r="F439" s="1"/>
      <c r="G439" s="1"/>
      <c r="H439" s="1"/>
      <c r="I439" s="1"/>
      <c r="J439" s="1"/>
      <c r="K439" s="1"/>
    </row>
    <row r="440" spans="5:11">
      <c r="E440" s="1"/>
      <c r="F440" s="1"/>
      <c r="G440" s="1"/>
      <c r="H440" s="1"/>
      <c r="I440" s="1"/>
      <c r="J440" s="1"/>
      <c r="K440" s="1"/>
    </row>
    <row r="441" spans="5:11">
      <c r="E441" s="1"/>
      <c r="F441" s="1"/>
      <c r="G441" s="1"/>
      <c r="H441" s="1"/>
      <c r="I441" s="1"/>
      <c r="J441" s="1"/>
      <c r="K441" s="1"/>
    </row>
    <row r="442" spans="5:11">
      <c r="E442" s="1"/>
      <c r="F442" s="1"/>
      <c r="G442" s="1"/>
      <c r="H442" s="1"/>
      <c r="I442" s="1"/>
      <c r="J442" s="1"/>
      <c r="K442" s="1"/>
    </row>
    <row r="443" spans="5:11">
      <c r="E443" s="1"/>
      <c r="F443" s="1"/>
      <c r="G443" s="1"/>
      <c r="H443" s="1"/>
      <c r="I443" s="1"/>
      <c r="J443" s="1"/>
      <c r="K443" s="1"/>
    </row>
    <row r="444" spans="5:11">
      <c r="E444" s="1"/>
      <c r="F444" s="1"/>
      <c r="G444" s="1"/>
      <c r="H444" s="1"/>
      <c r="I444" s="1"/>
      <c r="J444" s="1"/>
      <c r="K444" s="1"/>
    </row>
    <row r="445" spans="5:11">
      <c r="E445" s="1"/>
      <c r="F445" s="1"/>
      <c r="G445" s="1"/>
      <c r="H445" s="1"/>
      <c r="I445" s="1"/>
      <c r="J445" s="1"/>
      <c r="K445" s="1"/>
    </row>
    <row r="446" spans="5:11">
      <c r="E446" s="1"/>
      <c r="F446" s="1"/>
      <c r="G446" s="1"/>
      <c r="H446" s="1"/>
      <c r="I446" s="1"/>
      <c r="J446" s="1"/>
      <c r="K446" s="1"/>
    </row>
    <row r="447" spans="5:11">
      <c r="E447" s="1"/>
      <c r="F447" s="1"/>
      <c r="G447" s="1"/>
      <c r="H447" s="1"/>
      <c r="I447" s="1"/>
      <c r="J447" s="1"/>
      <c r="K447" s="1"/>
    </row>
    <row r="448" spans="5:11">
      <c r="E448" s="1"/>
      <c r="F448" s="1"/>
      <c r="G448" s="1"/>
      <c r="H448" s="1"/>
      <c r="I448" s="1"/>
      <c r="J448" s="1"/>
      <c r="K448" s="1"/>
    </row>
    <row r="449" spans="5:11">
      <c r="E449" s="1"/>
      <c r="F449" s="1"/>
      <c r="G449" s="1"/>
      <c r="H449" s="1"/>
      <c r="I449" s="1"/>
      <c r="J449" s="1"/>
      <c r="K449" s="1"/>
    </row>
    <row r="450" spans="5:11">
      <c r="E450" s="1"/>
      <c r="F450" s="1"/>
      <c r="G450" s="1"/>
      <c r="H450" s="1"/>
      <c r="I450" s="1"/>
      <c r="J450" s="1"/>
      <c r="K450" s="1"/>
    </row>
    <row r="451" spans="5:11">
      <c r="E451" s="1"/>
      <c r="F451" s="1"/>
      <c r="G451" s="1"/>
      <c r="H451" s="1"/>
      <c r="I451" s="1"/>
      <c r="J451" s="1"/>
      <c r="K451" s="1"/>
    </row>
    <row r="452" spans="5:11">
      <c r="E452" s="1"/>
      <c r="F452" s="1"/>
      <c r="G452" s="1"/>
      <c r="H452" s="1"/>
      <c r="I452" s="1"/>
      <c r="J452" s="1"/>
      <c r="K452" s="1"/>
    </row>
    <row r="453" spans="5:11">
      <c r="E453" s="1"/>
      <c r="F453" s="1"/>
      <c r="G453" s="1"/>
      <c r="H453" s="1"/>
      <c r="I453" s="1"/>
      <c r="J453" s="1"/>
      <c r="K453" s="1"/>
    </row>
    <row r="454" spans="5:11">
      <c r="E454" s="1"/>
      <c r="F454" s="1"/>
      <c r="G454" s="1"/>
      <c r="H454" s="1"/>
      <c r="I454" s="1"/>
      <c r="J454" s="1"/>
      <c r="K454" s="1"/>
    </row>
    <row r="455" spans="5:11">
      <c r="E455" s="1"/>
      <c r="F455" s="1"/>
      <c r="G455" s="1"/>
      <c r="H455" s="1"/>
      <c r="I455" s="1"/>
      <c r="J455" s="1"/>
      <c r="K455" s="1"/>
    </row>
    <row r="456" spans="5:11">
      <c r="E456" s="1"/>
      <c r="F456" s="1"/>
      <c r="G456" s="1"/>
      <c r="H456" s="1"/>
      <c r="I456" s="1"/>
      <c r="J456" s="1"/>
      <c r="K456" s="1"/>
    </row>
    <row r="457" spans="5:11">
      <c r="E457" s="1"/>
      <c r="F457" s="1"/>
      <c r="G457" s="1"/>
      <c r="H457" s="1"/>
      <c r="I457" s="1"/>
      <c r="J457" s="1"/>
      <c r="K457" s="1"/>
    </row>
    <row r="458" spans="5:11">
      <c r="E458" s="1"/>
      <c r="F458" s="1"/>
      <c r="G458" s="1"/>
      <c r="H458" s="1"/>
      <c r="I458" s="1"/>
      <c r="J458" s="1"/>
      <c r="K458" s="1"/>
    </row>
    <row r="459" spans="5:11">
      <c r="E459" s="1"/>
      <c r="F459" s="1"/>
      <c r="G459" s="1"/>
      <c r="H459" s="1"/>
      <c r="I459" s="1"/>
      <c r="J459" s="1"/>
      <c r="K459" s="1"/>
    </row>
    <row r="460" spans="5:11">
      <c r="E460" s="1"/>
      <c r="F460" s="1"/>
      <c r="G460" s="1"/>
      <c r="H460" s="1"/>
      <c r="I460" s="1"/>
      <c r="J460" s="1"/>
      <c r="K460" s="1"/>
    </row>
    <row r="461" spans="5:11">
      <c r="E461" s="1"/>
      <c r="F461" s="1"/>
      <c r="G461" s="1"/>
      <c r="H461" s="1"/>
      <c r="I461" s="1"/>
      <c r="J461" s="1"/>
      <c r="K461" s="1"/>
    </row>
    <row r="462" spans="5:11">
      <c r="E462" s="1"/>
      <c r="F462" s="1"/>
      <c r="G462" s="1"/>
      <c r="H462" s="1"/>
      <c r="I462" s="1"/>
      <c r="J462" s="1"/>
      <c r="K462" s="1"/>
    </row>
    <row r="463" spans="5:11">
      <c r="E463" s="1"/>
      <c r="F463" s="1"/>
      <c r="G463" s="1"/>
      <c r="H463" s="1"/>
      <c r="I463" s="1"/>
      <c r="J463" s="1"/>
      <c r="K463" s="1"/>
    </row>
    <row r="464" spans="5:11">
      <c r="E464" s="1"/>
      <c r="F464" s="1"/>
      <c r="G464" s="1"/>
      <c r="H464" s="1"/>
      <c r="I464" s="1"/>
      <c r="J464" s="1"/>
      <c r="K464" s="1"/>
    </row>
    <row r="465" spans="5:11">
      <c r="E465" s="1"/>
      <c r="F465" s="1"/>
      <c r="G465" s="1"/>
      <c r="H465" s="1"/>
      <c r="I465" s="1"/>
      <c r="J465" s="1"/>
      <c r="K465" s="1"/>
    </row>
    <row r="466" spans="5:11">
      <c r="E466" s="1"/>
      <c r="F466" s="1"/>
      <c r="G466" s="1"/>
      <c r="H466" s="1"/>
      <c r="I466" s="1"/>
      <c r="J466" s="1"/>
      <c r="K466" s="1"/>
    </row>
    <row r="467" spans="5:11">
      <c r="E467" s="1"/>
      <c r="F467" s="1"/>
      <c r="G467" s="1"/>
      <c r="H467" s="1"/>
      <c r="I467" s="1"/>
      <c r="J467" s="1"/>
      <c r="K467" s="1"/>
    </row>
    <row r="468" spans="5:11">
      <c r="E468" s="1"/>
      <c r="F468" s="1"/>
      <c r="G468" s="1"/>
      <c r="H468" s="1"/>
      <c r="I468" s="1"/>
      <c r="J468" s="1"/>
      <c r="K468" s="1"/>
    </row>
    <row r="469" spans="5:11">
      <c r="E469" s="1"/>
      <c r="F469" s="1"/>
      <c r="G469" s="1"/>
      <c r="H469" s="1"/>
      <c r="I469" s="1"/>
      <c r="J469" s="1"/>
      <c r="K469" s="1"/>
    </row>
    <row r="470" spans="5:11">
      <c r="E470" s="1"/>
      <c r="F470" s="1"/>
      <c r="G470" s="1"/>
      <c r="H470" s="1"/>
      <c r="I470" s="1"/>
      <c r="J470" s="1"/>
      <c r="K470" s="1"/>
    </row>
    <row r="471" spans="5:11">
      <c r="E471" s="1"/>
      <c r="F471" s="1"/>
      <c r="G471" s="1"/>
      <c r="H471" s="1"/>
      <c r="I471" s="1"/>
      <c r="J471" s="1"/>
      <c r="K471" s="1"/>
    </row>
    <row r="472" spans="5:11">
      <c r="E472" s="1"/>
      <c r="F472" s="1"/>
      <c r="G472" s="1"/>
      <c r="H472" s="1"/>
      <c r="I472" s="1"/>
      <c r="J472" s="1"/>
      <c r="K472" s="1"/>
    </row>
    <row r="473" spans="5:11">
      <c r="E473" s="1"/>
      <c r="F473" s="1"/>
      <c r="G473" s="1"/>
      <c r="H473" s="1"/>
      <c r="I473" s="1"/>
      <c r="J473" s="1"/>
      <c r="K473" s="1"/>
    </row>
    <row r="474" spans="5:11">
      <c r="E474" s="1"/>
      <c r="F474" s="1"/>
      <c r="G474" s="1"/>
      <c r="H474" s="1"/>
      <c r="I474" s="1"/>
      <c r="J474" s="1"/>
      <c r="K474" s="1"/>
    </row>
    <row r="475" spans="5:11">
      <c r="E475" s="1"/>
      <c r="F475" s="1"/>
      <c r="G475" s="1"/>
      <c r="H475" s="1"/>
      <c r="I475" s="1"/>
      <c r="J475" s="1"/>
      <c r="K475" s="1"/>
    </row>
    <row r="476" spans="5:11">
      <c r="E476" s="1"/>
      <c r="F476" s="1"/>
      <c r="G476" s="1"/>
      <c r="H476" s="1"/>
      <c r="I476" s="1"/>
      <c r="J476" s="1"/>
      <c r="K476" s="1"/>
    </row>
    <row r="477" spans="5:11">
      <c r="E477" s="1"/>
      <c r="F477" s="1"/>
      <c r="G477" s="1"/>
      <c r="H477" s="1"/>
      <c r="I477" s="1"/>
      <c r="J477" s="1"/>
      <c r="K477" s="1"/>
    </row>
    <row r="478" spans="5:11">
      <c r="E478" s="1"/>
      <c r="F478" s="1"/>
      <c r="G478" s="1"/>
      <c r="H478" s="1"/>
      <c r="I478" s="1"/>
      <c r="J478" s="1"/>
      <c r="K478" s="1"/>
    </row>
    <row r="479" spans="5:11">
      <c r="E479" s="1"/>
      <c r="F479" s="1"/>
      <c r="G479" s="1"/>
      <c r="H479" s="1"/>
      <c r="I479" s="1"/>
      <c r="J479" s="1"/>
      <c r="K479" s="1"/>
    </row>
    <row r="480" spans="5:11">
      <c r="E480" s="1"/>
      <c r="F480" s="1"/>
      <c r="G480" s="1"/>
      <c r="H480" s="1"/>
      <c r="I480" s="1"/>
      <c r="J480" s="1"/>
      <c r="K480" s="1"/>
    </row>
    <row r="481" spans="5:11">
      <c r="E481" s="1"/>
      <c r="F481" s="1"/>
      <c r="G481" s="1"/>
      <c r="H481" s="1"/>
      <c r="I481" s="1"/>
      <c r="J481" s="1"/>
      <c r="K481" s="1"/>
    </row>
    <row r="482" spans="5:11">
      <c r="E482" s="1"/>
      <c r="F482" s="1"/>
      <c r="G482" s="1"/>
      <c r="H482" s="1"/>
      <c r="I482" s="1"/>
      <c r="J482" s="1"/>
      <c r="K482" s="1"/>
    </row>
    <row r="483" spans="5:11">
      <c r="E483" s="1"/>
      <c r="F483" s="1"/>
      <c r="G483" s="1"/>
      <c r="H483" s="1"/>
      <c r="I483" s="1"/>
      <c r="J483" s="1"/>
      <c r="K483" s="1"/>
    </row>
    <row r="484" spans="5:11">
      <c r="E484" s="1"/>
      <c r="F484" s="1"/>
      <c r="G484" s="1"/>
      <c r="H484" s="1"/>
      <c r="I484" s="1"/>
      <c r="J484" s="1"/>
      <c r="K484" s="1"/>
    </row>
    <row r="485" spans="5:11">
      <c r="E485" s="1"/>
      <c r="F485" s="1"/>
      <c r="G485" s="1"/>
      <c r="H485" s="1"/>
      <c r="I485" s="1"/>
      <c r="J485" s="1"/>
      <c r="K485" s="1"/>
    </row>
    <row r="486" spans="5:11">
      <c r="E486" s="1"/>
      <c r="F486" s="1"/>
      <c r="G486" s="1"/>
      <c r="H486" s="1"/>
      <c r="I486" s="1"/>
      <c r="J486" s="1"/>
      <c r="K486" s="1"/>
    </row>
    <row r="487" spans="5:11">
      <c r="E487" s="1"/>
      <c r="F487" s="1"/>
      <c r="G487" s="1"/>
      <c r="H487" s="1"/>
      <c r="I487" s="1"/>
      <c r="J487" s="1"/>
      <c r="K487" s="1"/>
    </row>
    <row r="488" spans="5:11">
      <c r="E488" s="1"/>
      <c r="F488" s="1"/>
      <c r="G488" s="1"/>
      <c r="H488" s="1"/>
      <c r="I488" s="1"/>
      <c r="J488" s="1"/>
      <c r="K488" s="1"/>
    </row>
    <row r="489" spans="5:11">
      <c r="E489" s="1"/>
      <c r="F489" s="1"/>
      <c r="G489" s="1"/>
      <c r="H489" s="1"/>
      <c r="I489" s="1"/>
      <c r="J489" s="1"/>
      <c r="K489" s="1"/>
    </row>
    <row r="490" spans="5:11">
      <c r="E490" s="1"/>
      <c r="F490" s="1"/>
      <c r="G490" s="1"/>
      <c r="H490" s="1"/>
      <c r="I490" s="1"/>
      <c r="J490" s="1"/>
      <c r="K490" s="1"/>
    </row>
    <row r="491" spans="5:11">
      <c r="E491" s="1"/>
      <c r="F491" s="1"/>
      <c r="G491" s="1"/>
      <c r="H491" s="1"/>
      <c r="I491" s="1"/>
      <c r="J491" s="1"/>
      <c r="K491" s="1"/>
    </row>
    <row r="492" spans="5:11">
      <c r="E492" s="1"/>
      <c r="F492" s="1"/>
      <c r="G492" s="1"/>
      <c r="H492" s="1"/>
      <c r="I492" s="1"/>
      <c r="J492" s="1"/>
      <c r="K492" s="1"/>
    </row>
    <row r="493" spans="5:11">
      <c r="E493" s="1"/>
      <c r="F493" s="1"/>
      <c r="G493" s="1"/>
      <c r="H493" s="1"/>
      <c r="I493" s="1"/>
      <c r="J493" s="1"/>
      <c r="K493" s="1"/>
    </row>
    <row r="494" spans="5:11">
      <c r="E494" s="1"/>
      <c r="F494" s="1"/>
      <c r="G494" s="1"/>
      <c r="H494" s="1"/>
      <c r="I494" s="1"/>
      <c r="J494" s="1"/>
      <c r="K494" s="1"/>
    </row>
    <row r="495" spans="5:11">
      <c r="E495" s="1"/>
      <c r="F495" s="1"/>
      <c r="G495" s="1"/>
      <c r="H495" s="1"/>
      <c r="I495" s="1"/>
      <c r="J495" s="1"/>
      <c r="K495" s="1"/>
    </row>
    <row r="496" spans="5:11">
      <c r="E496" s="1"/>
      <c r="F496" s="1"/>
      <c r="G496" s="1"/>
      <c r="H496" s="1"/>
      <c r="I496" s="1"/>
      <c r="J496" s="1"/>
      <c r="K496" s="1"/>
    </row>
    <row r="497" spans="5:11">
      <c r="E497" s="1"/>
      <c r="F497" s="1"/>
      <c r="G497" s="1"/>
      <c r="H497" s="1"/>
      <c r="I497" s="1"/>
      <c r="J497" s="1"/>
      <c r="K497" s="1"/>
    </row>
    <row r="498" spans="5:11">
      <c r="E498" s="1"/>
      <c r="F498" s="1"/>
      <c r="G498" s="1"/>
      <c r="H498" s="1"/>
      <c r="I498" s="1"/>
      <c r="J498" s="1"/>
      <c r="K498" s="1"/>
    </row>
    <row r="499" spans="5:11">
      <c r="E499" s="1"/>
      <c r="F499" s="1"/>
      <c r="G499" s="1"/>
      <c r="H499" s="1"/>
      <c r="I499" s="1"/>
      <c r="J499" s="1"/>
      <c r="K499" s="1"/>
    </row>
    <row r="500" spans="5:11">
      <c r="E500" s="1"/>
      <c r="F500" s="1"/>
      <c r="G500" s="1"/>
      <c r="H500" s="1"/>
      <c r="I500" s="1"/>
      <c r="J500" s="1"/>
      <c r="K500" s="1"/>
    </row>
    <row r="501" spans="5:11">
      <c r="E501" s="1"/>
      <c r="F501" s="1"/>
      <c r="G501" s="1"/>
      <c r="H501" s="1"/>
      <c r="I501" s="1"/>
      <c r="J501" s="1"/>
      <c r="K501" s="1"/>
    </row>
    <row r="502" spans="5:11">
      <c r="E502" s="1"/>
      <c r="F502" s="1"/>
      <c r="G502" s="1"/>
      <c r="H502" s="1"/>
      <c r="I502" s="1"/>
      <c r="J502" s="1"/>
      <c r="K502" s="1"/>
    </row>
    <row r="503" spans="5:11">
      <c r="E503" s="1"/>
      <c r="F503" s="1"/>
      <c r="G503" s="1"/>
      <c r="H503" s="1"/>
      <c r="I503" s="1"/>
      <c r="J503" s="1"/>
      <c r="K503" s="1"/>
    </row>
    <row r="504" spans="5:11">
      <c r="E504" s="1"/>
      <c r="F504" s="1"/>
      <c r="G504" s="1"/>
      <c r="H504" s="1"/>
      <c r="I504" s="1"/>
      <c r="J504" s="1"/>
      <c r="K504" s="1"/>
    </row>
    <row r="505" spans="5:11">
      <c r="E505" s="1"/>
      <c r="F505" s="1"/>
      <c r="G505" s="1"/>
      <c r="H505" s="1"/>
      <c r="I505" s="1"/>
      <c r="J505" s="1"/>
      <c r="K505" s="1"/>
    </row>
    <row r="506" spans="5:11">
      <c r="E506" s="1"/>
      <c r="F506" s="1"/>
      <c r="G506" s="1"/>
      <c r="H506" s="1"/>
      <c r="I506" s="1"/>
      <c r="J506" s="1"/>
      <c r="K506" s="1"/>
    </row>
    <row r="507" spans="5:11">
      <c r="E507" s="1"/>
      <c r="F507" s="1"/>
      <c r="G507" s="1"/>
      <c r="H507" s="1"/>
      <c r="I507" s="1"/>
      <c r="J507" s="1"/>
      <c r="K507" s="1"/>
    </row>
    <row r="508" spans="5:11">
      <c r="E508" s="1"/>
      <c r="F508" s="1"/>
      <c r="G508" s="1"/>
      <c r="H508" s="1"/>
      <c r="I508" s="1"/>
      <c r="J508" s="1"/>
      <c r="K508" s="1"/>
    </row>
    <row r="509" spans="5:11">
      <c r="E509" s="1"/>
      <c r="F509" s="1"/>
      <c r="G509" s="1"/>
      <c r="H509" s="1"/>
      <c r="I509" s="1"/>
      <c r="J509" s="1"/>
      <c r="K509" s="1"/>
    </row>
    <row r="510" spans="5:11">
      <c r="E510" s="1"/>
      <c r="F510" s="1"/>
      <c r="G510" s="1"/>
      <c r="H510" s="1"/>
      <c r="I510" s="1"/>
      <c r="J510" s="1"/>
      <c r="K510" s="1"/>
    </row>
    <row r="511" spans="5:11">
      <c r="E511" s="1"/>
      <c r="F511" s="1"/>
      <c r="G511" s="1"/>
      <c r="H511" s="1"/>
      <c r="I511" s="1"/>
      <c r="J511" s="1"/>
      <c r="K511" s="1"/>
    </row>
    <row r="512" spans="5:11">
      <c r="E512" s="1"/>
      <c r="F512" s="1"/>
      <c r="G512" s="1"/>
      <c r="H512" s="1"/>
      <c r="I512" s="1"/>
      <c r="J512" s="1"/>
      <c r="K512" s="1"/>
    </row>
    <row r="513" spans="5:11">
      <c r="E513" s="1"/>
      <c r="F513" s="1"/>
      <c r="G513" s="1"/>
      <c r="H513" s="1"/>
      <c r="I513" s="1"/>
      <c r="J513" s="1"/>
      <c r="K513" s="1"/>
    </row>
    <row r="514" spans="5:11">
      <c r="E514" s="1"/>
      <c r="F514" s="1"/>
      <c r="G514" s="1"/>
      <c r="H514" s="1"/>
      <c r="I514" s="1"/>
      <c r="J514" s="1"/>
      <c r="K514" s="1"/>
    </row>
    <row r="515" spans="5:11">
      <c r="E515" s="1"/>
      <c r="F515" s="1"/>
      <c r="G515" s="1"/>
      <c r="H515" s="1"/>
      <c r="I515" s="1"/>
      <c r="J515" s="1"/>
      <c r="K515" s="1"/>
    </row>
    <row r="516" spans="5:11">
      <c r="E516" s="1"/>
      <c r="F516" s="1"/>
      <c r="G516" s="1"/>
      <c r="H516" s="1"/>
      <c r="I516" s="1"/>
      <c r="J516" s="1"/>
      <c r="K516" s="1"/>
    </row>
    <row r="517" spans="5:11">
      <c r="E517" s="1"/>
      <c r="F517" s="1"/>
      <c r="G517" s="1"/>
      <c r="H517" s="1"/>
      <c r="I517" s="1"/>
      <c r="J517" s="1"/>
      <c r="K517" s="1"/>
    </row>
    <row r="518" spans="5:11">
      <c r="E518" s="1"/>
      <c r="F518" s="1"/>
      <c r="G518" s="1"/>
      <c r="H518" s="1"/>
      <c r="I518" s="1"/>
      <c r="J518" s="1"/>
      <c r="K518" s="1"/>
    </row>
    <row r="519" spans="5:11">
      <c r="E519" s="1"/>
      <c r="F519" s="1"/>
      <c r="G519" s="1"/>
      <c r="H519" s="1"/>
      <c r="I519" s="1"/>
      <c r="J519" s="1"/>
      <c r="K519" s="1"/>
    </row>
    <row r="520" spans="5:11">
      <c r="E520" s="1"/>
      <c r="F520" s="1"/>
      <c r="G520" s="1"/>
      <c r="H520" s="1"/>
      <c r="I520" s="1"/>
      <c r="J520" s="1"/>
      <c r="K520" s="1"/>
    </row>
    <row r="521" spans="5:11">
      <c r="E521" s="1"/>
      <c r="F521" s="1"/>
      <c r="G521" s="1"/>
      <c r="H521" s="1"/>
      <c r="I521" s="1"/>
      <c r="J521" s="1"/>
      <c r="K521" s="1"/>
    </row>
    <row r="522" spans="5:11">
      <c r="E522" s="1"/>
      <c r="F522" s="1"/>
      <c r="G522" s="1"/>
      <c r="H522" s="1"/>
      <c r="I522" s="1"/>
      <c r="J522" s="1"/>
      <c r="K522" s="1"/>
    </row>
    <row r="523" spans="5:11">
      <c r="E523" s="1"/>
      <c r="F523" s="1"/>
      <c r="G523" s="1"/>
      <c r="H523" s="1"/>
      <c r="I523" s="1"/>
      <c r="J523" s="1"/>
      <c r="K523" s="1"/>
    </row>
    <row r="524" spans="5:11">
      <c r="E524" s="1"/>
      <c r="F524" s="1"/>
      <c r="G524" s="1"/>
      <c r="H524" s="1"/>
      <c r="I524" s="1"/>
      <c r="J524" s="1"/>
      <c r="K524" s="1"/>
    </row>
    <row r="525" spans="5:11">
      <c r="E525" s="1"/>
      <c r="F525" s="1"/>
      <c r="G525" s="1"/>
      <c r="H525" s="1"/>
      <c r="I525" s="1"/>
      <c r="J525" s="1"/>
      <c r="K525" s="1"/>
    </row>
    <row r="526" spans="5:11">
      <c r="E526" s="1"/>
      <c r="F526" s="1"/>
      <c r="G526" s="1"/>
      <c r="H526" s="1"/>
      <c r="I526" s="1"/>
      <c r="J526" s="1"/>
      <c r="K526" s="1"/>
    </row>
    <row r="527" spans="5:11">
      <c r="E527" s="1"/>
      <c r="F527" s="1"/>
      <c r="G527" s="1"/>
      <c r="H527" s="1"/>
      <c r="I527" s="1"/>
      <c r="J527" s="1"/>
      <c r="K527" s="1"/>
    </row>
    <row r="528" spans="5:11">
      <c r="E528" s="1"/>
      <c r="F528" s="1"/>
      <c r="G528" s="1"/>
      <c r="H528" s="1"/>
      <c r="I528" s="1"/>
      <c r="J528" s="1"/>
      <c r="K528" s="1"/>
    </row>
    <row r="529" spans="5:11">
      <c r="E529" s="1"/>
      <c r="F529" s="1"/>
      <c r="G529" s="1"/>
      <c r="H529" s="1"/>
      <c r="I529" s="1"/>
      <c r="J529" s="1"/>
      <c r="K529" s="1"/>
    </row>
    <row r="530" spans="5:11">
      <c r="E530" s="1"/>
      <c r="F530" s="1"/>
      <c r="G530" s="1"/>
      <c r="H530" s="1"/>
      <c r="I530" s="1"/>
      <c r="J530" s="1"/>
      <c r="K530" s="1"/>
    </row>
    <row r="531" spans="5:11">
      <c r="E531" s="1"/>
      <c r="F531" s="1"/>
      <c r="G531" s="1"/>
      <c r="H531" s="1"/>
      <c r="I531" s="1"/>
      <c r="J531" s="1"/>
      <c r="K531" s="1"/>
    </row>
    <row r="532" spans="5:11">
      <c r="E532" s="1"/>
      <c r="F532" s="1"/>
      <c r="G532" s="1"/>
      <c r="H532" s="1"/>
      <c r="I532" s="1"/>
      <c r="J532" s="1"/>
      <c r="K532" s="1"/>
    </row>
    <row r="533" spans="5:11">
      <c r="E533" s="1"/>
      <c r="F533" s="1"/>
      <c r="G533" s="1"/>
      <c r="H533" s="1"/>
      <c r="I533" s="1"/>
      <c r="J533" s="1"/>
      <c r="K533" s="1"/>
    </row>
    <row r="534" spans="5:11">
      <c r="E534" s="1"/>
      <c r="F534" s="1"/>
      <c r="G534" s="1"/>
      <c r="H534" s="1"/>
      <c r="I534" s="1"/>
      <c r="J534" s="1"/>
      <c r="K534" s="1"/>
    </row>
    <row r="535" spans="5:11">
      <c r="E535" s="1"/>
      <c r="F535" s="1"/>
      <c r="G535" s="1"/>
      <c r="H535" s="1"/>
      <c r="I535" s="1"/>
      <c r="J535" s="1"/>
      <c r="K535" s="1"/>
    </row>
    <row r="536" spans="5:11">
      <c r="E536" s="1"/>
      <c r="F536" s="1"/>
      <c r="G536" s="1"/>
      <c r="H536" s="1"/>
      <c r="I536" s="1"/>
      <c r="J536" s="1"/>
      <c r="K536" s="1"/>
    </row>
    <row r="537" spans="5:11">
      <c r="E537" s="1"/>
      <c r="F537" s="1"/>
      <c r="G537" s="1"/>
      <c r="H537" s="1"/>
      <c r="I537" s="1"/>
      <c r="J537" s="1"/>
      <c r="K537" s="1"/>
    </row>
    <row r="538" spans="5:11">
      <c r="E538" s="1"/>
      <c r="F538" s="1"/>
      <c r="G538" s="1"/>
      <c r="H538" s="1"/>
      <c r="I538" s="1"/>
      <c r="J538" s="1"/>
      <c r="K538" s="1"/>
    </row>
    <row r="539" spans="5:11">
      <c r="E539" s="1"/>
      <c r="F539" s="1"/>
      <c r="G539" s="1"/>
      <c r="H539" s="1"/>
      <c r="I539" s="1"/>
      <c r="J539" s="1"/>
      <c r="K539" s="1"/>
    </row>
    <row r="540" spans="5:11">
      <c r="E540" s="1"/>
      <c r="F540" s="1"/>
      <c r="G540" s="1"/>
      <c r="H540" s="1"/>
      <c r="I540" s="1"/>
      <c r="J540" s="1"/>
      <c r="K540" s="1"/>
    </row>
    <row r="541" spans="5:11">
      <c r="E541" s="1"/>
      <c r="F541" s="1"/>
      <c r="G541" s="1"/>
      <c r="H541" s="1"/>
      <c r="I541" s="1"/>
      <c r="J541" s="1"/>
      <c r="K541" s="1"/>
    </row>
    <row r="542" spans="5:11">
      <c r="E542" s="1"/>
      <c r="F542" s="1"/>
      <c r="G542" s="1"/>
      <c r="H542" s="1"/>
      <c r="I542" s="1"/>
      <c r="J542" s="1"/>
      <c r="K542" s="1"/>
    </row>
    <row r="543" spans="5:11">
      <c r="E543" s="1"/>
      <c r="F543" s="1"/>
      <c r="G543" s="1"/>
      <c r="H543" s="1"/>
      <c r="I543" s="1"/>
      <c r="J543" s="1"/>
      <c r="K543" s="1"/>
    </row>
    <row r="544" spans="5:11">
      <c r="E544" s="1"/>
      <c r="F544" s="1"/>
      <c r="G544" s="1"/>
      <c r="H544" s="1"/>
      <c r="I544" s="1"/>
      <c r="J544" s="1"/>
      <c r="K544" s="1"/>
    </row>
    <row r="545" spans="5:11">
      <c r="E545" s="1"/>
      <c r="F545" s="1"/>
      <c r="G545" s="1"/>
      <c r="H545" s="1"/>
      <c r="I545" s="1"/>
      <c r="J545" s="1"/>
      <c r="K545" s="1"/>
    </row>
    <row r="546" spans="5:11">
      <c r="E546" s="1"/>
      <c r="F546" s="1"/>
      <c r="G546" s="1"/>
      <c r="H546" s="1"/>
      <c r="I546" s="1"/>
      <c r="J546" s="1"/>
      <c r="K546" s="1"/>
    </row>
    <row r="547" spans="5:11">
      <c r="E547" s="1"/>
      <c r="F547" s="1"/>
      <c r="G547" s="1"/>
      <c r="H547" s="1"/>
      <c r="I547" s="1"/>
      <c r="J547" s="1"/>
      <c r="K547" s="1"/>
    </row>
    <row r="548" spans="5:11">
      <c r="E548" s="1"/>
      <c r="F548" s="1"/>
      <c r="G548" s="1"/>
      <c r="H548" s="1"/>
      <c r="I548" s="1"/>
      <c r="J548" s="1"/>
      <c r="K548" s="1"/>
    </row>
    <row r="549" spans="5:11">
      <c r="E549" s="1"/>
      <c r="F549" s="1"/>
      <c r="G549" s="1"/>
      <c r="H549" s="1"/>
      <c r="I549" s="1"/>
      <c r="J549" s="1"/>
      <c r="K549" s="1"/>
    </row>
    <row r="550" spans="5:11">
      <c r="E550" s="1"/>
      <c r="F550" s="1"/>
      <c r="G550" s="1"/>
      <c r="H550" s="1"/>
      <c r="I550" s="1"/>
      <c r="J550" s="1"/>
      <c r="K550" s="1"/>
    </row>
    <row r="551" spans="5:11">
      <c r="E551" s="1"/>
      <c r="F551" s="1"/>
      <c r="G551" s="1"/>
      <c r="H551" s="1"/>
      <c r="I551" s="1"/>
      <c r="J551" s="1"/>
      <c r="K551" s="1"/>
    </row>
    <row r="552" spans="5:11">
      <c r="E552" s="1"/>
      <c r="F552" s="1"/>
      <c r="G552" s="1"/>
      <c r="H552" s="1"/>
      <c r="I552" s="1"/>
      <c r="J552" s="1"/>
      <c r="K552" s="1"/>
    </row>
    <row r="553" spans="5:11">
      <c r="E553" s="1"/>
      <c r="F553" s="1"/>
      <c r="G553" s="1"/>
      <c r="H553" s="1"/>
      <c r="I553" s="1"/>
      <c r="J553" s="1"/>
      <c r="K553" s="1"/>
    </row>
    <row r="554" spans="5:11">
      <c r="E554" s="1"/>
      <c r="F554" s="1"/>
      <c r="G554" s="1"/>
      <c r="H554" s="1"/>
      <c r="I554" s="1"/>
      <c r="J554" s="1"/>
      <c r="K554" s="1"/>
    </row>
    <row r="555" spans="5:11">
      <c r="E555" s="1"/>
      <c r="F555" s="1"/>
      <c r="G555" s="1"/>
      <c r="H555" s="1"/>
      <c r="I555" s="1"/>
      <c r="J555" s="1"/>
      <c r="K555" s="1"/>
    </row>
    <row r="556" spans="5:11">
      <c r="E556" s="1"/>
      <c r="F556" s="1"/>
      <c r="G556" s="1"/>
      <c r="H556" s="1"/>
      <c r="I556" s="1"/>
      <c r="J556" s="1"/>
      <c r="K556" s="1"/>
    </row>
    <row r="557" spans="5:11">
      <c r="E557" s="1"/>
      <c r="F557" s="1"/>
      <c r="G557" s="1"/>
      <c r="H557" s="1"/>
      <c r="I557" s="1"/>
      <c r="J557" s="1"/>
      <c r="K557" s="1"/>
    </row>
    <row r="558" spans="5:11">
      <c r="E558" s="1"/>
      <c r="F558" s="1"/>
      <c r="G558" s="1"/>
      <c r="H558" s="1"/>
      <c r="I558" s="1"/>
      <c r="J558" s="1"/>
      <c r="K558" s="1"/>
    </row>
    <row r="559" spans="5:11">
      <c r="E559" s="1"/>
      <c r="F559" s="1"/>
      <c r="G559" s="1"/>
      <c r="H559" s="1"/>
      <c r="I559" s="1"/>
      <c r="J559" s="1"/>
      <c r="K559" s="1"/>
    </row>
    <row r="560" spans="5:11">
      <c r="E560" s="1"/>
      <c r="F560" s="1"/>
      <c r="G560" s="1"/>
      <c r="H560" s="1"/>
      <c r="I560" s="1"/>
      <c r="J560" s="1"/>
      <c r="K560" s="1"/>
    </row>
    <row r="561" spans="5:11">
      <c r="E561" s="1"/>
      <c r="F561" s="1"/>
      <c r="G561" s="1"/>
      <c r="H561" s="1"/>
      <c r="I561" s="1"/>
      <c r="J561" s="1"/>
      <c r="K561" s="1"/>
    </row>
    <row r="562" spans="5:11">
      <c r="E562" s="1"/>
      <c r="F562" s="1"/>
      <c r="G562" s="1"/>
      <c r="H562" s="1"/>
      <c r="I562" s="1"/>
      <c r="J562" s="1"/>
      <c r="K562" s="1"/>
    </row>
    <row r="563" spans="5:11">
      <c r="E563" s="1"/>
      <c r="F563" s="1"/>
      <c r="G563" s="1"/>
      <c r="H563" s="1"/>
      <c r="I563" s="1"/>
      <c r="J563" s="1"/>
      <c r="K563" s="1"/>
    </row>
    <row r="564" spans="5:11">
      <c r="E564" s="1"/>
      <c r="F564" s="1"/>
      <c r="G564" s="1"/>
      <c r="H564" s="1"/>
      <c r="I564" s="1"/>
      <c r="J564" s="1"/>
      <c r="K564" s="1"/>
    </row>
    <row r="565" spans="5:11">
      <c r="E565" s="1"/>
      <c r="F565" s="1"/>
      <c r="G565" s="1"/>
      <c r="H565" s="1"/>
      <c r="I565" s="1"/>
      <c r="J565" s="1"/>
      <c r="K565" s="1"/>
    </row>
    <row r="566" spans="5:11">
      <c r="E566" s="1"/>
      <c r="F566" s="1"/>
      <c r="G566" s="1"/>
      <c r="H566" s="1"/>
      <c r="I566" s="1"/>
      <c r="J566" s="1"/>
      <c r="K566" s="1"/>
    </row>
    <row r="567" spans="5:11">
      <c r="E567" s="1"/>
      <c r="F567" s="1"/>
      <c r="G567" s="1"/>
      <c r="H567" s="1"/>
      <c r="I567" s="1"/>
      <c r="J567" s="1"/>
      <c r="K567" s="1"/>
    </row>
    <row r="568" spans="5:11">
      <c r="E568" s="1"/>
      <c r="F568" s="1"/>
      <c r="G568" s="1"/>
      <c r="H568" s="1"/>
      <c r="I568" s="1"/>
      <c r="J568" s="1"/>
      <c r="K568" s="1"/>
    </row>
    <row r="569" spans="5:11">
      <c r="E569" s="1"/>
      <c r="F569" s="1"/>
      <c r="G569" s="1"/>
      <c r="H569" s="1"/>
      <c r="I569" s="1"/>
      <c r="J569" s="1"/>
      <c r="K569" s="1"/>
    </row>
    <row r="570" spans="5:11">
      <c r="E570" s="1"/>
      <c r="F570" s="1"/>
      <c r="G570" s="1"/>
      <c r="H570" s="1"/>
      <c r="I570" s="1"/>
      <c r="J570" s="1"/>
      <c r="K570" s="1"/>
    </row>
    <row r="571" spans="5:11">
      <c r="E571" s="1"/>
      <c r="F571" s="1"/>
      <c r="G571" s="1"/>
      <c r="H571" s="1"/>
      <c r="I571" s="1"/>
      <c r="J571" s="1"/>
      <c r="K571" s="1"/>
    </row>
    <row r="572" spans="5:11">
      <c r="E572" s="1"/>
      <c r="F572" s="1"/>
      <c r="G572" s="1"/>
      <c r="H572" s="1"/>
      <c r="I572" s="1"/>
      <c r="J572" s="1"/>
      <c r="K572" s="1"/>
    </row>
    <row r="573" spans="5:11">
      <c r="E573" s="1"/>
      <c r="F573" s="1"/>
      <c r="G573" s="1"/>
      <c r="H573" s="1"/>
      <c r="I573" s="1"/>
      <c r="J573" s="1"/>
      <c r="K573" s="1"/>
    </row>
    <row r="574" spans="5:11">
      <c r="E574" s="1"/>
      <c r="F574" s="1"/>
      <c r="G574" s="1"/>
      <c r="H574" s="1"/>
      <c r="I574" s="1"/>
      <c r="J574" s="1"/>
      <c r="K574" s="1"/>
    </row>
    <row r="575" spans="5:11">
      <c r="E575" s="1"/>
      <c r="F575" s="1"/>
      <c r="G575" s="1"/>
      <c r="H575" s="1"/>
      <c r="I575" s="1"/>
      <c r="J575" s="1"/>
      <c r="K575" s="1"/>
    </row>
    <row r="576" spans="5:11">
      <c r="E576" s="1"/>
      <c r="F576" s="1"/>
      <c r="G576" s="1"/>
      <c r="H576" s="1"/>
      <c r="I576" s="1"/>
      <c r="J576" s="1"/>
      <c r="K576" s="1"/>
    </row>
    <row r="577" spans="5:11">
      <c r="E577" s="1"/>
      <c r="F577" s="1"/>
      <c r="G577" s="1"/>
      <c r="H577" s="1"/>
      <c r="I577" s="1"/>
      <c r="J577" s="1"/>
      <c r="K577" s="1"/>
    </row>
    <row r="578" spans="5:11">
      <c r="E578" s="1"/>
      <c r="F578" s="1"/>
      <c r="G578" s="1"/>
      <c r="H578" s="1"/>
      <c r="I578" s="1"/>
      <c r="J578" s="1"/>
      <c r="K578" s="1"/>
    </row>
    <row r="579" spans="5:11">
      <c r="E579" s="1"/>
      <c r="F579" s="1"/>
      <c r="G579" s="1"/>
      <c r="H579" s="1"/>
      <c r="I579" s="1"/>
      <c r="J579" s="1"/>
      <c r="K579" s="1"/>
    </row>
    <row r="580" spans="5:11">
      <c r="E580" s="1"/>
      <c r="F580" s="1"/>
      <c r="G580" s="1"/>
      <c r="H580" s="1"/>
      <c r="I580" s="1"/>
      <c r="J580" s="1"/>
      <c r="K580" s="1"/>
    </row>
    <row r="581" spans="5:11">
      <c r="E581" s="1"/>
      <c r="F581" s="1"/>
      <c r="G581" s="1"/>
      <c r="H581" s="1"/>
      <c r="I581" s="1"/>
      <c r="J581" s="1"/>
      <c r="K581" s="1"/>
    </row>
    <row r="582" spans="5:11">
      <c r="E582" s="1"/>
      <c r="F582" s="1"/>
      <c r="G582" s="1"/>
      <c r="H582" s="1"/>
      <c r="I582" s="1"/>
      <c r="J582" s="1"/>
      <c r="K582" s="1"/>
    </row>
    <row r="583" spans="5:11">
      <c r="E583" s="1"/>
      <c r="F583" s="1"/>
      <c r="G583" s="1"/>
      <c r="H583" s="1"/>
      <c r="I583" s="1"/>
      <c r="J583" s="1"/>
      <c r="K583" s="1"/>
    </row>
    <row r="584" spans="5:11">
      <c r="E584" s="1"/>
      <c r="F584" s="1"/>
      <c r="G584" s="1"/>
      <c r="H584" s="1"/>
      <c r="I584" s="1"/>
      <c r="J584" s="1"/>
      <c r="K584" s="1"/>
    </row>
    <row r="585" spans="5:11">
      <c r="E585" s="1"/>
      <c r="F585" s="1"/>
      <c r="G585" s="1"/>
      <c r="H585" s="1"/>
      <c r="I585" s="1"/>
      <c r="J585" s="1"/>
      <c r="K585" s="1"/>
    </row>
    <row r="586" spans="5:11">
      <c r="E586" s="1"/>
      <c r="F586" s="1"/>
      <c r="G586" s="1"/>
      <c r="H586" s="1"/>
      <c r="I586" s="1"/>
      <c r="J586" s="1"/>
      <c r="K586" s="1"/>
    </row>
    <row r="587" spans="5:11">
      <c r="E587" s="1"/>
      <c r="F587" s="1"/>
      <c r="G587" s="1"/>
      <c r="H587" s="1"/>
      <c r="I587" s="1"/>
      <c r="J587" s="1"/>
      <c r="K587" s="1"/>
    </row>
    <row r="588" spans="5:11">
      <c r="E588" s="1"/>
      <c r="F588" s="1"/>
      <c r="G588" s="1"/>
      <c r="H588" s="1"/>
      <c r="I588" s="1"/>
      <c r="J588" s="1"/>
      <c r="K588" s="1"/>
    </row>
    <row r="589" spans="5:11">
      <c r="E589" s="1"/>
      <c r="F589" s="1"/>
      <c r="G589" s="1"/>
      <c r="H589" s="1"/>
      <c r="I589" s="1"/>
      <c r="J589" s="1"/>
      <c r="K589" s="1"/>
    </row>
    <row r="590" spans="5:11">
      <c r="E590" s="1"/>
      <c r="F590" s="1"/>
      <c r="G590" s="1"/>
      <c r="H590" s="1"/>
      <c r="I590" s="1"/>
      <c r="J590" s="1"/>
      <c r="K590" s="1"/>
    </row>
    <row r="591" spans="5:11">
      <c r="E591" s="1"/>
      <c r="F591" s="1"/>
      <c r="G591" s="1"/>
      <c r="H591" s="1"/>
      <c r="I591" s="1"/>
      <c r="J591" s="1"/>
      <c r="K591" s="1"/>
    </row>
    <row r="592" spans="5:11">
      <c r="E592" s="1"/>
      <c r="F592" s="1"/>
      <c r="G592" s="1"/>
      <c r="H592" s="1"/>
      <c r="I592" s="1"/>
      <c r="J592" s="1"/>
      <c r="K592" s="1"/>
    </row>
    <row r="593" spans="5:11">
      <c r="E593" s="1"/>
      <c r="F593" s="1"/>
      <c r="G593" s="1"/>
      <c r="H593" s="1"/>
      <c r="I593" s="1"/>
      <c r="J593" s="1"/>
      <c r="K593" s="1"/>
    </row>
    <row r="594" spans="5:11">
      <c r="E594" s="1"/>
      <c r="F594" s="1"/>
      <c r="G594" s="1"/>
      <c r="H594" s="1"/>
      <c r="I594" s="1"/>
      <c r="J594" s="1"/>
      <c r="K594" s="1"/>
    </row>
    <row r="595" spans="5:11">
      <c r="E595" s="1"/>
      <c r="F595" s="1"/>
      <c r="G595" s="1"/>
      <c r="H595" s="1"/>
      <c r="I595" s="1"/>
      <c r="J595" s="1"/>
      <c r="K595" s="1"/>
    </row>
    <row r="596" spans="5:11">
      <c r="E596" s="1"/>
      <c r="F596" s="1"/>
      <c r="G596" s="1"/>
      <c r="H596" s="1"/>
      <c r="I596" s="1"/>
      <c r="J596" s="1"/>
      <c r="K596" s="1"/>
    </row>
    <row r="597" spans="5:11">
      <c r="E597" s="1"/>
      <c r="F597" s="1"/>
      <c r="G597" s="1"/>
      <c r="H597" s="1"/>
      <c r="I597" s="1"/>
      <c r="J597" s="1"/>
      <c r="K597" s="1"/>
    </row>
    <row r="598" spans="5:11">
      <c r="E598" s="1"/>
      <c r="F598" s="1"/>
      <c r="G598" s="1"/>
      <c r="H598" s="1"/>
      <c r="I598" s="1"/>
      <c r="J598" s="1"/>
      <c r="K598" s="1"/>
    </row>
    <row r="599" spans="5:11">
      <c r="E599" s="1"/>
      <c r="F599" s="1"/>
      <c r="G599" s="1"/>
      <c r="H599" s="1"/>
      <c r="I599" s="1"/>
      <c r="J599" s="1"/>
      <c r="K599" s="1"/>
    </row>
    <row r="600" spans="5:11">
      <c r="E600" s="1"/>
      <c r="F600" s="1"/>
      <c r="G600" s="1"/>
      <c r="H600" s="1"/>
      <c r="I600" s="1"/>
      <c r="J600" s="1"/>
      <c r="K600" s="1"/>
    </row>
    <row r="601" spans="5:11">
      <c r="E601" s="1"/>
      <c r="F601" s="1"/>
      <c r="G601" s="1"/>
      <c r="H601" s="1"/>
      <c r="I601" s="1"/>
      <c r="J601" s="1"/>
      <c r="K601" s="1"/>
    </row>
    <row r="602" spans="5:11">
      <c r="E602" s="1"/>
      <c r="F602" s="1"/>
      <c r="G602" s="1"/>
      <c r="H602" s="1"/>
      <c r="I602" s="1"/>
      <c r="J602" s="1"/>
      <c r="K602" s="1"/>
    </row>
    <row r="603" spans="5:11">
      <c r="E603" s="1"/>
      <c r="F603" s="1"/>
      <c r="G603" s="1"/>
      <c r="H603" s="1"/>
      <c r="I603" s="1"/>
      <c r="J603" s="1"/>
      <c r="K603" s="1"/>
    </row>
    <row r="604" spans="5:11">
      <c r="E604" s="1"/>
      <c r="F604" s="1"/>
      <c r="G604" s="1"/>
      <c r="H604" s="1"/>
      <c r="I604" s="1"/>
      <c r="J604" s="1"/>
      <c r="K604" s="1"/>
    </row>
    <row r="605" spans="5:11">
      <c r="E605" s="1"/>
      <c r="F605" s="1"/>
      <c r="G605" s="1"/>
      <c r="H605" s="1"/>
      <c r="I605" s="1"/>
      <c r="J605" s="1"/>
      <c r="K605" s="1"/>
    </row>
    <row r="606" spans="5:11">
      <c r="E606" s="1"/>
      <c r="F606" s="1"/>
      <c r="G606" s="1"/>
      <c r="H606" s="1"/>
      <c r="I606" s="1"/>
      <c r="J606" s="1"/>
      <c r="K606" s="1"/>
    </row>
    <row r="607" spans="5:11">
      <c r="E607" s="1"/>
      <c r="F607" s="1"/>
      <c r="G607" s="1"/>
      <c r="H607" s="1"/>
      <c r="I607" s="1"/>
      <c r="J607" s="1"/>
      <c r="K607" s="1"/>
    </row>
    <row r="608" spans="5:11">
      <c r="E608" s="1"/>
      <c r="F608" s="1"/>
      <c r="G608" s="1"/>
      <c r="H608" s="1"/>
      <c r="I608" s="1"/>
      <c r="J608" s="1"/>
      <c r="K608" s="1"/>
    </row>
    <row r="609" spans="5:11">
      <c r="E609" s="1"/>
      <c r="F609" s="1"/>
      <c r="G609" s="1"/>
      <c r="H609" s="1"/>
      <c r="I609" s="1"/>
      <c r="J609" s="1"/>
      <c r="K609" s="1"/>
    </row>
    <row r="610" spans="5:11">
      <c r="E610" s="1"/>
      <c r="F610" s="1"/>
      <c r="G610" s="1"/>
      <c r="H610" s="1"/>
      <c r="I610" s="1"/>
      <c r="J610" s="1"/>
      <c r="K610" s="1"/>
    </row>
    <row r="611" spans="5:11">
      <c r="E611" s="1"/>
      <c r="F611" s="1"/>
      <c r="G611" s="1"/>
      <c r="H611" s="1"/>
      <c r="I611" s="1"/>
      <c r="J611" s="1"/>
      <c r="K611" s="1"/>
    </row>
    <row r="612" spans="5:11">
      <c r="E612" s="1"/>
      <c r="F612" s="1"/>
      <c r="G612" s="1"/>
      <c r="H612" s="1"/>
      <c r="I612" s="1"/>
      <c r="J612" s="1"/>
      <c r="K612" s="1"/>
    </row>
    <row r="613" spans="5:11">
      <c r="E613" s="1"/>
      <c r="F613" s="1"/>
      <c r="G613" s="1"/>
      <c r="H613" s="1"/>
      <c r="I613" s="1"/>
      <c r="J613" s="1"/>
      <c r="K613" s="1"/>
    </row>
    <row r="614" spans="5:11">
      <c r="E614" s="1"/>
      <c r="F614" s="1"/>
      <c r="G614" s="1"/>
      <c r="H614" s="1"/>
      <c r="I614" s="1"/>
      <c r="J614" s="1"/>
      <c r="K614" s="1"/>
    </row>
    <row r="615" spans="5:11">
      <c r="E615" s="1"/>
      <c r="F615" s="1"/>
      <c r="G615" s="1"/>
      <c r="H615" s="1"/>
      <c r="I615" s="1"/>
      <c r="J615" s="1"/>
      <c r="K615" s="1"/>
    </row>
    <row r="616" spans="5:11">
      <c r="E616" s="1"/>
      <c r="F616" s="1"/>
      <c r="G616" s="1"/>
      <c r="H616" s="1"/>
      <c r="I616" s="1"/>
      <c r="J616" s="1"/>
      <c r="K616" s="1"/>
    </row>
    <row r="617" spans="5:11">
      <c r="E617" s="1"/>
      <c r="F617" s="1"/>
      <c r="G617" s="1"/>
      <c r="H617" s="1"/>
      <c r="I617" s="1"/>
      <c r="J617" s="1"/>
      <c r="K617" s="1"/>
    </row>
    <row r="618" spans="5:11">
      <c r="E618" s="1"/>
      <c r="F618" s="1"/>
      <c r="G618" s="1"/>
      <c r="H618" s="1"/>
      <c r="I618" s="1"/>
      <c r="J618" s="1"/>
      <c r="K618" s="1"/>
    </row>
    <row r="619" spans="5:11">
      <c r="E619" s="1"/>
      <c r="F619" s="1"/>
      <c r="G619" s="1"/>
      <c r="H619" s="1"/>
      <c r="I619" s="1"/>
      <c r="J619" s="1"/>
      <c r="K619" s="1"/>
    </row>
    <row r="620" spans="5:11">
      <c r="E620" s="1"/>
      <c r="F620" s="1"/>
      <c r="G620" s="1"/>
      <c r="H620" s="1"/>
      <c r="I620" s="1"/>
      <c r="J620" s="1"/>
      <c r="K620" s="1"/>
    </row>
    <row r="621" spans="5:11">
      <c r="E621" s="1"/>
      <c r="F621" s="1"/>
      <c r="G621" s="1"/>
      <c r="H621" s="1"/>
      <c r="I621" s="1"/>
      <c r="J621" s="1"/>
      <c r="K621" s="1"/>
    </row>
    <row r="622" spans="5:11">
      <c r="E622" s="1"/>
      <c r="F622" s="1"/>
      <c r="G622" s="1"/>
      <c r="H622" s="1"/>
      <c r="I622" s="1"/>
      <c r="J622" s="1"/>
      <c r="K622" s="1"/>
    </row>
    <row r="623" spans="5:11">
      <c r="E623" s="1"/>
      <c r="F623" s="1"/>
      <c r="G623" s="1"/>
      <c r="H623" s="1"/>
      <c r="I623" s="1"/>
      <c r="J623" s="1"/>
      <c r="K623" s="1"/>
    </row>
    <row r="624" spans="5:11">
      <c r="E624" s="1"/>
      <c r="F624" s="1"/>
      <c r="G624" s="1"/>
      <c r="H624" s="1"/>
      <c r="I624" s="1"/>
      <c r="J624" s="1"/>
      <c r="K624" s="1"/>
    </row>
    <row r="625" spans="5:11">
      <c r="E625" s="1"/>
      <c r="F625" s="1"/>
      <c r="G625" s="1"/>
      <c r="H625" s="1"/>
      <c r="I625" s="1"/>
      <c r="J625" s="1"/>
      <c r="K625" s="1"/>
    </row>
    <row r="626" spans="5:11">
      <c r="E626" s="1"/>
      <c r="F626" s="1"/>
      <c r="G626" s="1"/>
      <c r="H626" s="1"/>
      <c r="I626" s="1"/>
      <c r="J626" s="1"/>
      <c r="K626" s="1"/>
    </row>
    <row r="627" spans="5:11">
      <c r="E627" s="1"/>
      <c r="F627" s="1"/>
      <c r="G627" s="1"/>
      <c r="H627" s="1"/>
      <c r="I627" s="1"/>
      <c r="J627" s="1"/>
      <c r="K627" s="1"/>
    </row>
    <row r="628" spans="5:11">
      <c r="E628" s="1"/>
      <c r="F628" s="1"/>
      <c r="G628" s="1"/>
      <c r="H628" s="1"/>
      <c r="I628" s="1"/>
      <c r="J628" s="1"/>
      <c r="K628" s="1"/>
    </row>
    <row r="629" spans="5:11">
      <c r="E629" s="1"/>
      <c r="F629" s="1"/>
      <c r="G629" s="1"/>
      <c r="H629" s="1"/>
      <c r="I629" s="1"/>
      <c r="J629" s="1"/>
      <c r="K629" s="1"/>
    </row>
    <row r="630" spans="5:11">
      <c r="E630" s="1"/>
      <c r="F630" s="1"/>
      <c r="G630" s="1"/>
      <c r="H630" s="1"/>
      <c r="I630" s="1"/>
      <c r="J630" s="1"/>
      <c r="K630" s="1"/>
    </row>
    <row r="631" spans="5:11">
      <c r="E631" s="1"/>
      <c r="F631" s="1"/>
      <c r="G631" s="1"/>
      <c r="H631" s="1"/>
      <c r="I631" s="1"/>
      <c r="J631" s="1"/>
      <c r="K631" s="1"/>
    </row>
    <row r="632" spans="5:11">
      <c r="E632" s="1"/>
      <c r="F632" s="1"/>
      <c r="G632" s="1"/>
      <c r="H632" s="1"/>
      <c r="I632" s="1"/>
      <c r="J632" s="1"/>
      <c r="K632" s="1"/>
    </row>
    <row r="633" spans="5:11">
      <c r="E633" s="1"/>
      <c r="F633" s="1"/>
      <c r="G633" s="1"/>
      <c r="H633" s="1"/>
      <c r="I633" s="1"/>
      <c r="J633" s="1"/>
      <c r="K633" s="1"/>
    </row>
    <row r="634" spans="5:11">
      <c r="E634" s="1"/>
      <c r="F634" s="1"/>
      <c r="G634" s="1"/>
      <c r="H634" s="1"/>
      <c r="I634" s="1"/>
      <c r="J634" s="1"/>
      <c r="K634" s="1"/>
    </row>
    <row r="635" spans="5:11">
      <c r="E635" s="1"/>
      <c r="F635" s="1"/>
      <c r="G635" s="1"/>
      <c r="H635" s="1"/>
      <c r="I635" s="1"/>
      <c r="J635" s="1"/>
      <c r="K635" s="1"/>
    </row>
    <row r="636" spans="5:11">
      <c r="E636" s="1"/>
      <c r="F636" s="1"/>
      <c r="G636" s="1"/>
      <c r="H636" s="1"/>
      <c r="I636" s="1"/>
      <c r="J636" s="1"/>
      <c r="K636" s="1"/>
    </row>
    <row r="637" spans="5:11">
      <c r="E637" s="1"/>
      <c r="F637" s="1"/>
      <c r="G637" s="1"/>
      <c r="H637" s="1"/>
      <c r="I637" s="1"/>
      <c r="J637" s="1"/>
      <c r="K637" s="1"/>
    </row>
    <row r="638" spans="5:11">
      <c r="E638" s="1"/>
      <c r="F638" s="1"/>
      <c r="G638" s="1"/>
      <c r="H638" s="1"/>
      <c r="I638" s="1"/>
      <c r="J638" s="1"/>
      <c r="K638" s="1"/>
    </row>
    <row r="639" spans="5:11">
      <c r="E639" s="1"/>
      <c r="F639" s="1"/>
      <c r="G639" s="1"/>
      <c r="H639" s="1"/>
      <c r="I639" s="1"/>
      <c r="J639" s="1"/>
      <c r="K639" s="1"/>
    </row>
    <row r="640" spans="5:11">
      <c r="E640" s="1"/>
      <c r="F640" s="1"/>
      <c r="G640" s="1"/>
      <c r="H640" s="1"/>
      <c r="I640" s="1"/>
      <c r="J640" s="1"/>
      <c r="K640" s="1"/>
    </row>
    <row r="641" spans="5:11">
      <c r="E641" s="1"/>
      <c r="F641" s="1"/>
      <c r="G641" s="1"/>
      <c r="H641" s="1"/>
      <c r="I641" s="1"/>
      <c r="J641" s="1"/>
      <c r="K641" s="1"/>
    </row>
    <row r="642" spans="5:11">
      <c r="E642" s="1"/>
      <c r="F642" s="1"/>
      <c r="G642" s="1"/>
      <c r="H642" s="1"/>
      <c r="I642" s="1"/>
      <c r="J642" s="1"/>
      <c r="K642" s="1"/>
    </row>
    <row r="643" spans="5:11">
      <c r="E643" s="1"/>
      <c r="F643" s="1"/>
      <c r="G643" s="1"/>
      <c r="H643" s="1"/>
      <c r="I643" s="1"/>
      <c r="J643" s="1"/>
      <c r="K643" s="1"/>
    </row>
    <row r="644" spans="5:11">
      <c r="E644" s="1"/>
      <c r="F644" s="1"/>
      <c r="G644" s="1"/>
      <c r="H644" s="1"/>
      <c r="I644" s="1"/>
      <c r="J644" s="1"/>
      <c r="K644" s="1"/>
    </row>
    <row r="645" spans="5:11">
      <c r="E645" s="1"/>
      <c r="F645" s="1"/>
      <c r="G645" s="1"/>
      <c r="H645" s="1"/>
      <c r="I645" s="1"/>
      <c r="J645" s="1"/>
      <c r="K645" s="1"/>
    </row>
    <row r="646" spans="5:11">
      <c r="E646" s="1"/>
      <c r="F646" s="1"/>
      <c r="G646" s="1"/>
      <c r="H646" s="1"/>
      <c r="I646" s="1"/>
      <c r="J646" s="1"/>
      <c r="K646" s="1"/>
    </row>
    <row r="647" spans="5:11">
      <c r="E647" s="1"/>
      <c r="F647" s="1"/>
      <c r="G647" s="1"/>
      <c r="H647" s="1"/>
      <c r="I647" s="1"/>
      <c r="J647" s="1"/>
      <c r="K647" s="1"/>
    </row>
    <row r="648" spans="5:11">
      <c r="E648" s="1"/>
      <c r="F648" s="1"/>
      <c r="G648" s="1"/>
      <c r="H648" s="1"/>
      <c r="I648" s="1"/>
      <c r="J648" s="1"/>
      <c r="K648" s="1"/>
    </row>
    <row r="649" spans="5:11">
      <c r="E649" s="1"/>
      <c r="F649" s="1"/>
      <c r="G649" s="1"/>
      <c r="H649" s="1"/>
      <c r="I649" s="1"/>
      <c r="J649" s="1"/>
      <c r="K649" s="1"/>
    </row>
    <row r="650" spans="5:11">
      <c r="E650" s="1"/>
      <c r="F650" s="1"/>
      <c r="G650" s="1"/>
      <c r="H650" s="1"/>
      <c r="I650" s="1"/>
      <c r="J650" s="1"/>
      <c r="K650" s="1"/>
    </row>
    <row r="651" spans="5:11">
      <c r="E651" s="1"/>
      <c r="F651" s="1"/>
      <c r="G651" s="1"/>
      <c r="H651" s="1"/>
      <c r="I651" s="1"/>
      <c r="J651" s="1"/>
      <c r="K651" s="1"/>
    </row>
    <row r="652" spans="5:11">
      <c r="E652" s="1"/>
      <c r="F652" s="1"/>
      <c r="G652" s="1"/>
      <c r="H652" s="1"/>
      <c r="I652" s="1"/>
      <c r="J652" s="1"/>
      <c r="K652" s="1"/>
    </row>
    <row r="653" spans="5:11">
      <c r="E653" s="1"/>
      <c r="F653" s="1"/>
      <c r="G653" s="1"/>
      <c r="H653" s="1"/>
      <c r="I653" s="1"/>
      <c r="J653" s="1"/>
      <c r="K653" s="1"/>
    </row>
    <row r="654" spans="5:11">
      <c r="E654" s="1"/>
      <c r="F654" s="1"/>
      <c r="G654" s="1"/>
      <c r="H654" s="1"/>
      <c r="I654" s="1"/>
      <c r="J654" s="1"/>
      <c r="K654" s="1"/>
    </row>
    <row r="655" spans="5:11">
      <c r="E655" s="1"/>
      <c r="F655" s="1"/>
      <c r="G655" s="1"/>
      <c r="H655" s="1"/>
      <c r="I655" s="1"/>
      <c r="J655" s="1"/>
      <c r="K655" s="1"/>
    </row>
    <row r="656" spans="5:11">
      <c r="E656" s="1"/>
      <c r="F656" s="1"/>
      <c r="G656" s="1"/>
      <c r="H656" s="1"/>
      <c r="I656" s="1"/>
      <c r="J656" s="1"/>
      <c r="K656" s="1"/>
    </row>
    <row r="657" spans="5:11">
      <c r="E657" s="1"/>
      <c r="F657" s="1"/>
      <c r="G657" s="1"/>
      <c r="H657" s="1"/>
      <c r="I657" s="1"/>
      <c r="J657" s="1"/>
      <c r="K657" s="1"/>
    </row>
    <row r="658" spans="5:11">
      <c r="E658" s="1"/>
      <c r="F658" s="1"/>
      <c r="G658" s="1"/>
      <c r="H658" s="1"/>
      <c r="I658" s="1"/>
      <c r="J658" s="1"/>
      <c r="K658" s="1"/>
    </row>
    <row r="659" spans="5:11">
      <c r="E659" s="1"/>
      <c r="F659" s="1"/>
      <c r="G659" s="1"/>
      <c r="H659" s="1"/>
      <c r="I659" s="1"/>
      <c r="J659" s="1"/>
      <c r="K659" s="1"/>
    </row>
    <row r="660" spans="5:11">
      <c r="E660" s="1"/>
      <c r="F660" s="1"/>
      <c r="G660" s="1"/>
      <c r="H660" s="1"/>
      <c r="I660" s="1"/>
      <c r="J660" s="1"/>
      <c r="K660" s="1"/>
    </row>
    <row r="661" spans="5:11">
      <c r="E661" s="1"/>
      <c r="F661" s="1"/>
      <c r="G661" s="1"/>
      <c r="H661" s="1"/>
      <c r="I661" s="1"/>
      <c r="J661" s="1"/>
      <c r="K661" s="1"/>
    </row>
    <row r="662" spans="5:11">
      <c r="E662" s="1"/>
      <c r="F662" s="1"/>
      <c r="G662" s="1"/>
      <c r="H662" s="1"/>
      <c r="I662" s="1"/>
      <c r="J662" s="1"/>
      <c r="K662" s="1"/>
    </row>
    <row r="663" spans="5:11">
      <c r="E663" s="1"/>
      <c r="F663" s="1"/>
      <c r="G663" s="1"/>
      <c r="H663" s="1"/>
      <c r="I663" s="1"/>
      <c r="J663" s="1"/>
      <c r="K663" s="1"/>
    </row>
    <row r="664" spans="5:11">
      <c r="E664" s="1"/>
      <c r="F664" s="1"/>
      <c r="G664" s="1"/>
      <c r="H664" s="1"/>
      <c r="I664" s="1"/>
      <c r="J664" s="1"/>
      <c r="K664" s="1"/>
    </row>
    <row r="665" spans="5:11">
      <c r="E665" s="1"/>
      <c r="F665" s="1"/>
      <c r="G665" s="1"/>
      <c r="H665" s="1"/>
      <c r="I665" s="1"/>
      <c r="J665" s="1"/>
      <c r="K665" s="1"/>
    </row>
    <row r="666" spans="5:11">
      <c r="E666" s="1"/>
      <c r="F666" s="1"/>
      <c r="G666" s="1"/>
      <c r="H666" s="1"/>
      <c r="I666" s="1"/>
      <c r="J666" s="1"/>
      <c r="K666" s="1"/>
    </row>
    <row r="667" spans="5:11">
      <c r="E667" s="1"/>
      <c r="F667" s="1"/>
      <c r="G667" s="1"/>
      <c r="H667" s="1"/>
      <c r="I667" s="1"/>
      <c r="J667" s="1"/>
      <c r="K667" s="1"/>
    </row>
    <row r="668" spans="5:11">
      <c r="E668" s="1"/>
      <c r="F668" s="1"/>
      <c r="G668" s="1"/>
      <c r="H668" s="1"/>
      <c r="I668" s="1"/>
      <c r="J668" s="1"/>
      <c r="K668" s="1"/>
    </row>
    <row r="669" spans="5:11">
      <c r="E669" s="1"/>
      <c r="F669" s="1"/>
      <c r="G669" s="1"/>
      <c r="H669" s="1"/>
      <c r="I669" s="1"/>
      <c r="J669" s="1"/>
      <c r="K669" s="1"/>
    </row>
    <row r="670" spans="5:11">
      <c r="E670" s="1"/>
      <c r="F670" s="1"/>
      <c r="G670" s="1"/>
      <c r="H670" s="1"/>
      <c r="I670" s="1"/>
      <c r="J670" s="1"/>
      <c r="K670" s="1"/>
    </row>
    <row r="671" spans="5:11">
      <c r="E671" s="1"/>
      <c r="F671" s="1"/>
      <c r="G671" s="1"/>
      <c r="H671" s="1"/>
      <c r="I671" s="1"/>
      <c r="J671" s="1"/>
      <c r="K671" s="1"/>
    </row>
    <row r="672" spans="5:11">
      <c r="E672" s="1"/>
      <c r="F672" s="1"/>
      <c r="G672" s="1"/>
      <c r="H672" s="1"/>
      <c r="I672" s="1"/>
      <c r="J672" s="1"/>
      <c r="K672" s="1"/>
    </row>
    <row r="673" spans="5:11">
      <c r="E673" s="1"/>
      <c r="F673" s="1"/>
      <c r="G673" s="1"/>
      <c r="H673" s="1"/>
      <c r="I673" s="1"/>
      <c r="J673" s="1"/>
      <c r="K673" s="1"/>
    </row>
    <row r="674" spans="5:11">
      <c r="E674" s="1"/>
      <c r="F674" s="1"/>
      <c r="G674" s="1"/>
      <c r="H674" s="1"/>
      <c r="I674" s="1"/>
      <c r="J674" s="1"/>
      <c r="K674" s="1"/>
    </row>
    <row r="675" spans="5:11">
      <c r="E675" s="1"/>
      <c r="F675" s="1"/>
      <c r="G675" s="1"/>
      <c r="H675" s="1"/>
      <c r="I675" s="1"/>
      <c r="J675" s="1"/>
      <c r="K675" s="1"/>
    </row>
    <row r="676" spans="5:11">
      <c r="E676" s="1"/>
      <c r="F676" s="1"/>
      <c r="G676" s="1"/>
      <c r="H676" s="1"/>
      <c r="I676" s="1"/>
      <c r="J676" s="1"/>
      <c r="K676" s="1"/>
    </row>
    <row r="677" spans="5:11">
      <c r="E677" s="1"/>
      <c r="F677" s="1"/>
      <c r="G677" s="1"/>
      <c r="H677" s="1"/>
      <c r="I677" s="1"/>
      <c r="J677" s="1"/>
      <c r="K677" s="1"/>
    </row>
    <row r="678" spans="5:11">
      <c r="E678" s="1"/>
      <c r="F678" s="1"/>
      <c r="G678" s="1"/>
      <c r="H678" s="1"/>
      <c r="I678" s="1"/>
      <c r="J678" s="1"/>
      <c r="K678" s="1"/>
    </row>
    <row r="679" spans="5:11">
      <c r="E679" s="1"/>
      <c r="F679" s="1"/>
      <c r="G679" s="1"/>
      <c r="H679" s="1"/>
      <c r="I679" s="1"/>
      <c r="J679" s="1"/>
      <c r="K679" s="1"/>
    </row>
    <row r="680" spans="5:11">
      <c r="E680" s="1"/>
      <c r="F680" s="1"/>
      <c r="G680" s="1"/>
      <c r="H680" s="1"/>
      <c r="I680" s="1"/>
      <c r="J680" s="1"/>
      <c r="K680" s="1"/>
    </row>
    <row r="681" spans="5:11">
      <c r="E681" s="1"/>
      <c r="F681" s="1"/>
      <c r="G681" s="1"/>
      <c r="H681" s="1"/>
      <c r="I681" s="1"/>
      <c r="J681" s="1"/>
      <c r="K681" s="1"/>
    </row>
    <row r="682" spans="5:11">
      <c r="E682" s="1"/>
      <c r="F682" s="1"/>
      <c r="G682" s="1"/>
      <c r="H682" s="1"/>
      <c r="I682" s="1"/>
      <c r="J682" s="1"/>
      <c r="K682" s="1"/>
    </row>
    <row r="683" spans="5:11">
      <c r="E683" s="1"/>
      <c r="F683" s="1"/>
      <c r="G683" s="1"/>
      <c r="H683" s="1"/>
      <c r="I683" s="1"/>
      <c r="J683" s="1"/>
      <c r="K683" s="1"/>
    </row>
    <row r="684" spans="5:11">
      <c r="E684" s="1"/>
      <c r="F684" s="1"/>
      <c r="G684" s="1"/>
      <c r="H684" s="1"/>
      <c r="I684" s="1"/>
      <c r="J684" s="1"/>
      <c r="K684" s="1"/>
    </row>
    <row r="685" spans="5:11">
      <c r="E685" s="1"/>
      <c r="F685" s="1"/>
      <c r="G685" s="1"/>
      <c r="H685" s="1"/>
      <c r="I685" s="1"/>
      <c r="J685" s="1"/>
      <c r="K685" s="1"/>
    </row>
    <row r="686" spans="5:11">
      <c r="E686" s="1"/>
      <c r="F686" s="1"/>
      <c r="G686" s="1"/>
      <c r="H686" s="1"/>
      <c r="I686" s="1"/>
      <c r="J686" s="1"/>
      <c r="K686" s="1"/>
    </row>
    <row r="687" spans="5:11">
      <c r="E687" s="1"/>
      <c r="F687" s="1"/>
      <c r="G687" s="1"/>
      <c r="H687" s="1"/>
      <c r="I687" s="1"/>
      <c r="J687" s="1"/>
      <c r="K687" s="1"/>
    </row>
    <row r="688" spans="5:11">
      <c r="E688" s="1"/>
      <c r="F688" s="1"/>
      <c r="G688" s="1"/>
      <c r="H688" s="1"/>
      <c r="I688" s="1"/>
      <c r="J688" s="1"/>
      <c r="K688" s="1"/>
    </row>
    <row r="689" spans="5:11">
      <c r="E689" s="1"/>
      <c r="F689" s="1"/>
      <c r="G689" s="1"/>
      <c r="H689" s="1"/>
      <c r="I689" s="1"/>
      <c r="J689" s="1"/>
      <c r="K689" s="1"/>
    </row>
    <row r="690" spans="5:11">
      <c r="E690" s="1"/>
      <c r="F690" s="1"/>
      <c r="G690" s="1"/>
      <c r="H690" s="1"/>
      <c r="I690" s="1"/>
      <c r="J690" s="1"/>
      <c r="K690" s="1"/>
    </row>
    <row r="691" spans="5:11">
      <c r="E691" s="1"/>
      <c r="F691" s="1"/>
      <c r="G691" s="1"/>
      <c r="H691" s="1"/>
      <c r="I691" s="1"/>
      <c r="J691" s="1"/>
      <c r="K691" s="1"/>
    </row>
    <row r="692" spans="5:11">
      <c r="E692" s="1"/>
      <c r="F692" s="1"/>
      <c r="G692" s="1"/>
      <c r="H692" s="1"/>
      <c r="I692" s="1"/>
      <c r="J692" s="1"/>
      <c r="K692" s="1"/>
    </row>
    <row r="693" spans="5:11">
      <c r="E693" s="1"/>
      <c r="F693" s="1"/>
      <c r="G693" s="1"/>
      <c r="H693" s="1"/>
      <c r="I693" s="1"/>
      <c r="J693" s="1"/>
      <c r="K693" s="1"/>
    </row>
    <row r="694" spans="5:11">
      <c r="E694" s="1"/>
      <c r="F694" s="1"/>
      <c r="G694" s="1"/>
      <c r="H694" s="1"/>
      <c r="I694" s="1"/>
      <c r="J694" s="1"/>
      <c r="K694" s="1"/>
    </row>
    <row r="695" spans="5:11">
      <c r="E695" s="1"/>
      <c r="F695" s="1"/>
      <c r="G695" s="1"/>
      <c r="H695" s="1"/>
      <c r="I695" s="1"/>
      <c r="J695" s="1"/>
      <c r="K695" s="1"/>
    </row>
    <row r="696" spans="5:11">
      <c r="E696" s="1"/>
      <c r="F696" s="1"/>
      <c r="G696" s="1"/>
      <c r="H696" s="1"/>
      <c r="I696" s="1"/>
      <c r="J696" s="1"/>
      <c r="K696" s="1"/>
    </row>
    <row r="697" spans="5:11">
      <c r="E697" s="1"/>
      <c r="F697" s="1"/>
      <c r="G697" s="1"/>
      <c r="H697" s="1"/>
      <c r="I697" s="1"/>
      <c r="J697" s="1"/>
      <c r="K697" s="1"/>
    </row>
    <row r="698" spans="5:11">
      <c r="E698" s="1"/>
      <c r="F698" s="1"/>
      <c r="G698" s="1"/>
      <c r="H698" s="1"/>
      <c r="I698" s="1"/>
      <c r="J698" s="1"/>
      <c r="K698" s="1"/>
    </row>
    <row r="699" spans="5:11">
      <c r="E699" s="1"/>
      <c r="F699" s="1"/>
      <c r="G699" s="1"/>
      <c r="H699" s="1"/>
      <c r="I699" s="1"/>
      <c r="J699" s="1"/>
      <c r="K699" s="1"/>
    </row>
    <row r="700" spans="5:11">
      <c r="E700" s="1"/>
      <c r="F700" s="1"/>
      <c r="G700" s="1"/>
      <c r="H700" s="1"/>
      <c r="I700" s="1"/>
      <c r="J700" s="1"/>
      <c r="K700" s="1"/>
    </row>
    <row r="701" spans="5:11">
      <c r="E701" s="1"/>
      <c r="F701" s="1"/>
      <c r="G701" s="1"/>
      <c r="H701" s="1"/>
      <c r="I701" s="1"/>
      <c r="J701" s="1"/>
      <c r="K701" s="1"/>
    </row>
    <row r="702" spans="5:11">
      <c r="E702" s="1"/>
      <c r="F702" s="1"/>
      <c r="G702" s="1"/>
      <c r="H702" s="1"/>
      <c r="I702" s="1"/>
      <c r="J702" s="1"/>
      <c r="K702" s="1"/>
    </row>
    <row r="703" spans="5:11">
      <c r="E703" s="1"/>
      <c r="F703" s="1"/>
      <c r="G703" s="1"/>
      <c r="H703" s="1"/>
      <c r="I703" s="1"/>
      <c r="J703" s="1"/>
      <c r="K703" s="1"/>
    </row>
    <row r="704" spans="5:11">
      <c r="E704" s="1"/>
      <c r="F704" s="1"/>
      <c r="G704" s="1"/>
      <c r="H704" s="1"/>
      <c r="I704" s="1"/>
      <c r="J704" s="1"/>
      <c r="K704" s="1"/>
    </row>
    <row r="705" spans="5:11">
      <c r="E705" s="1"/>
      <c r="F705" s="1"/>
      <c r="G705" s="1"/>
      <c r="H705" s="1"/>
      <c r="I705" s="1"/>
      <c r="J705" s="1"/>
      <c r="K705" s="1"/>
    </row>
    <row r="706" spans="5:11">
      <c r="E706" s="1"/>
      <c r="F706" s="1"/>
      <c r="G706" s="1"/>
      <c r="H706" s="1"/>
      <c r="I706" s="1"/>
      <c r="J706" s="1"/>
      <c r="K706" s="1"/>
    </row>
    <row r="707" spans="5:11">
      <c r="E707" s="1"/>
      <c r="F707" s="1"/>
      <c r="G707" s="1"/>
      <c r="H707" s="1"/>
      <c r="I707" s="1"/>
      <c r="J707" s="1"/>
      <c r="K707" s="1"/>
    </row>
    <row r="708" spans="5:11">
      <c r="E708" s="1"/>
      <c r="F708" s="1"/>
      <c r="G708" s="1"/>
      <c r="H708" s="1"/>
      <c r="I708" s="1"/>
      <c r="J708" s="1"/>
      <c r="K708" s="1"/>
    </row>
    <row r="709" spans="5:11">
      <c r="E709" s="1"/>
      <c r="F709" s="1"/>
      <c r="G709" s="1"/>
      <c r="H709" s="1"/>
      <c r="I709" s="1"/>
      <c r="J709" s="1"/>
      <c r="K709" s="1"/>
    </row>
    <row r="710" spans="5:11">
      <c r="E710" s="1"/>
      <c r="F710" s="1"/>
      <c r="G710" s="1"/>
      <c r="H710" s="1"/>
      <c r="I710" s="1"/>
      <c r="J710" s="1"/>
      <c r="K710" s="1"/>
    </row>
    <row r="711" spans="5:11">
      <c r="E711" s="1"/>
      <c r="F711" s="1"/>
      <c r="G711" s="1"/>
      <c r="H711" s="1"/>
      <c r="I711" s="1"/>
      <c r="J711" s="1"/>
      <c r="K711" s="1"/>
    </row>
    <row r="712" spans="5:11">
      <c r="E712" s="1"/>
      <c r="F712" s="1"/>
      <c r="G712" s="1"/>
      <c r="H712" s="1"/>
      <c r="I712" s="1"/>
      <c r="J712" s="1"/>
      <c r="K712" s="1"/>
    </row>
    <row r="713" spans="5:11">
      <c r="E713" s="1"/>
      <c r="F713" s="1"/>
      <c r="G713" s="1"/>
      <c r="H713" s="1"/>
      <c r="I713" s="1"/>
      <c r="J713" s="1"/>
      <c r="K713" s="1"/>
    </row>
    <row r="714" spans="5:11">
      <c r="E714" s="1"/>
      <c r="F714" s="1"/>
      <c r="G714" s="1"/>
      <c r="H714" s="1"/>
      <c r="I714" s="1"/>
      <c r="J714" s="1"/>
      <c r="K714" s="1"/>
    </row>
    <row r="715" spans="5:11">
      <c r="E715" s="1"/>
      <c r="F715" s="1"/>
      <c r="G715" s="1"/>
      <c r="H715" s="1"/>
      <c r="I715" s="1"/>
      <c r="J715" s="1"/>
      <c r="K715" s="1"/>
    </row>
    <row r="716" spans="5:11">
      <c r="E716" s="1"/>
      <c r="F716" s="1"/>
      <c r="G716" s="1"/>
      <c r="H716" s="1"/>
      <c r="I716" s="1"/>
      <c r="J716" s="1"/>
      <c r="K716" s="1"/>
    </row>
    <row r="717" spans="5:11">
      <c r="E717" s="1"/>
      <c r="F717" s="1"/>
      <c r="G717" s="1"/>
      <c r="H717" s="1"/>
      <c r="I717" s="1"/>
      <c r="J717" s="1"/>
      <c r="K717" s="1"/>
    </row>
    <row r="718" spans="5:11">
      <c r="E718" s="1"/>
      <c r="F718" s="1"/>
      <c r="G718" s="1"/>
      <c r="H718" s="1"/>
      <c r="I718" s="1"/>
      <c r="J718" s="1"/>
      <c r="K718" s="1"/>
    </row>
    <row r="719" spans="5:11">
      <c r="E719" s="1"/>
      <c r="F719" s="1"/>
      <c r="G719" s="1"/>
      <c r="H719" s="1"/>
      <c r="I719" s="1"/>
      <c r="J719" s="1"/>
      <c r="K719" s="1"/>
    </row>
    <row r="720" spans="5:11">
      <c r="E720" s="1"/>
      <c r="F720" s="1"/>
      <c r="G720" s="1"/>
      <c r="H720" s="1"/>
      <c r="I720" s="1"/>
      <c r="J720" s="1"/>
      <c r="K720" s="1"/>
    </row>
    <row r="721" spans="5:11">
      <c r="E721" s="1"/>
      <c r="F721" s="1"/>
      <c r="G721" s="1"/>
      <c r="H721" s="1"/>
      <c r="I721" s="1"/>
      <c r="J721" s="1"/>
      <c r="K721" s="1"/>
    </row>
    <row r="722" spans="5:11">
      <c r="E722" s="1"/>
      <c r="F722" s="1"/>
      <c r="G722" s="1"/>
      <c r="H722" s="1"/>
      <c r="I722" s="1"/>
      <c r="J722" s="1"/>
      <c r="K722" s="1"/>
    </row>
    <row r="723" spans="5:11">
      <c r="E723" s="1"/>
      <c r="F723" s="1"/>
      <c r="G723" s="1"/>
      <c r="H723" s="1"/>
      <c r="I723" s="1"/>
      <c r="J723" s="1"/>
      <c r="K723" s="1"/>
    </row>
    <row r="724" spans="5:11">
      <c r="E724" s="1"/>
      <c r="F724" s="1"/>
      <c r="G724" s="1"/>
      <c r="H724" s="1"/>
      <c r="I724" s="1"/>
      <c r="J724" s="1"/>
      <c r="K724" s="1"/>
    </row>
    <row r="725" spans="5:11">
      <c r="E725" s="1"/>
      <c r="F725" s="1"/>
      <c r="G725" s="1"/>
      <c r="H725" s="1"/>
      <c r="I725" s="1"/>
      <c r="J725" s="1"/>
      <c r="K725" s="1"/>
    </row>
    <row r="726" spans="5:11">
      <c r="E726" s="1"/>
      <c r="F726" s="1"/>
      <c r="G726" s="1"/>
      <c r="H726" s="1"/>
      <c r="I726" s="1"/>
      <c r="J726" s="1"/>
      <c r="K726" s="1"/>
    </row>
    <row r="727" spans="5:11">
      <c r="E727" s="1"/>
      <c r="F727" s="1"/>
      <c r="G727" s="1"/>
      <c r="H727" s="1"/>
      <c r="I727" s="1"/>
      <c r="J727" s="1"/>
      <c r="K727" s="1"/>
    </row>
    <row r="728" spans="5:11">
      <c r="E728" s="1"/>
      <c r="F728" s="1"/>
      <c r="G728" s="1"/>
      <c r="H728" s="1"/>
      <c r="I728" s="1"/>
      <c r="J728" s="1"/>
      <c r="K728" s="1"/>
    </row>
    <row r="729" spans="5:11">
      <c r="E729" s="1"/>
      <c r="F729" s="1"/>
      <c r="G729" s="1"/>
      <c r="H729" s="1"/>
      <c r="I729" s="1"/>
      <c r="J729" s="1"/>
      <c r="K729" s="1"/>
    </row>
    <row r="730" spans="5:11">
      <c r="E730" s="1"/>
      <c r="F730" s="1"/>
      <c r="G730" s="1"/>
      <c r="H730" s="1"/>
      <c r="I730" s="1"/>
      <c r="J730" s="1"/>
      <c r="K730" s="1"/>
    </row>
    <row r="731" spans="5:11">
      <c r="E731" s="1"/>
      <c r="F731" s="1"/>
      <c r="G731" s="1"/>
      <c r="H731" s="1"/>
      <c r="I731" s="1"/>
      <c r="J731" s="1"/>
      <c r="K731" s="1"/>
    </row>
    <row r="732" spans="5:11">
      <c r="E732" s="1"/>
      <c r="F732" s="1"/>
      <c r="G732" s="1"/>
      <c r="H732" s="1"/>
      <c r="I732" s="1"/>
      <c r="J732" s="1"/>
      <c r="K732" s="1"/>
    </row>
    <row r="733" spans="5:11">
      <c r="E733" s="1"/>
      <c r="F733" s="1"/>
      <c r="G733" s="1"/>
      <c r="H733" s="1"/>
      <c r="I733" s="1"/>
      <c r="J733" s="1"/>
      <c r="K733" s="1"/>
    </row>
    <row r="734" spans="5:11">
      <c r="E734" s="1"/>
      <c r="F734" s="1"/>
      <c r="G734" s="1"/>
      <c r="H734" s="1"/>
      <c r="I734" s="1"/>
      <c r="J734" s="1"/>
      <c r="K734" s="1"/>
    </row>
    <row r="735" spans="5:11">
      <c r="E735" s="1"/>
      <c r="F735" s="1"/>
      <c r="G735" s="1"/>
      <c r="H735" s="1"/>
      <c r="I735" s="1"/>
      <c r="J735" s="1"/>
      <c r="K735" s="1"/>
    </row>
    <row r="736" spans="5:11">
      <c r="E736" s="1"/>
      <c r="F736" s="1"/>
      <c r="G736" s="1"/>
      <c r="H736" s="1"/>
      <c r="I736" s="1"/>
      <c r="J736" s="1"/>
      <c r="K736" s="1"/>
    </row>
    <row r="737" spans="5:11">
      <c r="E737" s="1"/>
      <c r="F737" s="1"/>
      <c r="G737" s="1"/>
      <c r="H737" s="1"/>
      <c r="I737" s="1"/>
      <c r="J737" s="1"/>
      <c r="K737" s="1"/>
    </row>
    <row r="738" spans="5:11">
      <c r="E738" s="1"/>
      <c r="F738" s="1"/>
      <c r="G738" s="1"/>
      <c r="H738" s="1"/>
      <c r="I738" s="1"/>
      <c r="J738" s="1"/>
      <c r="K738" s="1"/>
    </row>
    <row r="739" spans="5:11">
      <c r="E739" s="1"/>
      <c r="F739" s="1"/>
      <c r="G739" s="1"/>
      <c r="H739" s="1"/>
      <c r="I739" s="1"/>
      <c r="J739" s="1"/>
      <c r="K739" s="1"/>
    </row>
    <row r="740" spans="5:11">
      <c r="E740" s="1"/>
      <c r="F740" s="1"/>
      <c r="G740" s="1"/>
      <c r="H740" s="1"/>
      <c r="I740" s="1"/>
      <c r="J740" s="1"/>
      <c r="K740" s="1"/>
    </row>
    <row r="741" spans="5:11">
      <c r="E741" s="1"/>
      <c r="F741" s="1"/>
      <c r="G741" s="1"/>
      <c r="H741" s="1"/>
      <c r="I741" s="1"/>
      <c r="J741" s="1"/>
      <c r="K741" s="1"/>
    </row>
    <row r="742" spans="5:11">
      <c r="E742" s="1"/>
      <c r="F742" s="1"/>
      <c r="G742" s="1"/>
      <c r="H742" s="1"/>
      <c r="I742" s="1"/>
      <c r="J742" s="1"/>
      <c r="K742" s="1"/>
    </row>
    <row r="743" spans="5:11">
      <c r="E743" s="1"/>
      <c r="F743" s="1"/>
      <c r="G743" s="1"/>
      <c r="H743" s="1"/>
      <c r="I743" s="1"/>
      <c r="J743" s="1"/>
      <c r="K743" s="1"/>
    </row>
    <row r="744" spans="5:11">
      <c r="E744" s="1"/>
      <c r="F744" s="1"/>
      <c r="G744" s="1"/>
      <c r="H744" s="1"/>
      <c r="I744" s="1"/>
      <c r="J744" s="1"/>
      <c r="K744" s="1"/>
    </row>
    <row r="745" spans="5:11">
      <c r="E745" s="1"/>
      <c r="F745" s="1"/>
      <c r="G745" s="1"/>
      <c r="H745" s="1"/>
      <c r="I745" s="1"/>
      <c r="J745" s="1"/>
      <c r="K745" s="1"/>
    </row>
    <row r="746" spans="5:11">
      <c r="E746" s="1"/>
      <c r="F746" s="1"/>
      <c r="G746" s="1"/>
      <c r="H746" s="1"/>
      <c r="I746" s="1"/>
      <c r="J746" s="1"/>
      <c r="K746" s="1"/>
    </row>
    <row r="747" spans="5:11">
      <c r="E747" s="1"/>
      <c r="F747" s="1"/>
      <c r="G747" s="1"/>
      <c r="H747" s="1"/>
      <c r="I747" s="1"/>
      <c r="J747" s="1"/>
      <c r="K747" s="1"/>
    </row>
    <row r="748" spans="5:11">
      <c r="E748" s="1"/>
      <c r="F748" s="1"/>
      <c r="G748" s="1"/>
      <c r="H748" s="1"/>
      <c r="I748" s="1"/>
      <c r="J748" s="1"/>
      <c r="K748" s="1"/>
    </row>
    <row r="749" spans="5:11">
      <c r="E749" s="1"/>
      <c r="F749" s="1"/>
      <c r="G749" s="1"/>
      <c r="H749" s="1"/>
      <c r="I749" s="1"/>
      <c r="J749" s="1"/>
      <c r="K749" s="1"/>
    </row>
    <row r="750" spans="5:11">
      <c r="E750" s="1"/>
      <c r="F750" s="1"/>
      <c r="G750" s="1"/>
      <c r="H750" s="1"/>
      <c r="I750" s="1"/>
      <c r="J750" s="1"/>
      <c r="K750" s="1"/>
    </row>
    <row r="751" spans="5:11">
      <c r="E751" s="1"/>
      <c r="F751" s="1"/>
      <c r="G751" s="1"/>
      <c r="H751" s="1"/>
      <c r="I751" s="1"/>
      <c r="J751" s="1"/>
      <c r="K751" s="1"/>
    </row>
    <row r="752" spans="5:11">
      <c r="E752" s="1"/>
      <c r="F752" s="1"/>
      <c r="G752" s="1"/>
      <c r="H752" s="1"/>
      <c r="I752" s="1"/>
      <c r="J752" s="1"/>
      <c r="K752" s="1"/>
    </row>
    <row r="753" spans="5:11">
      <c r="E753" s="1"/>
      <c r="F753" s="1"/>
      <c r="G753" s="1"/>
      <c r="H753" s="1"/>
      <c r="I753" s="1"/>
      <c r="J753" s="1"/>
      <c r="K753" s="1"/>
    </row>
    <row r="754" spans="5:11">
      <c r="E754" s="1"/>
      <c r="F754" s="1"/>
      <c r="G754" s="1"/>
      <c r="H754" s="1"/>
      <c r="I754" s="1"/>
      <c r="J754" s="1"/>
      <c r="K754" s="1"/>
    </row>
    <row r="755" spans="5:11">
      <c r="E755" s="1"/>
      <c r="F755" s="1"/>
      <c r="G755" s="1"/>
      <c r="H755" s="1"/>
      <c r="I755" s="1"/>
      <c r="J755" s="1"/>
      <c r="K755" s="1"/>
    </row>
    <row r="756" spans="5:11">
      <c r="E756" s="1"/>
      <c r="F756" s="1"/>
      <c r="G756" s="1"/>
      <c r="H756" s="1"/>
      <c r="I756" s="1"/>
      <c r="J756" s="1"/>
      <c r="K756" s="1"/>
    </row>
    <row r="757" spans="5:11">
      <c r="E757" s="1"/>
      <c r="F757" s="1"/>
      <c r="G757" s="1"/>
      <c r="H757" s="1"/>
      <c r="I757" s="1"/>
      <c r="J757" s="1"/>
      <c r="K757" s="1"/>
    </row>
    <row r="758" spans="5:11">
      <c r="E758" s="1"/>
      <c r="F758" s="1"/>
      <c r="G758" s="1"/>
      <c r="H758" s="1"/>
      <c r="I758" s="1"/>
      <c r="J758" s="1"/>
      <c r="K758" s="1"/>
    </row>
    <row r="759" spans="5:11">
      <c r="E759" s="1"/>
      <c r="F759" s="1"/>
      <c r="G759" s="1"/>
      <c r="H759" s="1"/>
      <c r="I759" s="1"/>
      <c r="J759" s="1"/>
      <c r="K759" s="1"/>
    </row>
    <row r="760" spans="5:11">
      <c r="E760" s="1"/>
      <c r="F760" s="1"/>
      <c r="G760" s="1"/>
      <c r="H760" s="1"/>
      <c r="I760" s="1"/>
      <c r="J760" s="1"/>
      <c r="K760" s="1"/>
    </row>
    <row r="761" spans="5:11">
      <c r="E761" s="1"/>
      <c r="F761" s="1"/>
      <c r="G761" s="1"/>
      <c r="H761" s="1"/>
      <c r="I761" s="1"/>
      <c r="J761" s="1"/>
      <c r="K761" s="1"/>
    </row>
    <row r="762" spans="5:11">
      <c r="E762" s="1"/>
      <c r="F762" s="1"/>
      <c r="G762" s="1"/>
      <c r="H762" s="1"/>
      <c r="I762" s="1"/>
      <c r="J762" s="1"/>
      <c r="K762" s="1"/>
    </row>
    <row r="763" spans="5:11">
      <c r="E763" s="1"/>
      <c r="F763" s="1"/>
      <c r="G763" s="1"/>
      <c r="H763" s="1"/>
      <c r="I763" s="1"/>
      <c r="J763" s="1"/>
      <c r="K763" s="1"/>
    </row>
    <row r="764" spans="5:11">
      <c r="E764" s="1"/>
      <c r="F764" s="1"/>
      <c r="G764" s="1"/>
      <c r="H764" s="1"/>
      <c r="I764" s="1"/>
      <c r="J764" s="1"/>
      <c r="K764" s="1"/>
    </row>
    <row r="765" spans="5:11">
      <c r="E765" s="1"/>
      <c r="F765" s="1"/>
      <c r="G765" s="1"/>
      <c r="H765" s="1"/>
      <c r="I765" s="1"/>
      <c r="J765" s="1"/>
      <c r="K765" s="1"/>
    </row>
    <row r="766" spans="5:11">
      <c r="E766" s="1"/>
      <c r="F766" s="1"/>
      <c r="G766" s="1"/>
      <c r="H766" s="1"/>
      <c r="I766" s="1"/>
      <c r="J766" s="1"/>
      <c r="K766" s="1"/>
    </row>
    <row r="767" spans="5:11">
      <c r="E767" s="1"/>
      <c r="F767" s="1"/>
      <c r="G767" s="1"/>
      <c r="H767" s="1"/>
      <c r="I767" s="1"/>
      <c r="J767" s="1"/>
      <c r="K767" s="1"/>
    </row>
    <row r="768" spans="5:11">
      <c r="E768" s="1"/>
      <c r="F768" s="1"/>
      <c r="G768" s="1"/>
      <c r="H768" s="1"/>
      <c r="I768" s="1"/>
      <c r="J768" s="1"/>
      <c r="K768" s="1"/>
    </row>
    <row r="769" spans="5:11">
      <c r="E769" s="1"/>
      <c r="F769" s="1"/>
      <c r="G769" s="1"/>
      <c r="H769" s="1"/>
      <c r="I769" s="1"/>
      <c r="J769" s="1"/>
      <c r="K769" s="1"/>
    </row>
    <row r="770" spans="5:11">
      <c r="E770" s="1"/>
      <c r="F770" s="1"/>
      <c r="G770" s="1"/>
      <c r="H770" s="1"/>
      <c r="I770" s="1"/>
      <c r="J770" s="1"/>
      <c r="K770" s="1"/>
    </row>
    <row r="771" spans="5:11">
      <c r="E771" s="1"/>
      <c r="F771" s="1"/>
      <c r="G771" s="1"/>
      <c r="H771" s="1"/>
      <c r="I771" s="1"/>
      <c r="J771" s="1"/>
      <c r="K771" s="1"/>
    </row>
    <row r="772" spans="5:11">
      <c r="E772" s="1"/>
      <c r="F772" s="1"/>
      <c r="G772" s="1"/>
      <c r="H772" s="1"/>
      <c r="I772" s="1"/>
      <c r="J772" s="1"/>
      <c r="K772" s="1"/>
    </row>
    <row r="773" spans="5:11">
      <c r="E773" s="1"/>
      <c r="F773" s="1"/>
      <c r="G773" s="1"/>
      <c r="H773" s="1"/>
      <c r="I773" s="1"/>
      <c r="J773" s="1"/>
      <c r="K773" s="1"/>
    </row>
    <row r="774" spans="5:11">
      <c r="E774" s="1"/>
      <c r="F774" s="1"/>
      <c r="G774" s="1"/>
      <c r="H774" s="1"/>
      <c r="I774" s="1"/>
      <c r="J774" s="1"/>
      <c r="K774" s="1"/>
    </row>
    <row r="775" spans="5:11">
      <c r="E775" s="1"/>
      <c r="F775" s="1"/>
      <c r="G775" s="1"/>
      <c r="H775" s="1"/>
      <c r="I775" s="1"/>
      <c r="J775" s="1"/>
      <c r="K775" s="1"/>
    </row>
    <row r="776" spans="5:11">
      <c r="E776" s="1"/>
      <c r="F776" s="1"/>
      <c r="G776" s="1"/>
      <c r="H776" s="1"/>
      <c r="I776" s="1"/>
      <c r="J776" s="1"/>
      <c r="K776" s="1"/>
    </row>
    <row r="777" spans="5:11">
      <c r="E777" s="1"/>
      <c r="F777" s="1"/>
      <c r="G777" s="1"/>
      <c r="H777" s="1"/>
      <c r="I777" s="1"/>
      <c r="J777" s="1"/>
      <c r="K777" s="1"/>
    </row>
    <row r="778" spans="5:11">
      <c r="E778" s="1"/>
      <c r="F778" s="1"/>
      <c r="G778" s="1"/>
      <c r="H778" s="1"/>
      <c r="I778" s="1"/>
      <c r="J778" s="1"/>
      <c r="K778" s="1"/>
    </row>
    <row r="779" spans="5:11">
      <c r="E779" s="1"/>
      <c r="F779" s="1"/>
      <c r="G779" s="1"/>
      <c r="H779" s="1"/>
      <c r="I779" s="1"/>
      <c r="J779" s="1"/>
      <c r="K779" s="1"/>
    </row>
    <row r="780" spans="5:11">
      <c r="E780" s="1"/>
      <c r="F780" s="1"/>
      <c r="G780" s="1"/>
      <c r="H780" s="1"/>
      <c r="I780" s="1"/>
      <c r="J780" s="1"/>
      <c r="K780" s="1"/>
    </row>
    <row r="781" spans="5:11">
      <c r="E781" s="1"/>
      <c r="F781" s="1"/>
      <c r="G781" s="1"/>
      <c r="H781" s="1"/>
      <c r="I781" s="1"/>
      <c r="J781" s="1"/>
      <c r="K781" s="1"/>
    </row>
    <row r="782" spans="5:11">
      <c r="E782" s="1"/>
      <c r="F782" s="1"/>
      <c r="G782" s="1"/>
      <c r="H782" s="1"/>
      <c r="I782" s="1"/>
      <c r="J782" s="1"/>
      <c r="K782" s="1"/>
    </row>
    <row r="783" spans="5:11">
      <c r="E783" s="1"/>
      <c r="F783" s="1"/>
      <c r="G783" s="1"/>
      <c r="H783" s="1"/>
      <c r="I783" s="1"/>
      <c r="J783" s="1"/>
      <c r="K783" s="1"/>
    </row>
    <row r="784" spans="5:11">
      <c r="E784" s="1"/>
      <c r="F784" s="1"/>
      <c r="G784" s="1"/>
      <c r="H784" s="1"/>
      <c r="I784" s="1"/>
      <c r="J784" s="1"/>
      <c r="K784" s="1"/>
    </row>
    <row r="785" spans="5:11">
      <c r="E785" s="1"/>
      <c r="F785" s="1"/>
      <c r="G785" s="1"/>
      <c r="H785" s="1"/>
      <c r="I785" s="1"/>
      <c r="J785" s="1"/>
      <c r="K785" s="1"/>
    </row>
    <row r="786" spans="5:11">
      <c r="E786" s="1"/>
      <c r="F786" s="1"/>
      <c r="G786" s="1"/>
      <c r="H786" s="1"/>
      <c r="I786" s="1"/>
      <c r="J786" s="1"/>
      <c r="K786" s="1"/>
    </row>
    <row r="787" spans="5:11">
      <c r="E787" s="1"/>
      <c r="F787" s="1"/>
      <c r="G787" s="1"/>
      <c r="H787" s="1"/>
      <c r="I787" s="1"/>
      <c r="J787" s="1"/>
      <c r="K787" s="1"/>
    </row>
    <row r="788" spans="5:11">
      <c r="E788" s="1"/>
      <c r="F788" s="1"/>
      <c r="G788" s="1"/>
      <c r="H788" s="1"/>
      <c r="I788" s="1"/>
      <c r="J788" s="1"/>
      <c r="K788" s="1"/>
    </row>
    <row r="789" spans="5:11">
      <c r="E789" s="1"/>
      <c r="F789" s="1"/>
      <c r="G789" s="1"/>
      <c r="H789" s="1"/>
      <c r="I789" s="1"/>
      <c r="J789" s="1"/>
      <c r="K789" s="1"/>
    </row>
    <row r="790" spans="5:11">
      <c r="E790" s="1"/>
      <c r="F790" s="1"/>
      <c r="G790" s="1"/>
      <c r="H790" s="1"/>
      <c r="I790" s="1"/>
      <c r="J790" s="1"/>
      <c r="K790" s="1"/>
    </row>
    <row r="791" spans="5:11">
      <c r="E791" s="1"/>
      <c r="F791" s="1"/>
      <c r="G791" s="1"/>
      <c r="H791" s="1"/>
      <c r="I791" s="1"/>
      <c r="J791" s="1"/>
      <c r="K791" s="1"/>
    </row>
    <row r="792" spans="5:11">
      <c r="E792" s="1"/>
      <c r="F792" s="1"/>
      <c r="G792" s="1"/>
      <c r="H792" s="1"/>
      <c r="I792" s="1"/>
      <c r="J792" s="1"/>
      <c r="K792" s="1"/>
    </row>
    <row r="793" spans="5:11">
      <c r="E793" s="1"/>
      <c r="F793" s="1"/>
      <c r="G793" s="1"/>
      <c r="H793" s="1"/>
      <c r="I793" s="1"/>
      <c r="J793" s="1"/>
      <c r="K793" s="1"/>
    </row>
    <row r="794" spans="5:11">
      <c r="E794" s="1"/>
      <c r="F794" s="1"/>
      <c r="G794" s="1"/>
      <c r="H794" s="1"/>
      <c r="I794" s="1"/>
      <c r="J794" s="1"/>
      <c r="K794" s="1"/>
    </row>
    <row r="795" spans="5:11">
      <c r="E795" s="1"/>
      <c r="F795" s="1"/>
      <c r="G795" s="1"/>
      <c r="H795" s="1"/>
      <c r="I795" s="1"/>
      <c r="J795" s="1"/>
      <c r="K795" s="1"/>
    </row>
    <row r="796" spans="5:11">
      <c r="E796" s="1"/>
      <c r="F796" s="1"/>
      <c r="G796" s="1"/>
      <c r="H796" s="1"/>
      <c r="I796" s="1"/>
      <c r="J796" s="1"/>
      <c r="K796" s="1"/>
    </row>
    <row r="797" spans="5:11">
      <c r="E797" s="1"/>
      <c r="F797" s="1"/>
      <c r="G797" s="1"/>
      <c r="H797" s="1"/>
      <c r="I797" s="1"/>
      <c r="J797" s="1"/>
      <c r="K797" s="1"/>
    </row>
    <row r="798" spans="5:11">
      <c r="E798" s="1"/>
      <c r="F798" s="1"/>
      <c r="G798" s="1"/>
      <c r="H798" s="1"/>
      <c r="I798" s="1"/>
      <c r="J798" s="1"/>
      <c r="K798" s="1"/>
    </row>
    <row r="799" spans="5:11">
      <c r="E799" s="1"/>
      <c r="F799" s="1"/>
      <c r="G799" s="1"/>
      <c r="H799" s="1"/>
      <c r="I799" s="1"/>
      <c r="J799" s="1"/>
      <c r="K799" s="1"/>
    </row>
    <row r="800" spans="5:11">
      <c r="E800" s="1"/>
      <c r="F800" s="1"/>
      <c r="G800" s="1"/>
      <c r="H800" s="1"/>
      <c r="I800" s="1"/>
      <c r="J800" s="1"/>
      <c r="K800" s="1"/>
    </row>
    <row r="801" spans="5:11">
      <c r="E801" s="1"/>
      <c r="F801" s="1"/>
      <c r="G801" s="1"/>
      <c r="H801" s="1"/>
      <c r="I801" s="1"/>
      <c r="J801" s="1"/>
      <c r="K801" s="1"/>
    </row>
    <row r="802" spans="5:11">
      <c r="E802" s="1"/>
      <c r="F802" s="1"/>
      <c r="G802" s="1"/>
      <c r="H802" s="1"/>
      <c r="I802" s="1"/>
      <c r="J802" s="1"/>
      <c r="K802" s="1"/>
    </row>
    <row r="803" spans="5:11">
      <c r="E803" s="1"/>
      <c r="F803" s="1"/>
      <c r="G803" s="1"/>
      <c r="H803" s="1"/>
      <c r="I803" s="1"/>
      <c r="J803" s="1"/>
      <c r="K803" s="1"/>
    </row>
    <row r="804" spans="5:11">
      <c r="E804" s="1"/>
      <c r="F804" s="1"/>
      <c r="G804" s="1"/>
      <c r="H804" s="1"/>
      <c r="I804" s="1"/>
      <c r="J804" s="1"/>
      <c r="K804" s="1"/>
    </row>
    <row r="805" spans="5:11">
      <c r="E805" s="1"/>
      <c r="F805" s="1"/>
      <c r="G805" s="1"/>
      <c r="H805" s="1"/>
      <c r="I805" s="1"/>
      <c r="J805" s="1"/>
      <c r="K805" s="1"/>
    </row>
    <row r="806" spans="5:11">
      <c r="E806" s="1"/>
      <c r="F806" s="1"/>
      <c r="G806" s="1"/>
      <c r="H806" s="1"/>
      <c r="I806" s="1"/>
      <c r="J806" s="1"/>
      <c r="K806" s="1"/>
    </row>
    <row r="807" spans="5:11">
      <c r="E807" s="1"/>
      <c r="F807" s="1"/>
      <c r="G807" s="1"/>
      <c r="H807" s="1"/>
      <c r="I807" s="1"/>
      <c r="J807" s="1"/>
      <c r="K807" s="1"/>
    </row>
    <row r="808" spans="5:11">
      <c r="E808" s="1"/>
      <c r="F808" s="1"/>
      <c r="G808" s="1"/>
      <c r="H808" s="1"/>
      <c r="I808" s="1"/>
      <c r="J808" s="1"/>
      <c r="K808" s="1"/>
    </row>
    <row r="809" spans="5:11">
      <c r="E809" s="1"/>
      <c r="F809" s="1"/>
      <c r="G809" s="1"/>
      <c r="H809" s="1"/>
      <c r="I809" s="1"/>
      <c r="J809" s="1"/>
      <c r="K809" s="1"/>
    </row>
    <row r="810" spans="5:11">
      <c r="E810" s="1"/>
      <c r="F810" s="1"/>
      <c r="G810" s="1"/>
      <c r="H810" s="1"/>
      <c r="I810" s="1"/>
      <c r="J810" s="1"/>
      <c r="K810" s="1"/>
    </row>
    <row r="811" spans="5:11">
      <c r="E811" s="1"/>
      <c r="F811" s="1"/>
      <c r="G811" s="1"/>
      <c r="H811" s="1"/>
      <c r="I811" s="1"/>
      <c r="J811" s="1"/>
      <c r="K811" s="1"/>
    </row>
    <row r="812" spans="5:11">
      <c r="E812" s="1"/>
      <c r="F812" s="1"/>
      <c r="G812" s="1"/>
      <c r="H812" s="1"/>
      <c r="I812" s="1"/>
      <c r="J812" s="1"/>
      <c r="K812" s="1"/>
    </row>
    <row r="813" spans="5:11">
      <c r="E813" s="1"/>
      <c r="F813" s="1"/>
      <c r="G813" s="1"/>
      <c r="H813" s="1"/>
      <c r="I813" s="1"/>
      <c r="J813" s="1"/>
      <c r="K813" s="1"/>
    </row>
    <row r="814" spans="5:11">
      <c r="E814" s="1"/>
      <c r="F814" s="1"/>
      <c r="G814" s="1"/>
      <c r="H814" s="1"/>
      <c r="I814" s="1"/>
      <c r="J814" s="1"/>
      <c r="K814" s="1"/>
    </row>
    <row r="815" spans="5:11">
      <c r="E815" s="1"/>
      <c r="F815" s="1"/>
      <c r="G815" s="1"/>
      <c r="H815" s="1"/>
      <c r="I815" s="1"/>
      <c r="J815" s="1"/>
      <c r="K815" s="1"/>
    </row>
    <row r="816" spans="5:11">
      <c r="E816" s="1"/>
      <c r="F816" s="1"/>
      <c r="G816" s="1"/>
      <c r="H816" s="1"/>
      <c r="I816" s="1"/>
      <c r="J816" s="1"/>
      <c r="K816" s="1"/>
    </row>
    <row r="817" spans="5:11">
      <c r="E817" s="1"/>
      <c r="F817" s="1"/>
      <c r="G817" s="1"/>
      <c r="H817" s="1"/>
      <c r="I817" s="1"/>
      <c r="J817" s="1"/>
      <c r="K817" s="1"/>
    </row>
    <row r="818" spans="5:11">
      <c r="E818" s="1"/>
      <c r="F818" s="1"/>
      <c r="G818" s="1"/>
      <c r="H818" s="1"/>
      <c r="I818" s="1"/>
      <c r="J818" s="1"/>
      <c r="K818" s="1"/>
    </row>
    <row r="819" spans="5:11">
      <c r="E819" s="1"/>
      <c r="F819" s="1"/>
      <c r="G819" s="1"/>
      <c r="H819" s="1"/>
      <c r="I819" s="1"/>
      <c r="J819" s="1"/>
      <c r="K819" s="1"/>
    </row>
    <row r="820" spans="5:11">
      <c r="E820" s="1"/>
      <c r="F820" s="1"/>
      <c r="G820" s="1"/>
      <c r="H820" s="1"/>
      <c r="I820" s="1"/>
      <c r="J820" s="1"/>
      <c r="K820" s="1"/>
    </row>
    <row r="821" spans="5:11">
      <c r="E821" s="1"/>
      <c r="F821" s="1"/>
      <c r="G821" s="1"/>
      <c r="H821" s="1"/>
      <c r="I821" s="1"/>
      <c r="J821" s="1"/>
      <c r="K821" s="1"/>
    </row>
    <row r="822" spans="5:11">
      <c r="E822" s="1"/>
      <c r="F822" s="1"/>
      <c r="G822" s="1"/>
      <c r="H822" s="1"/>
      <c r="I822" s="1"/>
      <c r="J822" s="1"/>
      <c r="K822" s="1"/>
    </row>
    <row r="823" spans="5:11">
      <c r="E823" s="1"/>
      <c r="F823" s="1"/>
      <c r="G823" s="1"/>
      <c r="H823" s="1"/>
      <c r="I823" s="1"/>
      <c r="J823" s="1"/>
      <c r="K823" s="1"/>
    </row>
    <row r="824" spans="5:11">
      <c r="E824" s="1"/>
      <c r="F824" s="1"/>
      <c r="G824" s="1"/>
      <c r="H824" s="1"/>
      <c r="I824" s="1"/>
      <c r="J824" s="1"/>
      <c r="K824" s="1"/>
    </row>
    <row r="825" spans="5:11">
      <c r="E825" s="1"/>
      <c r="F825" s="1"/>
      <c r="G825" s="1"/>
      <c r="H825" s="1"/>
      <c r="I825" s="1"/>
      <c r="J825" s="1"/>
      <c r="K825" s="1"/>
    </row>
    <row r="826" spans="5:11">
      <c r="E826" s="1"/>
      <c r="F826" s="1"/>
      <c r="G826" s="1"/>
      <c r="H826" s="1"/>
      <c r="I826" s="1"/>
      <c r="J826" s="1"/>
      <c r="K826" s="1"/>
    </row>
    <row r="827" spans="5:11">
      <c r="E827" s="1"/>
      <c r="F827" s="1"/>
      <c r="G827" s="1"/>
      <c r="H827" s="1"/>
      <c r="I827" s="1"/>
      <c r="J827" s="1"/>
      <c r="K827" s="1"/>
    </row>
    <row r="828" spans="5:11">
      <c r="E828" s="1"/>
      <c r="F828" s="1"/>
      <c r="G828" s="1"/>
      <c r="H828" s="1"/>
      <c r="I828" s="1"/>
      <c r="J828" s="1"/>
      <c r="K828" s="1"/>
    </row>
    <row r="829" spans="5:11">
      <c r="E829" s="1"/>
      <c r="F829" s="1"/>
      <c r="G829" s="1"/>
      <c r="H829" s="1"/>
      <c r="I829" s="1"/>
      <c r="J829" s="1"/>
      <c r="K829" s="1"/>
    </row>
    <row r="830" spans="5:11">
      <c r="E830" s="1"/>
      <c r="F830" s="1"/>
      <c r="G830" s="1"/>
      <c r="H830" s="1"/>
      <c r="I830" s="1"/>
      <c r="J830" s="1"/>
      <c r="K830" s="1"/>
    </row>
    <row r="831" spans="5:11">
      <c r="E831" s="1"/>
      <c r="F831" s="1"/>
      <c r="G831" s="1"/>
      <c r="H831" s="1"/>
      <c r="I831" s="1"/>
      <c r="J831" s="1"/>
      <c r="K831" s="1"/>
    </row>
    <row r="832" spans="5:11">
      <c r="E832" s="1"/>
      <c r="F832" s="1"/>
      <c r="G832" s="1"/>
      <c r="H832" s="1"/>
      <c r="I832" s="1"/>
      <c r="J832" s="1"/>
      <c r="K832" s="1"/>
    </row>
    <row r="833" spans="5:11">
      <c r="E833" s="1"/>
      <c r="F833" s="1"/>
      <c r="G833" s="1"/>
      <c r="H833" s="1"/>
      <c r="I833" s="1"/>
      <c r="J833" s="1"/>
      <c r="K833" s="1"/>
    </row>
    <row r="834" spans="5:11">
      <c r="E834" s="1"/>
      <c r="F834" s="1"/>
      <c r="G834" s="1"/>
      <c r="H834" s="1"/>
      <c r="I834" s="1"/>
      <c r="J834" s="1"/>
      <c r="K834" s="1"/>
    </row>
    <row r="835" spans="5:11">
      <c r="E835" s="1"/>
      <c r="F835" s="1"/>
      <c r="G835" s="1"/>
      <c r="H835" s="1"/>
      <c r="I835" s="1"/>
      <c r="J835" s="1"/>
      <c r="K835" s="1"/>
    </row>
    <row r="836" spans="5:11">
      <c r="E836" s="1"/>
      <c r="F836" s="1"/>
      <c r="G836" s="1"/>
      <c r="H836" s="1"/>
      <c r="I836" s="1"/>
      <c r="J836" s="1"/>
      <c r="K836" s="1"/>
    </row>
    <row r="837" spans="5:11">
      <c r="E837" s="1"/>
      <c r="F837" s="1"/>
      <c r="G837" s="1"/>
      <c r="H837" s="1"/>
      <c r="I837" s="1"/>
      <c r="J837" s="1"/>
      <c r="K837" s="1"/>
    </row>
    <row r="838" spans="5:11">
      <c r="E838" s="1"/>
      <c r="F838" s="1"/>
      <c r="G838" s="1"/>
      <c r="H838" s="1"/>
      <c r="I838" s="1"/>
      <c r="J838" s="1"/>
      <c r="K838" s="1"/>
    </row>
    <row r="839" spans="5:11">
      <c r="E839" s="1"/>
      <c r="F839" s="1"/>
      <c r="G839" s="1"/>
      <c r="H839" s="1"/>
      <c r="I839" s="1"/>
      <c r="J839" s="1"/>
      <c r="K839" s="1"/>
    </row>
    <row r="840" spans="5:11">
      <c r="E840" s="1"/>
      <c r="F840" s="1"/>
      <c r="G840" s="1"/>
      <c r="H840" s="1"/>
      <c r="I840" s="1"/>
      <c r="J840" s="1"/>
      <c r="K840" s="1"/>
    </row>
    <row r="841" spans="5:11">
      <c r="E841" s="1"/>
      <c r="F841" s="1"/>
      <c r="G841" s="1"/>
      <c r="H841" s="1"/>
      <c r="I841" s="1"/>
      <c r="J841" s="1"/>
      <c r="K841" s="1"/>
    </row>
    <row r="842" spans="5:11">
      <c r="E842" s="1"/>
      <c r="F842" s="1"/>
      <c r="G842" s="1"/>
      <c r="H842" s="1"/>
      <c r="I842" s="1"/>
      <c r="J842" s="1"/>
      <c r="K842" s="1"/>
    </row>
    <row r="843" spans="5:11">
      <c r="E843" s="1"/>
      <c r="F843" s="1"/>
      <c r="G843" s="1"/>
      <c r="H843" s="1"/>
      <c r="I843" s="1"/>
      <c r="J843" s="1"/>
      <c r="K843" s="1"/>
    </row>
    <row r="844" spans="5:11">
      <c r="E844" s="1"/>
      <c r="F844" s="1"/>
      <c r="G844" s="1"/>
      <c r="H844" s="1"/>
      <c r="I844" s="1"/>
      <c r="J844" s="1"/>
      <c r="K844" s="1"/>
    </row>
    <row r="845" spans="5:11">
      <c r="E845" s="1"/>
      <c r="F845" s="1"/>
      <c r="G845" s="1"/>
      <c r="H845" s="1"/>
      <c r="I845" s="1"/>
      <c r="J845" s="1"/>
      <c r="K845" s="1"/>
    </row>
    <row r="846" spans="5:11">
      <c r="E846" s="1"/>
      <c r="F846" s="1"/>
      <c r="G846" s="1"/>
      <c r="H846" s="1"/>
      <c r="I846" s="1"/>
      <c r="J846" s="1"/>
      <c r="K846" s="1"/>
    </row>
    <row r="847" spans="5:11">
      <c r="E847" s="1"/>
      <c r="F847" s="1"/>
      <c r="G847" s="1"/>
      <c r="H847" s="1"/>
      <c r="I847" s="1"/>
      <c r="J847" s="1"/>
      <c r="K847" s="1"/>
    </row>
    <row r="848" spans="5:11">
      <c r="E848" s="1"/>
      <c r="F848" s="1"/>
      <c r="G848" s="1"/>
      <c r="H848" s="1"/>
      <c r="I848" s="1"/>
      <c r="J848" s="1"/>
      <c r="K848" s="1"/>
    </row>
    <row r="849" spans="5:11">
      <c r="E849" s="1"/>
      <c r="F849" s="1"/>
      <c r="G849" s="1"/>
      <c r="H849" s="1"/>
      <c r="I849" s="1"/>
      <c r="J849" s="1"/>
      <c r="K849" s="1"/>
    </row>
    <row r="850" spans="5:11">
      <c r="E850" s="1"/>
      <c r="F850" s="1"/>
      <c r="G850" s="1"/>
      <c r="H850" s="1"/>
      <c r="I850" s="1"/>
      <c r="J850" s="1"/>
      <c r="K850" s="1"/>
    </row>
    <row r="851" spans="5:11">
      <c r="E851" s="1"/>
      <c r="F851" s="1"/>
      <c r="G851" s="1"/>
      <c r="H851" s="1"/>
      <c r="I851" s="1"/>
      <c r="J851" s="1"/>
      <c r="K851" s="1"/>
    </row>
    <row r="852" spans="5:11">
      <c r="E852" s="1"/>
      <c r="F852" s="1"/>
      <c r="G852" s="1"/>
      <c r="H852" s="1"/>
      <c r="I852" s="1"/>
      <c r="J852" s="1"/>
      <c r="K852" s="1"/>
    </row>
    <row r="853" spans="5:11">
      <c r="E853" s="1"/>
      <c r="F853" s="1"/>
      <c r="G853" s="1"/>
      <c r="H853" s="1"/>
      <c r="I853" s="1"/>
      <c r="J853" s="1"/>
      <c r="K853" s="1"/>
    </row>
    <row r="854" spans="5:11">
      <c r="E854" s="1"/>
      <c r="F854" s="1"/>
      <c r="G854" s="1"/>
      <c r="H854" s="1"/>
      <c r="I854" s="1"/>
      <c r="J854" s="1"/>
      <c r="K854" s="1"/>
    </row>
    <row r="855" spans="5:11">
      <c r="E855" s="1"/>
      <c r="F855" s="1"/>
      <c r="G855" s="1"/>
      <c r="H855" s="1"/>
      <c r="I855" s="1"/>
      <c r="J855" s="1"/>
      <c r="K855" s="1"/>
    </row>
    <row r="856" spans="5:11">
      <c r="E856" s="1"/>
      <c r="F856" s="1"/>
      <c r="G856" s="1"/>
      <c r="H856" s="1"/>
      <c r="I856" s="1"/>
      <c r="J856" s="1"/>
      <c r="K856" s="1"/>
    </row>
    <row r="857" spans="5:11">
      <c r="E857" s="1"/>
      <c r="F857" s="1"/>
      <c r="G857" s="1"/>
      <c r="H857" s="1"/>
      <c r="I857" s="1"/>
      <c r="J857" s="1"/>
      <c r="K857" s="1"/>
    </row>
    <row r="858" spans="5:11">
      <c r="E858" s="1"/>
      <c r="F858" s="1"/>
      <c r="G858" s="1"/>
      <c r="H858" s="1"/>
      <c r="I858" s="1"/>
      <c r="J858" s="1"/>
      <c r="K858" s="1"/>
    </row>
    <row r="859" spans="5:11">
      <c r="E859" s="1"/>
      <c r="F859" s="1"/>
      <c r="G859" s="1"/>
      <c r="H859" s="1"/>
      <c r="I859" s="1"/>
      <c r="J859" s="1"/>
      <c r="K859" s="1"/>
    </row>
    <row r="860" spans="5:11">
      <c r="E860" s="1"/>
      <c r="F860" s="1"/>
      <c r="G860" s="1"/>
      <c r="H860" s="1"/>
      <c r="I860" s="1"/>
      <c r="J860" s="1"/>
      <c r="K860" s="1"/>
    </row>
    <row r="861" spans="5:11">
      <c r="E861" s="1"/>
      <c r="F861" s="1"/>
      <c r="G861" s="1"/>
      <c r="H861" s="1"/>
      <c r="I861" s="1"/>
      <c r="J861" s="1"/>
      <c r="K861" s="1"/>
    </row>
    <row r="862" spans="5:11">
      <c r="E862" s="1"/>
      <c r="F862" s="1"/>
      <c r="G862" s="1"/>
      <c r="H862" s="1"/>
      <c r="I862" s="1"/>
      <c r="J862" s="1"/>
      <c r="K862" s="1"/>
    </row>
    <row r="863" spans="5:11">
      <c r="E863" s="1"/>
      <c r="F863" s="1"/>
      <c r="G863" s="1"/>
      <c r="H863" s="1"/>
      <c r="I863" s="1"/>
      <c r="J863" s="1"/>
      <c r="K863" s="1"/>
    </row>
    <row r="864" spans="5:11">
      <c r="E864" s="1"/>
      <c r="F864" s="1"/>
      <c r="G864" s="1"/>
      <c r="H864" s="1"/>
      <c r="I864" s="1"/>
      <c r="J864" s="1"/>
      <c r="K864" s="1"/>
    </row>
    <row r="865" spans="5:11">
      <c r="E865" s="1"/>
      <c r="F865" s="1"/>
      <c r="G865" s="1"/>
      <c r="H865" s="1"/>
      <c r="I865" s="1"/>
      <c r="J865" s="1"/>
      <c r="K865" s="1"/>
    </row>
    <row r="866" spans="5:11">
      <c r="E866" s="1"/>
      <c r="F866" s="1"/>
      <c r="G866" s="1"/>
      <c r="H866" s="1"/>
      <c r="I866" s="1"/>
      <c r="J866" s="1"/>
      <c r="K866" s="1"/>
    </row>
    <row r="867" spans="5:11">
      <c r="E867" s="1"/>
      <c r="F867" s="1"/>
      <c r="G867" s="1"/>
      <c r="H867" s="1"/>
      <c r="I867" s="1"/>
      <c r="J867" s="1"/>
      <c r="K867" s="1"/>
    </row>
    <row r="868" spans="5:11">
      <c r="E868" s="1"/>
      <c r="F868" s="1"/>
      <c r="G868" s="1"/>
      <c r="H868" s="1"/>
      <c r="I868" s="1"/>
      <c r="J868" s="1"/>
      <c r="K868" s="1"/>
    </row>
    <row r="869" spans="5:11">
      <c r="E869" s="1"/>
      <c r="F869" s="1"/>
      <c r="G869" s="1"/>
      <c r="H869" s="1"/>
      <c r="I869" s="1"/>
      <c r="J869" s="1"/>
      <c r="K869" s="1"/>
    </row>
    <row r="870" spans="5:11">
      <c r="E870" s="1"/>
      <c r="F870" s="1"/>
      <c r="G870" s="1"/>
      <c r="H870" s="1"/>
      <c r="I870" s="1"/>
      <c r="J870" s="1"/>
      <c r="K870" s="1"/>
    </row>
    <row r="871" spans="5:11">
      <c r="E871" s="1"/>
      <c r="F871" s="1"/>
      <c r="G871" s="1"/>
      <c r="H871" s="1"/>
      <c r="I871" s="1"/>
      <c r="J871" s="1"/>
      <c r="K871" s="1"/>
    </row>
    <row r="872" spans="5:11">
      <c r="E872" s="1"/>
      <c r="F872" s="1"/>
      <c r="G872" s="1"/>
      <c r="H872" s="1"/>
      <c r="I872" s="1"/>
      <c r="J872" s="1"/>
      <c r="K872" s="1"/>
    </row>
    <row r="873" spans="5:11">
      <c r="E873" s="1"/>
      <c r="F873" s="1"/>
      <c r="G873" s="1"/>
      <c r="H873" s="1"/>
      <c r="I873" s="1"/>
      <c r="J873" s="1"/>
      <c r="K873" s="1"/>
    </row>
    <row r="874" spans="5:11">
      <c r="E874" s="1"/>
      <c r="F874" s="1"/>
      <c r="G874" s="1"/>
      <c r="H874" s="1"/>
      <c r="I874" s="1"/>
      <c r="J874" s="1"/>
      <c r="K874" s="1"/>
    </row>
    <row r="875" spans="5:11">
      <c r="E875" s="1"/>
      <c r="F875" s="1"/>
      <c r="G875" s="1"/>
      <c r="H875" s="1"/>
      <c r="I875" s="1"/>
      <c r="J875" s="1"/>
      <c r="K875" s="1"/>
    </row>
    <row r="876" spans="5:11">
      <c r="E876" s="1"/>
      <c r="F876" s="1"/>
      <c r="G876" s="1"/>
      <c r="H876" s="1"/>
      <c r="I876" s="1"/>
      <c r="J876" s="1"/>
      <c r="K876" s="1"/>
    </row>
    <row r="877" spans="5:11">
      <c r="E877" s="1"/>
      <c r="F877" s="1"/>
      <c r="G877" s="1"/>
      <c r="H877" s="1"/>
      <c r="I877" s="1"/>
      <c r="J877" s="1"/>
      <c r="K877" s="1"/>
    </row>
    <row r="878" spans="5:11">
      <c r="E878" s="1"/>
      <c r="F878" s="1"/>
      <c r="G878" s="1"/>
      <c r="H878" s="1"/>
      <c r="I878" s="1"/>
      <c r="J878" s="1"/>
      <c r="K878" s="1"/>
    </row>
    <row r="879" spans="5:11">
      <c r="E879" s="1"/>
      <c r="F879" s="1"/>
      <c r="G879" s="1"/>
      <c r="H879" s="1"/>
      <c r="I879" s="1"/>
      <c r="J879" s="1"/>
      <c r="K879" s="1"/>
    </row>
    <row r="880" spans="5:11">
      <c r="E880" s="1"/>
      <c r="F880" s="1"/>
      <c r="G880" s="1"/>
      <c r="H880" s="1"/>
      <c r="I880" s="1"/>
      <c r="J880" s="1"/>
      <c r="K880" s="1"/>
    </row>
    <row r="881" spans="5:11">
      <c r="E881" s="1"/>
      <c r="F881" s="1"/>
      <c r="G881" s="1"/>
      <c r="H881" s="1"/>
      <c r="I881" s="1"/>
      <c r="J881" s="1"/>
      <c r="K881" s="1"/>
    </row>
    <row r="882" spans="5:11">
      <c r="E882" s="1"/>
      <c r="F882" s="1"/>
      <c r="G882" s="1"/>
      <c r="H882" s="1"/>
      <c r="I882" s="1"/>
      <c r="J882" s="1"/>
      <c r="K882" s="1"/>
    </row>
    <row r="883" spans="5:11">
      <c r="E883" s="1"/>
      <c r="F883" s="1"/>
      <c r="G883" s="1"/>
      <c r="H883" s="1"/>
      <c r="I883" s="1"/>
      <c r="J883" s="1"/>
      <c r="K883" s="1"/>
    </row>
    <row r="884" spans="5:11">
      <c r="E884" s="1"/>
      <c r="F884" s="1"/>
      <c r="G884" s="1"/>
      <c r="H884" s="1"/>
      <c r="I884" s="1"/>
      <c r="J884" s="1"/>
      <c r="K884" s="1"/>
    </row>
    <row r="885" spans="5:11">
      <c r="E885" s="1"/>
      <c r="F885" s="1"/>
      <c r="G885" s="1"/>
      <c r="H885" s="1"/>
      <c r="I885" s="1"/>
      <c r="J885" s="1"/>
      <c r="K885" s="1"/>
    </row>
    <row r="886" spans="5:11">
      <c r="E886" s="1"/>
      <c r="F886" s="1"/>
      <c r="G886" s="1"/>
      <c r="H886" s="1"/>
      <c r="I886" s="1"/>
      <c r="J886" s="1"/>
      <c r="K886" s="1"/>
    </row>
    <row r="887" spans="5:11">
      <c r="E887" s="1"/>
      <c r="F887" s="1"/>
      <c r="G887" s="1"/>
      <c r="H887" s="1"/>
      <c r="I887" s="1"/>
      <c r="J887" s="1"/>
      <c r="K887" s="1"/>
    </row>
    <row r="888" spans="5:11">
      <c r="E888" s="1"/>
      <c r="F888" s="1"/>
      <c r="G888" s="1"/>
      <c r="H888" s="1"/>
      <c r="I888" s="1"/>
      <c r="J888" s="1"/>
      <c r="K888" s="1"/>
    </row>
    <row r="889" spans="5:11">
      <c r="E889" s="1"/>
      <c r="F889" s="1"/>
      <c r="G889" s="1"/>
      <c r="H889" s="1"/>
      <c r="I889" s="1"/>
      <c r="J889" s="1"/>
      <c r="K889" s="1"/>
    </row>
    <row r="890" spans="5:11">
      <c r="E890" s="1"/>
      <c r="F890" s="1"/>
      <c r="G890" s="1"/>
      <c r="H890" s="1"/>
      <c r="I890" s="1"/>
      <c r="J890" s="1"/>
      <c r="K890" s="1"/>
    </row>
    <row r="891" spans="5:11">
      <c r="E891" s="1"/>
      <c r="F891" s="1"/>
      <c r="G891" s="1"/>
      <c r="H891" s="1"/>
      <c r="I891" s="1"/>
      <c r="J891" s="1"/>
      <c r="K891" s="1"/>
    </row>
    <row r="892" spans="5:11">
      <c r="E892" s="1"/>
      <c r="F892" s="1"/>
      <c r="G892" s="1"/>
      <c r="H892" s="1"/>
      <c r="I892" s="1"/>
      <c r="J892" s="1"/>
      <c r="K892" s="1"/>
    </row>
    <row r="893" spans="5:11">
      <c r="E893" s="1"/>
      <c r="F893" s="1"/>
      <c r="G893" s="1"/>
      <c r="H893" s="1"/>
      <c r="I893" s="1"/>
      <c r="J893" s="1"/>
      <c r="K893" s="1"/>
    </row>
    <row r="894" spans="5:11">
      <c r="E894" s="1"/>
      <c r="F894" s="1"/>
      <c r="G894" s="1"/>
      <c r="H894" s="1"/>
      <c r="I894" s="1"/>
      <c r="J894" s="1"/>
      <c r="K894" s="1"/>
    </row>
    <row r="895" spans="5:11">
      <c r="E895" s="1"/>
      <c r="F895" s="1"/>
      <c r="G895" s="1"/>
      <c r="H895" s="1"/>
      <c r="I895" s="1"/>
      <c r="J895" s="1"/>
      <c r="K895" s="1"/>
    </row>
    <row r="896" spans="5:11">
      <c r="E896" s="1"/>
      <c r="F896" s="1"/>
      <c r="G896" s="1"/>
      <c r="H896" s="1"/>
      <c r="I896" s="1"/>
      <c r="J896" s="1"/>
      <c r="K896" s="1"/>
    </row>
    <row r="897" spans="5:11">
      <c r="E897" s="1"/>
      <c r="F897" s="1"/>
      <c r="G897" s="1"/>
      <c r="H897" s="1"/>
      <c r="I897" s="1"/>
      <c r="J897" s="1"/>
      <c r="K897" s="1"/>
    </row>
    <row r="898" spans="5:11">
      <c r="E898" s="1"/>
      <c r="F898" s="1"/>
      <c r="G898" s="1"/>
      <c r="H898" s="1"/>
      <c r="I898" s="1"/>
      <c r="J898" s="1"/>
      <c r="K898" s="1"/>
    </row>
    <row r="899" spans="5:11">
      <c r="E899" s="1"/>
      <c r="F899" s="1"/>
      <c r="G899" s="1"/>
      <c r="H899" s="1"/>
      <c r="I899" s="1"/>
      <c r="J899" s="1"/>
      <c r="K899" s="1"/>
    </row>
    <row r="900" spans="5:11">
      <c r="E900" s="1"/>
      <c r="F900" s="1"/>
      <c r="G900" s="1"/>
      <c r="H900" s="1"/>
      <c r="I900" s="1"/>
      <c r="J900" s="1"/>
      <c r="K900" s="1"/>
    </row>
    <row r="901" spans="5:11">
      <c r="E901" s="1"/>
      <c r="F901" s="1"/>
      <c r="G901" s="1"/>
      <c r="H901" s="1"/>
      <c r="I901" s="1"/>
      <c r="J901" s="1"/>
      <c r="K901" s="1"/>
    </row>
    <row r="902" spans="5:11">
      <c r="E902" s="1"/>
      <c r="F902" s="1"/>
      <c r="G902" s="1"/>
      <c r="H902" s="1"/>
      <c r="I902" s="1"/>
      <c r="J902" s="1"/>
      <c r="K902" s="1"/>
    </row>
    <row r="903" spans="5:11">
      <c r="E903" s="1"/>
      <c r="F903" s="1"/>
      <c r="G903" s="1"/>
      <c r="H903" s="1"/>
      <c r="I903" s="1"/>
      <c r="J903" s="1"/>
      <c r="K903" s="1"/>
    </row>
    <row r="904" spans="5:11">
      <c r="E904" s="1"/>
      <c r="F904" s="1"/>
      <c r="G904" s="1"/>
      <c r="H904" s="1"/>
      <c r="I904" s="1"/>
      <c r="J904" s="1"/>
      <c r="K904" s="1"/>
    </row>
    <row r="905" spans="5:11">
      <c r="E905" s="1"/>
      <c r="F905" s="1"/>
      <c r="G905" s="1"/>
      <c r="H905" s="1"/>
      <c r="I905" s="1"/>
      <c r="J905" s="1"/>
      <c r="K905" s="1"/>
    </row>
    <row r="906" spans="5:11">
      <c r="E906" s="1"/>
      <c r="F906" s="1"/>
      <c r="G906" s="1"/>
      <c r="H906" s="1"/>
      <c r="I906" s="1"/>
      <c r="J906" s="1"/>
      <c r="K906" s="1"/>
    </row>
    <row r="907" spans="5:11">
      <c r="E907" s="1"/>
      <c r="F907" s="1"/>
      <c r="G907" s="1"/>
      <c r="H907" s="1"/>
      <c r="I907" s="1"/>
      <c r="J907" s="1"/>
      <c r="K907" s="1"/>
    </row>
    <row r="908" spans="5:11">
      <c r="E908" s="1"/>
      <c r="F908" s="1"/>
      <c r="G908" s="1"/>
      <c r="H908" s="1"/>
      <c r="I908" s="1"/>
      <c r="J908" s="1"/>
      <c r="K908" s="1"/>
    </row>
    <row r="909" spans="5:11">
      <c r="E909" s="1"/>
      <c r="F909" s="1"/>
      <c r="G909" s="1"/>
      <c r="H909" s="1"/>
      <c r="I909" s="1"/>
      <c r="J909" s="1"/>
      <c r="K909" s="1"/>
    </row>
    <row r="910" spans="5:11">
      <c r="E910" s="1"/>
      <c r="F910" s="1"/>
      <c r="G910" s="1"/>
      <c r="H910" s="1"/>
      <c r="I910" s="1"/>
      <c r="J910" s="1"/>
      <c r="K910" s="1"/>
    </row>
    <row r="911" spans="5:11">
      <c r="E911" s="1"/>
      <c r="F911" s="1"/>
      <c r="G911" s="1"/>
      <c r="H911" s="1"/>
      <c r="I911" s="1"/>
      <c r="J911" s="1"/>
      <c r="K911" s="1"/>
    </row>
    <row r="912" spans="5:11">
      <c r="E912" s="1"/>
      <c r="F912" s="1"/>
      <c r="G912" s="1"/>
      <c r="H912" s="1"/>
      <c r="I912" s="1"/>
      <c r="J912" s="1"/>
      <c r="K912" s="1"/>
    </row>
    <row r="913" spans="5:11">
      <c r="E913" s="1"/>
      <c r="F913" s="1"/>
      <c r="G913" s="1"/>
      <c r="H913" s="1"/>
      <c r="I913" s="1"/>
      <c r="J913" s="1"/>
      <c r="K913" s="1"/>
    </row>
    <row r="914" spans="5:11">
      <c r="E914" s="1"/>
      <c r="F914" s="1"/>
      <c r="G914" s="1"/>
      <c r="H914" s="1"/>
      <c r="I914" s="1"/>
      <c r="J914" s="1"/>
      <c r="K914" s="1"/>
    </row>
    <row r="915" spans="5:11">
      <c r="E915" s="1"/>
      <c r="F915" s="1"/>
      <c r="G915" s="1"/>
      <c r="H915" s="1"/>
      <c r="I915" s="1"/>
      <c r="J915" s="1"/>
      <c r="K915" s="1"/>
    </row>
    <row r="916" spans="5:11">
      <c r="E916" s="1"/>
      <c r="F916" s="1"/>
      <c r="G916" s="1"/>
      <c r="H916" s="1"/>
      <c r="I916" s="1"/>
      <c r="J916" s="1"/>
      <c r="K916" s="1"/>
    </row>
    <row r="917" spans="5:11">
      <c r="E917" s="1"/>
      <c r="F917" s="1"/>
      <c r="G917" s="1"/>
      <c r="H917" s="1"/>
      <c r="I917" s="1"/>
      <c r="J917" s="1"/>
      <c r="K917" s="1"/>
    </row>
    <row r="918" spans="5:11">
      <c r="E918" s="1"/>
      <c r="F918" s="1"/>
      <c r="G918" s="1"/>
      <c r="H918" s="1"/>
      <c r="I918" s="1"/>
      <c r="J918" s="1"/>
      <c r="K918" s="1"/>
    </row>
    <row r="919" spans="5:11">
      <c r="E919" s="1"/>
      <c r="F919" s="1"/>
      <c r="G919" s="1"/>
      <c r="H919" s="1"/>
      <c r="I919" s="1"/>
      <c r="J919" s="1"/>
      <c r="K919" s="1"/>
    </row>
    <row r="920" spans="5:11">
      <c r="E920" s="1"/>
      <c r="F920" s="1"/>
      <c r="G920" s="1"/>
      <c r="H920" s="1"/>
      <c r="I920" s="1"/>
      <c r="J920" s="1"/>
      <c r="K920" s="1"/>
    </row>
    <row r="921" spans="5:11">
      <c r="E921" s="1"/>
      <c r="F921" s="1"/>
      <c r="G921" s="1"/>
      <c r="H921" s="1"/>
      <c r="I921" s="1"/>
      <c r="J921" s="1"/>
      <c r="K921" s="1"/>
    </row>
    <row r="922" spans="5:11">
      <c r="E922" s="1"/>
      <c r="F922" s="1"/>
      <c r="G922" s="1"/>
      <c r="H922" s="1"/>
      <c r="I922" s="1"/>
      <c r="J922" s="1"/>
      <c r="K922" s="1"/>
    </row>
    <row r="923" spans="5:11">
      <c r="E923" s="1"/>
      <c r="F923" s="1"/>
      <c r="G923" s="1"/>
      <c r="H923" s="1"/>
      <c r="I923" s="1"/>
      <c r="J923" s="1"/>
      <c r="K923" s="1"/>
    </row>
    <row r="924" spans="5:11">
      <c r="E924" s="1"/>
      <c r="F924" s="1"/>
      <c r="G924" s="1"/>
      <c r="H924" s="1"/>
      <c r="I924" s="1"/>
      <c r="J924" s="1"/>
      <c r="K924" s="1"/>
    </row>
    <row r="925" spans="5:11">
      <c r="E925" s="1"/>
      <c r="F925" s="1"/>
      <c r="G925" s="1"/>
      <c r="H925" s="1"/>
      <c r="I925" s="1"/>
      <c r="J925" s="1"/>
      <c r="K925" s="1"/>
    </row>
    <row r="926" spans="5:11">
      <c r="E926" s="1"/>
      <c r="F926" s="1"/>
      <c r="G926" s="1"/>
      <c r="H926" s="1"/>
      <c r="I926" s="1"/>
      <c r="J926" s="1"/>
      <c r="K926" s="1"/>
    </row>
    <row r="927" spans="5:11">
      <c r="E927" s="1"/>
      <c r="F927" s="1"/>
      <c r="G927" s="1"/>
      <c r="H927" s="1"/>
      <c r="I927" s="1"/>
      <c r="J927" s="1"/>
      <c r="K927" s="1"/>
    </row>
    <row r="928" spans="5:11">
      <c r="E928" s="1"/>
      <c r="F928" s="1"/>
      <c r="G928" s="1"/>
      <c r="H928" s="1"/>
      <c r="I928" s="1"/>
      <c r="J928" s="1"/>
      <c r="K928" s="1"/>
    </row>
    <row r="929" spans="5:11">
      <c r="E929" s="1"/>
      <c r="F929" s="1"/>
      <c r="G929" s="1"/>
      <c r="H929" s="1"/>
      <c r="I929" s="1"/>
      <c r="J929" s="1"/>
      <c r="K929" s="1"/>
    </row>
    <row r="930" spans="5:11">
      <c r="E930" s="1"/>
      <c r="F930" s="1"/>
      <c r="G930" s="1"/>
      <c r="H930" s="1"/>
      <c r="I930" s="1"/>
      <c r="J930" s="1"/>
      <c r="K930" s="1"/>
    </row>
    <row r="931" spans="5:11">
      <c r="E931" s="1"/>
      <c r="F931" s="1"/>
      <c r="G931" s="1"/>
      <c r="H931" s="1"/>
      <c r="I931" s="1"/>
      <c r="J931" s="1"/>
      <c r="K931" s="1"/>
    </row>
    <row r="932" spans="5:11">
      <c r="E932" s="1"/>
      <c r="F932" s="1"/>
      <c r="G932" s="1"/>
      <c r="H932" s="1"/>
      <c r="I932" s="1"/>
      <c r="J932" s="1"/>
      <c r="K932" s="1"/>
    </row>
    <row r="933" spans="5:11">
      <c r="E933" s="1"/>
      <c r="F933" s="1"/>
      <c r="G933" s="1"/>
      <c r="H933" s="1"/>
      <c r="I933" s="1"/>
      <c r="J933" s="1"/>
      <c r="K933" s="1"/>
    </row>
    <row r="934" spans="5:11">
      <c r="E934" s="1"/>
      <c r="F934" s="1"/>
      <c r="G934" s="1"/>
      <c r="H934" s="1"/>
      <c r="I934" s="1"/>
      <c r="J934" s="1"/>
      <c r="K934" s="1"/>
    </row>
    <row r="935" spans="5:11">
      <c r="E935" s="1"/>
      <c r="F935" s="1"/>
      <c r="G935" s="1"/>
      <c r="H935" s="1"/>
      <c r="I935" s="1"/>
      <c r="J935" s="1"/>
      <c r="K935" s="1"/>
    </row>
    <row r="936" spans="5:11">
      <c r="E936" s="1"/>
      <c r="F936" s="1"/>
      <c r="G936" s="1"/>
      <c r="H936" s="1"/>
      <c r="I936" s="1"/>
      <c r="J936" s="1"/>
      <c r="K936" s="1"/>
    </row>
    <row r="937" spans="5:11">
      <c r="E937" s="1"/>
      <c r="F937" s="1"/>
      <c r="G937" s="1"/>
      <c r="H937" s="1"/>
      <c r="I937" s="1"/>
      <c r="J937" s="1"/>
      <c r="K937" s="1"/>
    </row>
    <row r="938" spans="5:11">
      <c r="E938" s="1"/>
      <c r="F938" s="1"/>
      <c r="G938" s="1"/>
      <c r="H938" s="1"/>
      <c r="I938" s="1"/>
      <c r="J938" s="1"/>
      <c r="K938" s="1"/>
    </row>
    <row r="939" spans="5:11">
      <c r="E939" s="1"/>
      <c r="F939" s="1"/>
      <c r="G939" s="1"/>
      <c r="H939" s="1"/>
      <c r="I939" s="1"/>
      <c r="J939" s="1"/>
      <c r="K939" s="1"/>
    </row>
    <row r="940" spans="5:11">
      <c r="E940" s="1"/>
      <c r="F940" s="1"/>
      <c r="G940" s="1"/>
      <c r="H940" s="1"/>
      <c r="I940" s="1"/>
      <c r="J940" s="1"/>
      <c r="K940" s="1"/>
    </row>
    <row r="941" spans="5:11">
      <c r="E941" s="1"/>
      <c r="F941" s="1"/>
      <c r="G941" s="1"/>
      <c r="H941" s="1"/>
      <c r="I941" s="1"/>
      <c r="J941" s="1"/>
      <c r="K941" s="1"/>
    </row>
    <row r="942" spans="5:11">
      <c r="E942" s="1"/>
      <c r="F942" s="1"/>
      <c r="G942" s="1"/>
      <c r="H942" s="1"/>
      <c r="I942" s="1"/>
      <c r="J942" s="1"/>
      <c r="K942" s="1"/>
    </row>
    <row r="943" spans="5:11">
      <c r="E943" s="1"/>
      <c r="F943" s="1"/>
      <c r="G943" s="1"/>
      <c r="H943" s="1"/>
      <c r="I943" s="1"/>
      <c r="J943" s="1"/>
      <c r="K943" s="1"/>
    </row>
    <row r="944" spans="5:11">
      <c r="E944" s="1"/>
      <c r="F944" s="1"/>
      <c r="G944" s="1"/>
      <c r="H944" s="1"/>
      <c r="I944" s="1"/>
      <c r="J944" s="1"/>
      <c r="K944" s="1"/>
    </row>
    <row r="945" spans="5:11">
      <c r="E945" s="1"/>
      <c r="F945" s="1"/>
      <c r="G945" s="1"/>
      <c r="H945" s="1"/>
      <c r="I945" s="1"/>
      <c r="J945" s="1"/>
      <c r="K945" s="1"/>
    </row>
    <row r="946" spans="5:11">
      <c r="E946" s="1"/>
      <c r="F946" s="1"/>
      <c r="G946" s="1"/>
      <c r="H946" s="1"/>
      <c r="I946" s="1"/>
      <c r="J946" s="1"/>
      <c r="K946" s="1"/>
    </row>
    <row r="947" spans="5:11">
      <c r="E947" s="1"/>
      <c r="F947" s="1"/>
      <c r="G947" s="1"/>
      <c r="H947" s="1"/>
      <c r="I947" s="1"/>
      <c r="J947" s="1"/>
      <c r="K947" s="1"/>
    </row>
    <row r="948" spans="5:11">
      <c r="E948" s="1"/>
      <c r="F948" s="1"/>
      <c r="G948" s="1"/>
      <c r="H948" s="1"/>
      <c r="I948" s="1"/>
      <c r="J948" s="1"/>
      <c r="K948" s="1"/>
    </row>
    <row r="949" spans="5:11">
      <c r="E949" s="1"/>
      <c r="F949" s="1"/>
      <c r="G949" s="1"/>
      <c r="H949" s="1"/>
      <c r="I949" s="1"/>
      <c r="J949" s="1"/>
      <c r="K949" s="1"/>
    </row>
    <row r="950" spans="5:11">
      <c r="E950" s="1"/>
      <c r="F950" s="1"/>
      <c r="G950" s="1"/>
      <c r="H950" s="1"/>
      <c r="I950" s="1"/>
      <c r="J950" s="1"/>
      <c r="K950" s="1"/>
    </row>
    <row r="951" spans="5:11">
      <c r="E951" s="1"/>
      <c r="F951" s="1"/>
      <c r="G951" s="1"/>
      <c r="H951" s="1"/>
      <c r="I951" s="1"/>
      <c r="J951" s="1"/>
      <c r="K951" s="1"/>
    </row>
    <row r="952" spans="5:11">
      <c r="E952" s="1"/>
      <c r="F952" s="1"/>
      <c r="G952" s="1"/>
      <c r="H952" s="1"/>
      <c r="I952" s="1"/>
      <c r="J952" s="1"/>
      <c r="K952" s="1"/>
    </row>
    <row r="953" spans="5:11">
      <c r="E953" s="1"/>
      <c r="F953" s="1"/>
      <c r="G953" s="1"/>
      <c r="H953" s="1"/>
      <c r="I953" s="1"/>
      <c r="J953" s="1"/>
      <c r="K953" s="1"/>
    </row>
    <row r="954" spans="5:11">
      <c r="E954" s="1"/>
      <c r="F954" s="1"/>
      <c r="G954" s="1"/>
      <c r="H954" s="1"/>
      <c r="I954" s="1"/>
      <c r="J954" s="1"/>
      <c r="K954" s="1"/>
    </row>
    <row r="955" spans="5:11">
      <c r="E955" s="1"/>
      <c r="F955" s="1"/>
      <c r="G955" s="1"/>
      <c r="H955" s="1"/>
      <c r="I955" s="1"/>
      <c r="J955" s="1"/>
      <c r="K955" s="1"/>
    </row>
    <row r="956" spans="5:11">
      <c r="E956" s="1"/>
      <c r="F956" s="1"/>
      <c r="G956" s="1"/>
      <c r="H956" s="1"/>
      <c r="I956" s="1"/>
      <c r="J956" s="1"/>
      <c r="K956" s="1"/>
    </row>
    <row r="957" spans="5:11">
      <c r="E957" s="1"/>
      <c r="F957" s="1"/>
      <c r="G957" s="1"/>
      <c r="H957" s="1"/>
      <c r="I957" s="1"/>
      <c r="J957" s="1"/>
      <c r="K957" s="1"/>
    </row>
    <row r="958" spans="5:11">
      <c r="E958" s="1"/>
      <c r="F958" s="1"/>
      <c r="G958" s="1"/>
      <c r="H958" s="1"/>
      <c r="I958" s="1"/>
      <c r="J958" s="1"/>
      <c r="K958" s="1"/>
    </row>
    <row r="959" spans="5:11">
      <c r="E959" s="1"/>
      <c r="F959" s="1"/>
      <c r="G959" s="1"/>
      <c r="H959" s="1"/>
      <c r="I959" s="1"/>
      <c r="J959" s="1"/>
      <c r="K959" s="1"/>
    </row>
    <row r="960" spans="5:11">
      <c r="E960" s="1"/>
      <c r="F960" s="1"/>
      <c r="G960" s="1"/>
      <c r="H960" s="1"/>
      <c r="I960" s="1"/>
      <c r="J960" s="1"/>
      <c r="K960" s="1"/>
    </row>
    <row r="961" spans="5:11">
      <c r="E961" s="1"/>
      <c r="F961" s="1"/>
      <c r="G961" s="1"/>
      <c r="H961" s="1"/>
      <c r="I961" s="1"/>
      <c r="J961" s="1"/>
      <c r="K961" s="1"/>
    </row>
    <row r="962" spans="5:11">
      <c r="E962" s="1"/>
      <c r="F962" s="1"/>
      <c r="G962" s="1"/>
      <c r="H962" s="1"/>
      <c r="I962" s="1"/>
      <c r="J962" s="1"/>
      <c r="K962" s="1"/>
    </row>
    <row r="963" spans="5:11">
      <c r="E963" s="1"/>
      <c r="F963" s="1"/>
      <c r="G963" s="1"/>
      <c r="H963" s="1"/>
      <c r="I963" s="1"/>
      <c r="J963" s="1"/>
      <c r="K963" s="1"/>
    </row>
    <row r="964" spans="5:11">
      <c r="E964" s="1"/>
      <c r="F964" s="1"/>
      <c r="G964" s="1"/>
      <c r="H964" s="1"/>
      <c r="I964" s="1"/>
      <c r="J964" s="1"/>
      <c r="K964" s="1"/>
    </row>
    <row r="965" spans="5:11">
      <c r="E965" s="1"/>
      <c r="F965" s="1"/>
      <c r="G965" s="1"/>
      <c r="H965" s="1"/>
      <c r="I965" s="1"/>
      <c r="J965" s="1"/>
      <c r="K965" s="1"/>
    </row>
    <row r="966" spans="5:11">
      <c r="E966" s="1"/>
      <c r="F966" s="1"/>
      <c r="G966" s="1"/>
      <c r="H966" s="1"/>
      <c r="I966" s="1"/>
      <c r="J966" s="1"/>
      <c r="K966" s="1"/>
    </row>
    <row r="967" spans="5:11">
      <c r="E967" s="1"/>
      <c r="F967" s="1"/>
      <c r="G967" s="1"/>
      <c r="H967" s="1"/>
      <c r="I967" s="1"/>
      <c r="J967" s="1"/>
      <c r="K967" s="1"/>
    </row>
    <row r="968" spans="5:11">
      <c r="E968" s="1"/>
      <c r="F968" s="1"/>
      <c r="G968" s="1"/>
      <c r="H968" s="1"/>
      <c r="I968" s="1"/>
      <c r="J968" s="1"/>
      <c r="K968" s="1"/>
    </row>
    <row r="969" spans="5:11">
      <c r="E969" s="1"/>
      <c r="F969" s="1"/>
      <c r="G969" s="1"/>
      <c r="H969" s="1"/>
      <c r="I969" s="1"/>
      <c r="J969" s="1"/>
      <c r="K969" s="1"/>
    </row>
    <row r="970" spans="5:11">
      <c r="E970" s="1"/>
      <c r="F970" s="1"/>
      <c r="G970" s="1"/>
      <c r="H970" s="1"/>
      <c r="I970" s="1"/>
      <c r="J970" s="1"/>
      <c r="K970" s="1"/>
    </row>
    <row r="971" spans="5:11">
      <c r="E971" s="1"/>
      <c r="F971" s="1"/>
      <c r="G971" s="1"/>
      <c r="H971" s="1"/>
      <c r="I971" s="1"/>
      <c r="J971" s="1"/>
      <c r="K971" s="1"/>
    </row>
    <row r="972" spans="5:11">
      <c r="E972" s="1"/>
      <c r="F972" s="1"/>
      <c r="G972" s="1"/>
      <c r="H972" s="1"/>
      <c r="I972" s="1"/>
      <c r="J972" s="1"/>
      <c r="K972" s="1"/>
    </row>
    <row r="973" spans="5:11">
      <c r="E973" s="1"/>
      <c r="F973" s="1"/>
      <c r="G973" s="1"/>
      <c r="H973" s="1"/>
      <c r="I973" s="1"/>
      <c r="J973" s="1"/>
      <c r="K973" s="1"/>
    </row>
    <row r="974" spans="5:11">
      <c r="E974" s="1"/>
      <c r="F974" s="1"/>
      <c r="G974" s="1"/>
      <c r="H974" s="1"/>
      <c r="I974" s="1"/>
      <c r="J974" s="1"/>
      <c r="K974" s="1"/>
    </row>
    <row r="975" spans="5:11">
      <c r="E975" s="1"/>
      <c r="F975" s="1"/>
      <c r="G975" s="1"/>
      <c r="H975" s="1"/>
      <c r="I975" s="1"/>
      <c r="J975" s="1"/>
      <c r="K975" s="1"/>
    </row>
    <row r="976" spans="5:11">
      <c r="E976" s="1"/>
      <c r="F976" s="1"/>
      <c r="G976" s="1"/>
      <c r="H976" s="1"/>
      <c r="I976" s="1"/>
      <c r="J976" s="1"/>
      <c r="K976" s="1"/>
    </row>
    <row r="977" spans="5:11">
      <c r="E977" s="1"/>
      <c r="F977" s="1"/>
      <c r="G977" s="1"/>
      <c r="H977" s="1"/>
      <c r="I977" s="1"/>
      <c r="J977" s="1"/>
      <c r="K977" s="1"/>
    </row>
    <row r="978" spans="5:11">
      <c r="E978" s="1"/>
      <c r="F978" s="1"/>
      <c r="G978" s="1"/>
      <c r="H978" s="1"/>
      <c r="I978" s="1"/>
      <c r="J978" s="1"/>
      <c r="K978" s="1"/>
    </row>
    <row r="979" spans="5:11">
      <c r="E979" s="1"/>
      <c r="F979" s="1"/>
      <c r="G979" s="1"/>
      <c r="H979" s="1"/>
      <c r="I979" s="1"/>
      <c r="J979" s="1"/>
      <c r="K979" s="1"/>
    </row>
    <row r="980" spans="5:11">
      <c r="E980" s="1"/>
      <c r="F980" s="1"/>
      <c r="G980" s="1"/>
      <c r="H980" s="1"/>
      <c r="I980" s="1"/>
      <c r="J980" s="1"/>
      <c r="K980" s="1"/>
    </row>
    <row r="981" spans="5:11">
      <c r="E981" s="1"/>
      <c r="F981" s="1"/>
      <c r="G981" s="1"/>
      <c r="H981" s="1"/>
      <c r="I981" s="1"/>
      <c r="J981" s="1"/>
      <c r="K981" s="1"/>
    </row>
    <row r="982" spans="5:11">
      <c r="E982" s="1"/>
      <c r="F982" s="1"/>
      <c r="G982" s="1"/>
      <c r="H982" s="1"/>
      <c r="I982" s="1"/>
      <c r="J982" s="1"/>
      <c r="K982" s="1"/>
    </row>
    <row r="983" spans="5:11">
      <c r="E983" s="1"/>
      <c r="F983" s="1"/>
      <c r="G983" s="1"/>
      <c r="H983" s="1"/>
      <c r="I983" s="1"/>
      <c r="J983" s="1"/>
      <c r="K983" s="1"/>
    </row>
    <row r="984" spans="5:11">
      <c r="E984" s="1"/>
      <c r="F984" s="1"/>
      <c r="G984" s="1"/>
      <c r="H984" s="1"/>
      <c r="I984" s="1"/>
      <c r="J984" s="1"/>
      <c r="K984" s="1"/>
    </row>
    <row r="985" spans="5:11">
      <c r="E985" s="1"/>
      <c r="F985" s="1"/>
      <c r="G985" s="1"/>
      <c r="H985" s="1"/>
      <c r="I985" s="1"/>
      <c r="J985" s="1"/>
      <c r="K985" s="1"/>
    </row>
    <row r="986" spans="5:11">
      <c r="E986" s="1"/>
      <c r="F986" s="1"/>
      <c r="G986" s="1"/>
      <c r="H986" s="1"/>
      <c r="I986" s="1"/>
      <c r="J986" s="1"/>
      <c r="K986" s="1"/>
    </row>
    <row r="987" spans="5:11">
      <c r="E987" s="1"/>
      <c r="F987" s="1"/>
      <c r="G987" s="1"/>
      <c r="H987" s="1"/>
      <c r="I987" s="1"/>
      <c r="J987" s="1"/>
      <c r="K987" s="1"/>
    </row>
    <row r="988" spans="5:11">
      <c r="E988" s="1"/>
      <c r="F988" s="1"/>
      <c r="G988" s="1"/>
      <c r="H988" s="1"/>
      <c r="I988" s="1"/>
      <c r="J988" s="1"/>
      <c r="K988" s="1"/>
    </row>
    <row r="989" spans="5:11">
      <c r="E989" s="1"/>
      <c r="F989" s="1"/>
      <c r="G989" s="1"/>
      <c r="H989" s="1"/>
      <c r="I989" s="1"/>
      <c r="J989" s="1"/>
      <c r="K989" s="1"/>
    </row>
    <row r="990" spans="5:11">
      <c r="E990" s="1"/>
      <c r="F990" s="1"/>
      <c r="G990" s="1"/>
      <c r="H990" s="1"/>
      <c r="I990" s="1"/>
      <c r="J990" s="1"/>
      <c r="K990" s="1"/>
    </row>
    <row r="991" spans="5:11">
      <c r="E991" s="1"/>
      <c r="F991" s="1"/>
      <c r="G991" s="1"/>
      <c r="H991" s="1"/>
      <c r="I991" s="1"/>
      <c r="J991" s="1"/>
      <c r="K991" s="1"/>
    </row>
    <row r="992" spans="5:11">
      <c r="E992" s="1"/>
      <c r="F992" s="1"/>
      <c r="G992" s="1"/>
      <c r="H992" s="1"/>
      <c r="I992" s="1"/>
      <c r="J992" s="1"/>
      <c r="K992" s="1"/>
    </row>
    <row r="993" spans="5:11">
      <c r="E993" s="1"/>
      <c r="F993" s="1"/>
      <c r="G993" s="1"/>
      <c r="H993" s="1"/>
      <c r="I993" s="1"/>
      <c r="J993" s="1"/>
      <c r="K993" s="1"/>
    </row>
    <row r="994" spans="5:11">
      <c r="E994" s="1"/>
      <c r="F994" s="1"/>
      <c r="G994" s="1"/>
      <c r="H994" s="1"/>
      <c r="I994" s="1"/>
      <c r="J994" s="1"/>
      <c r="K994" s="1"/>
    </row>
    <row r="995" spans="5:11">
      <c r="E995" s="1"/>
      <c r="F995" s="1"/>
      <c r="G995" s="1"/>
      <c r="H995" s="1"/>
      <c r="I995" s="1"/>
      <c r="J995" s="1"/>
      <c r="K995" s="1"/>
    </row>
    <row r="996" spans="5:11">
      <c r="E996" s="1"/>
      <c r="F996" s="1"/>
      <c r="G996" s="1"/>
      <c r="H996" s="1"/>
      <c r="I996" s="1"/>
      <c r="J996" s="1"/>
      <c r="K996" s="1"/>
    </row>
  </sheetData>
  <mergeCells count="14">
    <mergeCell ref="D85:F85"/>
    <mergeCell ref="D2:L2"/>
    <mergeCell ref="D4:L4"/>
    <mergeCell ref="D21:L21"/>
    <mergeCell ref="S21:U21"/>
    <mergeCell ref="D79:L79"/>
    <mergeCell ref="T28:T30"/>
    <mergeCell ref="T31:T33"/>
    <mergeCell ref="D47:L47"/>
    <mergeCell ref="E77:F77"/>
    <mergeCell ref="T24:T27"/>
    <mergeCell ref="D76:F76"/>
    <mergeCell ref="D44:F44"/>
    <mergeCell ref="D17:F17"/>
  </mergeCells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3:AG63"/>
  <sheetViews>
    <sheetView showGridLines="0" zoomScale="60" zoomScaleNormal="60" workbookViewId="0">
      <pane xSplit="2" ySplit="4" topLeftCell="C23" activePane="bottomRight" state="frozen"/>
      <selection pane="bottomRight" activeCell="P46" sqref="P46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2.77734375" customWidth="1"/>
    <col min="3" max="3" width="15.109375" customWidth="1"/>
    <col min="4" max="4" width="14.21875" customWidth="1"/>
    <col min="5" max="5" width="10.5546875" customWidth="1"/>
    <col min="6" max="6" width="11.44140625" customWidth="1"/>
    <col min="7" max="7" width="11.33203125" customWidth="1"/>
    <col min="8" max="8" width="11.6640625" customWidth="1"/>
    <col min="9" max="9" width="12.6640625" customWidth="1"/>
    <col min="10" max="10" width="12.332031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10.6640625" style="1" customWidth="1"/>
    <col min="18" max="18" width="14.6640625" customWidth="1"/>
    <col min="19" max="20" width="14.77734375" customWidth="1"/>
    <col min="21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7" t="s">
        <v>6</v>
      </c>
      <c r="H4" s="128" t="s">
        <v>7</v>
      </c>
      <c r="I4" s="128" t="s">
        <v>8</v>
      </c>
      <c r="J4" s="129" t="s">
        <v>9</v>
      </c>
      <c r="K4" s="274" t="s">
        <v>182</v>
      </c>
      <c r="L4" s="127" t="s">
        <v>10</v>
      </c>
      <c r="M4" s="128" t="s">
        <v>11</v>
      </c>
      <c r="N4" s="128" t="s">
        <v>12</v>
      </c>
      <c r="O4" s="146" t="s">
        <v>13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3.15">
      <c r="B5" s="130">
        <v>44072</v>
      </c>
      <c r="C5" s="131">
        <v>9400</v>
      </c>
      <c r="D5" s="135">
        <v>23500</v>
      </c>
      <c r="E5" s="135">
        <v>4090</v>
      </c>
      <c r="F5" s="136">
        <v>14200</v>
      </c>
      <c r="G5" s="131">
        <v>5294</v>
      </c>
      <c r="H5" s="137">
        <v>19866</v>
      </c>
      <c r="I5" s="137">
        <v>4171</v>
      </c>
      <c r="J5" s="138">
        <v>13842</v>
      </c>
      <c r="K5" s="276">
        <f>SUM(Table2523467[[#This Row],[Batan Daily Prod (bopd)]:[Odidi prod (bopd)]])</f>
        <v>43173</v>
      </c>
      <c r="L5" s="131">
        <f>Table2523467[[#This Row],[Batan Target (bopd)]]-Table2523467[[#This Row],[Batan Daily Prod (bopd)]]</f>
        <v>4106</v>
      </c>
      <c r="M5" s="132">
        <f>Table2523467[[#This Row],[Jones Creek Target (bopd)]]-Table2523467[[#This Row],[Jones Creek Prod (bopd)]]</f>
        <v>3634</v>
      </c>
      <c r="N5" s="132">
        <f>Table2523467[[#This Row],[Egwa Target (bopd)]]-Table2523467[[#This Row],[Egwa Prod (bopd)]]</f>
        <v>-81</v>
      </c>
      <c r="O5" s="134">
        <f>Table2523467[[#This Row],[Odidi Target (bopd)]]-Table2523467[[#This Row],[Odidi prod (bopd)]]</f>
        <v>358</v>
      </c>
      <c r="R5" s="144"/>
      <c r="S5" s="148" t="s">
        <v>148</v>
      </c>
      <c r="T5" s="152">
        <f>B38</f>
        <v>44105</v>
      </c>
      <c r="U5" s="152">
        <f>T5+1</f>
        <v>44106</v>
      </c>
      <c r="V5" s="152">
        <f>U5+1</f>
        <v>44107</v>
      </c>
      <c r="W5" s="152">
        <f>V5+1</f>
        <v>44108</v>
      </c>
      <c r="X5" s="152">
        <f>W5+1</f>
        <v>44109</v>
      </c>
    </row>
    <row r="6" spans="2:33" ht="21.6">
      <c r="B6" s="130">
        <v>44073</v>
      </c>
      <c r="C6" s="131">
        <v>9400</v>
      </c>
      <c r="D6" s="135">
        <v>23500</v>
      </c>
      <c r="E6" s="135">
        <v>4090</v>
      </c>
      <c r="F6" s="136">
        <v>14200</v>
      </c>
      <c r="G6" s="131">
        <v>5490</v>
      </c>
      <c r="H6" s="137">
        <v>19830</v>
      </c>
      <c r="I6" s="137">
        <v>4194.7</v>
      </c>
      <c r="J6" s="138">
        <v>13872</v>
      </c>
      <c r="K6" s="276">
        <f>SUM(Table2523467[[#This Row],[Batan Daily Prod (bopd)]:[Odidi prod (bopd)]])</f>
        <v>43386.7</v>
      </c>
      <c r="L6" s="131">
        <f>Table2523467[[#This Row],[Batan Target (bopd)]]-Table2523467[[#This Row],[Batan Daily Prod (bopd)]]</f>
        <v>3910</v>
      </c>
      <c r="M6" s="132">
        <f>Table2523467[[#This Row],[Jones Creek Target (bopd)]]-Table2523467[[#This Row],[Jones Creek Prod (bopd)]]</f>
        <v>3670</v>
      </c>
      <c r="N6" s="132">
        <f>Table2523467[[#This Row],[Egwa Target (bopd)]]-Table2523467[[#This Row],[Egwa Prod (bopd)]]</f>
        <v>-104.69999999999982</v>
      </c>
      <c r="O6" s="134">
        <f>Table2523467[[#This Row],[Odidi Target (bopd)]]-Table2523467[[#This Row],[Odidi prod (bopd)]]</f>
        <v>328</v>
      </c>
      <c r="R6" s="145" t="s">
        <v>17</v>
      </c>
      <c r="S6" s="272">
        <v>22.46</v>
      </c>
      <c r="T6" s="268">
        <v>16.686</v>
      </c>
      <c r="U6" s="267">
        <v>20.766999999999999</v>
      </c>
      <c r="V6" s="268">
        <v>16.832000000000001</v>
      </c>
      <c r="W6" s="267">
        <v>8.4600000000000009</v>
      </c>
      <c r="X6" s="268">
        <v>4.2569999999999997</v>
      </c>
      <c r="Z6" s="297"/>
      <c r="AA6" s="298"/>
      <c r="AB6" s="298"/>
      <c r="AC6" s="298"/>
      <c r="AD6" s="244"/>
      <c r="AE6" s="244"/>
      <c r="AF6" s="245"/>
      <c r="AG6" s="245"/>
    </row>
    <row r="7" spans="2:33" ht="21.6">
      <c r="B7" s="130">
        <v>44074</v>
      </c>
      <c r="C7" s="131">
        <v>9400</v>
      </c>
      <c r="D7" s="135">
        <v>23500</v>
      </c>
      <c r="E7" s="135">
        <v>4090</v>
      </c>
      <c r="F7" s="136">
        <v>14200</v>
      </c>
      <c r="G7" s="140">
        <v>5839</v>
      </c>
      <c r="H7" s="137">
        <v>20009</v>
      </c>
      <c r="I7" s="137">
        <v>4171</v>
      </c>
      <c r="J7" s="138">
        <v>13775</v>
      </c>
      <c r="K7" s="276">
        <f>SUM(Table2523467[[#This Row],[Batan Daily Prod (bopd)]:[Odidi prod (bopd)]])</f>
        <v>43794</v>
      </c>
      <c r="L7" s="131">
        <f>Table2523467[[#This Row],[Batan Target (bopd)]]-Table2523467[[#This Row],[Batan Daily Prod (bopd)]]</f>
        <v>3561</v>
      </c>
      <c r="M7" s="132">
        <f>Table2523467[[#This Row],[Jones Creek Target (bopd)]]-Table2523467[[#This Row],[Jones Creek Prod (bopd)]]</f>
        <v>3491</v>
      </c>
      <c r="N7" s="132">
        <f>Table2523467[[#This Row],[Egwa Target (bopd)]]-Table2523467[[#This Row],[Egwa Prod (bopd)]]</f>
        <v>-81</v>
      </c>
      <c r="O7" s="134">
        <f>Table2523467[[#This Row],[Odidi Target (bopd)]]-Table2523467[[#This Row],[Odidi prod (bopd)]]</f>
        <v>425</v>
      </c>
      <c r="R7" s="145" t="s">
        <v>19</v>
      </c>
      <c r="S7" s="272">
        <v>15</v>
      </c>
      <c r="T7" s="268">
        <v>13.798</v>
      </c>
      <c r="U7" s="267">
        <v>13.766</v>
      </c>
      <c r="V7" s="268">
        <v>14.372999999999999</v>
      </c>
      <c r="W7" s="267">
        <v>13.234</v>
      </c>
      <c r="X7" s="268">
        <v>12.986000000000001</v>
      </c>
      <c r="Z7" s="297"/>
      <c r="AA7" s="298"/>
      <c r="AB7" s="298"/>
      <c r="AC7" s="298"/>
      <c r="AD7" s="244"/>
      <c r="AE7" s="246"/>
      <c r="AF7" s="246"/>
      <c r="AG7" s="246"/>
    </row>
    <row r="8" spans="2:33" ht="21.6">
      <c r="B8" s="130">
        <v>44075</v>
      </c>
      <c r="C8" s="131">
        <v>9300</v>
      </c>
      <c r="D8" s="135">
        <v>22460</v>
      </c>
      <c r="E8" s="135">
        <v>4190</v>
      </c>
      <c r="F8" s="136">
        <v>15000</v>
      </c>
      <c r="G8" s="140">
        <v>5649</v>
      </c>
      <c r="H8" s="137">
        <v>14422</v>
      </c>
      <c r="I8" s="137">
        <v>4103</v>
      </c>
      <c r="J8" s="138">
        <v>13789</v>
      </c>
      <c r="K8" s="276">
        <f>SUM(Table2523467[[#This Row],[Batan Daily Prod (bopd)]:[Odidi prod (bopd)]])</f>
        <v>37963</v>
      </c>
      <c r="L8" s="131">
        <f>Table2523467[[#This Row],[Batan Target (bopd)]]-Table2523467[[#This Row],[Batan Daily Prod (bopd)]]</f>
        <v>3651</v>
      </c>
      <c r="M8" s="132">
        <f>Table2523467[[#This Row],[Jones Creek Target (bopd)]]-Table2523467[[#This Row],[Jones Creek Prod (bopd)]]</f>
        <v>8038</v>
      </c>
      <c r="N8" s="132">
        <f>Table2523467[[#This Row],[Egwa Target (bopd)]]-Table2523467[[#This Row],[Egwa Prod (bopd)]]</f>
        <v>87</v>
      </c>
      <c r="O8" s="134">
        <f>Table2523467[[#This Row],[Odidi Target (bopd)]]-Table2523467[[#This Row],[Odidi prod (bopd)]]</f>
        <v>1211</v>
      </c>
      <c r="R8" s="145" t="s">
        <v>16</v>
      </c>
      <c r="S8" s="272">
        <v>9.3000000000000007</v>
      </c>
      <c r="T8" s="268">
        <v>1.5660000000000001</v>
      </c>
      <c r="U8" s="269">
        <v>0</v>
      </c>
      <c r="V8" s="268">
        <v>1.53</v>
      </c>
      <c r="W8" s="269">
        <v>4.8090000000000002</v>
      </c>
      <c r="X8" s="268">
        <v>0.82899999999999996</v>
      </c>
      <c r="Z8" s="298"/>
      <c r="AA8" s="299"/>
      <c r="AB8" s="298"/>
      <c r="AC8" s="299"/>
      <c r="AD8" s="244"/>
      <c r="AE8" s="244"/>
      <c r="AF8" s="244"/>
      <c r="AG8" s="244"/>
    </row>
    <row r="9" spans="2:33" ht="21.6">
      <c r="B9" s="130">
        <v>44076</v>
      </c>
      <c r="C9" s="131">
        <v>9300</v>
      </c>
      <c r="D9" s="135">
        <v>22460</v>
      </c>
      <c r="E9" s="135">
        <v>4190</v>
      </c>
      <c r="F9" s="136">
        <v>15000</v>
      </c>
      <c r="G9" s="140">
        <v>1601</v>
      </c>
      <c r="H9" s="137">
        <v>15940</v>
      </c>
      <c r="I9" s="137">
        <v>4063</v>
      </c>
      <c r="J9" s="138">
        <v>13807</v>
      </c>
      <c r="K9" s="276">
        <f>SUM(Table2523467[[#This Row],[Batan Daily Prod (bopd)]:[Odidi prod (bopd)]])</f>
        <v>35411</v>
      </c>
      <c r="L9" s="131">
        <f>Table2523467[[#This Row],[Batan Target (bopd)]]-Table2523467[[#This Row],[Batan Daily Prod (bopd)]]</f>
        <v>7699</v>
      </c>
      <c r="M9" s="132">
        <f>Table2523467[[#This Row],[Jones Creek Target (bopd)]]-Table2523467[[#This Row],[Jones Creek Prod (bopd)]]</f>
        <v>6520</v>
      </c>
      <c r="N9" s="132">
        <f>Table2523467[[#This Row],[Egwa Target (bopd)]]-Table2523467[[#This Row],[Egwa Prod (bopd)]]</f>
        <v>127</v>
      </c>
      <c r="O9" s="134">
        <f>Table2523467[[#This Row],[Odidi Target (bopd)]]-Table2523467[[#This Row],[Odidi prod (bopd)]]</f>
        <v>1193</v>
      </c>
      <c r="R9" s="145" t="s">
        <v>18</v>
      </c>
      <c r="S9" s="273">
        <v>4.1900000000000004</v>
      </c>
      <c r="T9" s="270">
        <v>4.0659999999999998</v>
      </c>
      <c r="U9" s="269">
        <v>4.0590000000000002</v>
      </c>
      <c r="V9" s="270">
        <v>4.0599999999999996</v>
      </c>
      <c r="W9" s="269">
        <v>4.0540000000000003</v>
      </c>
      <c r="X9" s="268">
        <v>3.9279999999999999</v>
      </c>
      <c r="AA9" s="242"/>
      <c r="AB9" s="243"/>
      <c r="AC9" s="244"/>
      <c r="AD9" s="244"/>
      <c r="AE9" s="244"/>
      <c r="AF9" s="245"/>
      <c r="AG9" s="245"/>
    </row>
    <row r="10" spans="2:33" ht="21.6">
      <c r="B10" s="130">
        <v>44077</v>
      </c>
      <c r="C10" s="131">
        <v>9300</v>
      </c>
      <c r="D10" s="135">
        <v>22460</v>
      </c>
      <c r="E10" s="135">
        <v>4190</v>
      </c>
      <c r="F10" s="136">
        <v>15000</v>
      </c>
      <c r="G10" s="131">
        <v>0</v>
      </c>
      <c r="H10" s="132">
        <v>20293</v>
      </c>
      <c r="I10" s="132">
        <v>4045</v>
      </c>
      <c r="J10" s="138">
        <v>13308</v>
      </c>
      <c r="K10" s="276">
        <f>SUM(Table2523467[[#This Row],[Batan Daily Prod (bopd)]:[Odidi prod (bopd)]])</f>
        <v>37646</v>
      </c>
      <c r="L10" s="131">
        <f>Table2523467[[#This Row],[Batan Target (bopd)]]-Table2523467[[#This Row],[Batan Daily Prod (bopd)]]</f>
        <v>9300</v>
      </c>
      <c r="M10" s="132">
        <f>Table2523467[[#This Row],[Jones Creek Target (bopd)]]-Table2523467[[#This Row],[Jones Creek Prod (bopd)]]</f>
        <v>2167</v>
      </c>
      <c r="N10" s="132">
        <f>Table2523467[[#This Row],[Egwa Target (bopd)]]-Table2523467[[#This Row],[Egwa Prod (bopd)]]</f>
        <v>145</v>
      </c>
      <c r="O10" s="134">
        <f>Table2523467[[#This Row],[Odidi Target (bopd)]]-Table2523467[[#This Row],[Odidi prod (bopd)]]</f>
        <v>1692</v>
      </c>
    </row>
    <row r="11" spans="2:33" ht="21.6">
      <c r="B11" s="130">
        <v>44078</v>
      </c>
      <c r="C11" s="131">
        <v>9300</v>
      </c>
      <c r="D11" s="135">
        <v>22460</v>
      </c>
      <c r="E11" s="135">
        <v>4190</v>
      </c>
      <c r="F11" s="136">
        <v>15000</v>
      </c>
      <c r="G11" s="131">
        <v>2225</v>
      </c>
      <c r="H11" s="137">
        <v>20400</v>
      </c>
      <c r="I11" s="132">
        <v>4078</v>
      </c>
      <c r="J11" s="138">
        <v>13767</v>
      </c>
      <c r="K11" s="276">
        <f>SUM(Table2523467[[#This Row],[Batan Daily Prod (bopd)]:[Odidi prod (bopd)]])</f>
        <v>40470</v>
      </c>
      <c r="L11" s="131">
        <f>Table2523467[[#This Row],[Batan Target (bopd)]]-Table2523467[[#This Row],[Batan Daily Prod (bopd)]]</f>
        <v>7075</v>
      </c>
      <c r="M11" s="132">
        <f>Table2523467[[#This Row],[Jones Creek Target (bopd)]]-Table2523467[[#This Row],[Jones Creek Prod (bopd)]]</f>
        <v>2060</v>
      </c>
      <c r="N11" s="132">
        <f>Table2523467[[#This Row],[Egwa Target (bopd)]]-Table2523467[[#This Row],[Egwa Prod (bopd)]]</f>
        <v>112</v>
      </c>
      <c r="O11" s="134">
        <f>Table2523467[[#This Row],[Odidi Target (bopd)]]-Table2523467[[#This Row],[Odidi prod (bopd)]]</f>
        <v>1233</v>
      </c>
    </row>
    <row r="12" spans="2:33" ht="21.6">
      <c r="B12" s="130">
        <v>44079</v>
      </c>
      <c r="C12" s="131">
        <v>9300</v>
      </c>
      <c r="D12" s="135">
        <v>22460</v>
      </c>
      <c r="E12" s="135">
        <v>4190</v>
      </c>
      <c r="F12" s="136">
        <v>15000</v>
      </c>
      <c r="G12" s="131">
        <v>5566</v>
      </c>
      <c r="H12" s="137">
        <v>19740</v>
      </c>
      <c r="I12" s="132">
        <v>4112</v>
      </c>
      <c r="J12" s="138">
        <v>14085</v>
      </c>
      <c r="K12" s="276">
        <f>SUM(Table2523467[[#This Row],[Batan Daily Prod (bopd)]:[Odidi prod (bopd)]])</f>
        <v>43503</v>
      </c>
      <c r="L12" s="131">
        <f>Table2523467[[#This Row],[Batan Target (bopd)]]-Table2523467[[#This Row],[Batan Daily Prod (bopd)]]</f>
        <v>3734</v>
      </c>
      <c r="M12" s="132">
        <f>Table2523467[[#This Row],[Jones Creek Target (bopd)]]-Table2523467[[#This Row],[Jones Creek Prod (bopd)]]</f>
        <v>2720</v>
      </c>
      <c r="N12" s="132">
        <f>Table2523467[[#This Row],[Egwa Target (bopd)]]-Table2523467[[#This Row],[Egwa Prod (bopd)]]</f>
        <v>78</v>
      </c>
      <c r="O12" s="134">
        <f>Table2523467[[#This Row],[Odidi Target (bopd)]]-Table2523467[[#This Row],[Odidi prod (bopd)]]</f>
        <v>915</v>
      </c>
      <c r="P12" s="42"/>
      <c r="Q12" s="42"/>
    </row>
    <row r="13" spans="2:33" ht="21.6">
      <c r="B13" s="130">
        <v>44080</v>
      </c>
      <c r="C13" s="131">
        <v>9300</v>
      </c>
      <c r="D13" s="135">
        <v>22460</v>
      </c>
      <c r="E13" s="135">
        <v>4190</v>
      </c>
      <c r="F13" s="136">
        <v>15000</v>
      </c>
      <c r="G13" s="131">
        <v>4953</v>
      </c>
      <c r="H13" s="137">
        <v>19879</v>
      </c>
      <c r="I13" s="132">
        <v>4111</v>
      </c>
      <c r="J13" s="138">
        <v>15011</v>
      </c>
      <c r="K13" s="276">
        <f>SUM(Table2523467[[#This Row],[Batan Daily Prod (bopd)]:[Odidi prod (bopd)]])</f>
        <v>43954</v>
      </c>
      <c r="L13" s="131">
        <f>Table2523467[[#This Row],[Batan Target (bopd)]]-Table2523467[[#This Row],[Batan Daily Prod (bopd)]]</f>
        <v>4347</v>
      </c>
      <c r="M13" s="132">
        <f>Table2523467[[#This Row],[Jones Creek Target (bopd)]]-Table2523467[[#This Row],[Jones Creek Prod (bopd)]]</f>
        <v>2581</v>
      </c>
      <c r="N13" s="132">
        <f>Table2523467[[#This Row],[Egwa Target (bopd)]]-Table2523467[[#This Row],[Egwa Prod (bopd)]]</f>
        <v>79</v>
      </c>
      <c r="O13" s="134">
        <f>Table2523467[[#This Row],[Odidi Target (bopd)]]-Table2523467[[#This Row],[Odidi prod (bopd)]]</f>
        <v>-11</v>
      </c>
    </row>
    <row r="14" spans="2:33" ht="21.6">
      <c r="B14" s="130">
        <v>44081</v>
      </c>
      <c r="C14" s="131">
        <v>9300</v>
      </c>
      <c r="D14" s="135">
        <v>22460</v>
      </c>
      <c r="E14" s="135">
        <v>4190</v>
      </c>
      <c r="F14" s="136">
        <v>15000</v>
      </c>
      <c r="G14" s="131">
        <v>5679</v>
      </c>
      <c r="H14" s="137">
        <v>19648</v>
      </c>
      <c r="I14" s="132">
        <v>4114</v>
      </c>
      <c r="J14" s="138">
        <v>14168</v>
      </c>
      <c r="K14" s="276">
        <f>SUM(Table2523467[[#This Row],[Batan Daily Prod (bopd)]:[Odidi prod (bopd)]])</f>
        <v>43609</v>
      </c>
      <c r="L14" s="131">
        <f>Table2523467[[#This Row],[Batan Target (bopd)]]-Table2523467[[#This Row],[Batan Daily Prod (bopd)]]</f>
        <v>3621</v>
      </c>
      <c r="M14" s="132">
        <f>Table2523467[[#This Row],[Jones Creek Target (bopd)]]-Table2523467[[#This Row],[Jones Creek Prod (bopd)]]</f>
        <v>2812</v>
      </c>
      <c r="N14" s="132">
        <f>Table2523467[[#This Row],[Egwa Target (bopd)]]-Table2523467[[#This Row],[Egwa Prod (bopd)]]</f>
        <v>76</v>
      </c>
      <c r="O14" s="134">
        <f>Table2523467[[#This Row],[Odidi Target (bopd)]]-Table2523467[[#This Row],[Odidi prod (bopd)]]</f>
        <v>832</v>
      </c>
    </row>
    <row r="15" spans="2:33" ht="21.6">
      <c r="B15" s="130">
        <v>44082</v>
      </c>
      <c r="C15" s="131">
        <v>9300</v>
      </c>
      <c r="D15" s="135">
        <v>22460</v>
      </c>
      <c r="E15" s="135">
        <v>4190</v>
      </c>
      <c r="F15" s="136">
        <v>15000</v>
      </c>
      <c r="G15" s="140">
        <v>5748</v>
      </c>
      <c r="H15" s="137">
        <v>20727</v>
      </c>
      <c r="I15" s="137">
        <v>4029</v>
      </c>
      <c r="J15" s="138">
        <v>14098</v>
      </c>
      <c r="K15" s="276">
        <f>SUM(Table2523467[[#This Row],[Batan Daily Prod (bopd)]:[Odidi prod (bopd)]])</f>
        <v>44602</v>
      </c>
      <c r="L15" s="131">
        <f>Table2523467[[#This Row],[Batan Target (bopd)]]-Table2523467[[#This Row],[Batan Daily Prod (bopd)]]</f>
        <v>3552</v>
      </c>
      <c r="M15" s="132">
        <f>Table2523467[[#This Row],[Jones Creek Target (bopd)]]-Table2523467[[#This Row],[Jones Creek Prod (bopd)]]</f>
        <v>1733</v>
      </c>
      <c r="N15" s="132">
        <f>Table2523467[[#This Row],[Egwa Target (bopd)]]-Table2523467[[#This Row],[Egwa Prod (bopd)]]</f>
        <v>161</v>
      </c>
      <c r="O15" s="134">
        <f>Table2523467[[#This Row],[Odidi Target (bopd)]]-Table2523467[[#This Row],[Odidi prod (bopd)]]</f>
        <v>902</v>
      </c>
    </row>
    <row r="16" spans="2:33" ht="21.6">
      <c r="B16" s="130">
        <v>44083</v>
      </c>
      <c r="C16" s="131">
        <v>9300</v>
      </c>
      <c r="D16" s="135">
        <v>22460</v>
      </c>
      <c r="E16" s="135">
        <v>4190</v>
      </c>
      <c r="F16" s="136">
        <v>15000</v>
      </c>
      <c r="G16" s="131">
        <v>5030</v>
      </c>
      <c r="H16" s="137">
        <v>21073</v>
      </c>
      <c r="I16" s="132">
        <v>2574</v>
      </c>
      <c r="J16" s="138">
        <v>14098</v>
      </c>
      <c r="K16" s="276">
        <f>SUM(Table2523467[[#This Row],[Batan Daily Prod (bopd)]:[Odidi prod (bopd)]])</f>
        <v>42775</v>
      </c>
      <c r="L16" s="131">
        <f>Table2523467[[#This Row],[Batan Target (bopd)]]-Table2523467[[#This Row],[Batan Daily Prod (bopd)]]</f>
        <v>4270</v>
      </c>
      <c r="M16" s="132">
        <f>Table2523467[[#This Row],[Jones Creek Target (bopd)]]-Table2523467[[#This Row],[Jones Creek Prod (bopd)]]</f>
        <v>1387</v>
      </c>
      <c r="N16" s="132">
        <f>Table2523467[[#This Row],[Egwa Target (bopd)]]-Table2523467[[#This Row],[Egwa Prod (bopd)]]</f>
        <v>1616</v>
      </c>
      <c r="O16" s="134">
        <f>Table2523467[[#This Row],[Odidi Target (bopd)]]-Table2523467[[#This Row],[Odidi prod (bopd)]]</f>
        <v>902</v>
      </c>
    </row>
    <row r="17" spans="2:15" ht="21.6">
      <c r="B17" s="130">
        <v>44084</v>
      </c>
      <c r="C17" s="131">
        <v>9300</v>
      </c>
      <c r="D17" s="135">
        <v>22460</v>
      </c>
      <c r="E17" s="135">
        <v>4190</v>
      </c>
      <c r="F17" s="136">
        <v>15000</v>
      </c>
      <c r="G17" s="131">
        <v>1428</v>
      </c>
      <c r="H17" s="137">
        <v>20708</v>
      </c>
      <c r="I17" s="132">
        <v>4130</v>
      </c>
      <c r="J17" s="138">
        <v>5738</v>
      </c>
      <c r="K17" s="276">
        <f>SUM(Table2523467[[#This Row],[Batan Daily Prod (bopd)]:[Odidi prod (bopd)]])</f>
        <v>32004</v>
      </c>
      <c r="L17" s="131">
        <f>Table2523467[[#This Row],[Batan Target (bopd)]]-Table2523467[[#This Row],[Batan Daily Prod (bopd)]]</f>
        <v>7872</v>
      </c>
      <c r="M17" s="132">
        <f>Table2523467[[#This Row],[Jones Creek Target (bopd)]]-Table2523467[[#This Row],[Jones Creek Prod (bopd)]]</f>
        <v>1752</v>
      </c>
      <c r="N17" s="132">
        <f>Table2523467[[#This Row],[Egwa Target (bopd)]]-Table2523467[[#This Row],[Egwa Prod (bopd)]]</f>
        <v>60</v>
      </c>
      <c r="O17" s="134">
        <f>Table2523467[[#This Row],[Odidi Target (bopd)]]-Table2523467[[#This Row],[Odidi prod (bopd)]]</f>
        <v>9262</v>
      </c>
    </row>
    <row r="18" spans="2:15" ht="21.6">
      <c r="B18" s="130">
        <v>44085</v>
      </c>
      <c r="C18" s="131">
        <v>9300</v>
      </c>
      <c r="D18" s="135">
        <v>22460</v>
      </c>
      <c r="E18" s="135">
        <v>4190</v>
      </c>
      <c r="F18" s="136">
        <v>15000</v>
      </c>
      <c r="G18" s="131">
        <v>0</v>
      </c>
      <c r="H18" s="137">
        <v>20129</v>
      </c>
      <c r="I18" s="132">
        <v>4121</v>
      </c>
      <c r="J18" s="138">
        <v>0</v>
      </c>
      <c r="K18" s="276">
        <f>SUM(Table2523467[[#This Row],[Batan Daily Prod (bopd)]:[Odidi prod (bopd)]])</f>
        <v>24250</v>
      </c>
      <c r="L18" s="131">
        <f>Table2523467[[#This Row],[Batan Target (bopd)]]-Table2523467[[#This Row],[Batan Daily Prod (bopd)]]</f>
        <v>9300</v>
      </c>
      <c r="M18" s="132">
        <f>Table2523467[[#This Row],[Jones Creek Target (bopd)]]-Table2523467[[#This Row],[Jones Creek Prod (bopd)]]</f>
        <v>2331</v>
      </c>
      <c r="N18" s="132">
        <f>Table2523467[[#This Row],[Egwa Target (bopd)]]-Table2523467[[#This Row],[Egwa Prod (bopd)]]</f>
        <v>69</v>
      </c>
      <c r="O18" s="134">
        <f>Table2523467[[#This Row],[Odidi Target (bopd)]]-Table2523467[[#This Row],[Odidi prod (bopd)]]</f>
        <v>15000</v>
      </c>
    </row>
    <row r="19" spans="2:15" ht="21.6">
      <c r="B19" s="130">
        <v>44086</v>
      </c>
      <c r="C19" s="131">
        <v>9300</v>
      </c>
      <c r="D19" s="135">
        <v>22460</v>
      </c>
      <c r="E19" s="135">
        <v>4190</v>
      </c>
      <c r="F19" s="136">
        <v>15000</v>
      </c>
      <c r="G19" s="140">
        <v>3682</v>
      </c>
      <c r="H19" s="137">
        <v>20094</v>
      </c>
      <c r="I19" s="132">
        <v>4124</v>
      </c>
      <c r="J19" s="138">
        <v>9273</v>
      </c>
      <c r="K19" s="276">
        <f>SUM(Table2523467[[#This Row],[Batan Daily Prod (bopd)]:[Odidi prod (bopd)]])</f>
        <v>37173</v>
      </c>
      <c r="L19" s="131">
        <f>Table2523467[[#This Row],[Batan Target (bopd)]]-Table2523467[[#This Row],[Batan Daily Prod (bopd)]]</f>
        <v>5618</v>
      </c>
      <c r="M19" s="132">
        <f>Table2523467[[#This Row],[Jones Creek Target (bopd)]]-Table2523467[[#This Row],[Jones Creek Prod (bopd)]]</f>
        <v>2366</v>
      </c>
      <c r="N19" s="132">
        <f>Table2523467[[#This Row],[Egwa Target (bopd)]]-Table2523467[[#This Row],[Egwa Prod (bopd)]]</f>
        <v>66</v>
      </c>
      <c r="O19" s="134">
        <f>Table2523467[[#This Row],[Odidi Target (bopd)]]-Table2523467[[#This Row],[Odidi prod (bopd)]]</f>
        <v>5727</v>
      </c>
    </row>
    <row r="20" spans="2:15" ht="21.6">
      <c r="B20" s="130">
        <v>44087</v>
      </c>
      <c r="C20" s="131">
        <v>9300</v>
      </c>
      <c r="D20" s="135">
        <v>22460</v>
      </c>
      <c r="E20" s="135">
        <v>4190</v>
      </c>
      <c r="F20" s="136">
        <v>15000</v>
      </c>
      <c r="G20" s="131">
        <v>5192</v>
      </c>
      <c r="H20" s="132">
        <v>19961</v>
      </c>
      <c r="I20" s="132">
        <v>4129</v>
      </c>
      <c r="J20" s="134">
        <v>12940</v>
      </c>
      <c r="K20" s="276">
        <f>SUM(Table2523467[[#This Row],[Batan Daily Prod (bopd)]:[Odidi prod (bopd)]])</f>
        <v>42222</v>
      </c>
      <c r="L20" s="131">
        <f>Table2523467[[#This Row],[Batan Target (bopd)]]-Table2523467[[#This Row],[Batan Daily Prod (bopd)]]</f>
        <v>4108</v>
      </c>
      <c r="M20" s="132">
        <f>Table2523467[[#This Row],[Jones Creek Target (bopd)]]-Table2523467[[#This Row],[Jones Creek Prod (bopd)]]</f>
        <v>2499</v>
      </c>
      <c r="N20" s="132">
        <f>Table2523467[[#This Row],[Egwa Target (bopd)]]-Table2523467[[#This Row],[Egwa Prod (bopd)]]</f>
        <v>61</v>
      </c>
      <c r="O20" s="134">
        <f>Table2523467[[#This Row],[Odidi Target (bopd)]]-Table2523467[[#This Row],[Odidi prod (bopd)]]</f>
        <v>2060</v>
      </c>
    </row>
    <row r="21" spans="2:15" ht="21.6">
      <c r="B21" s="130">
        <v>44088</v>
      </c>
      <c r="C21" s="131">
        <v>9300</v>
      </c>
      <c r="D21" s="135">
        <v>22460</v>
      </c>
      <c r="E21" s="135">
        <v>4190</v>
      </c>
      <c r="F21" s="136">
        <v>15000</v>
      </c>
      <c r="G21" s="140">
        <v>4920</v>
      </c>
      <c r="H21" s="132">
        <v>20222</v>
      </c>
      <c r="I21" s="132">
        <v>4130</v>
      </c>
      <c r="J21" s="138">
        <v>12973</v>
      </c>
      <c r="K21" s="276">
        <f>SUM(Table2523467[[#This Row],[Batan Daily Prod (bopd)]:[Odidi prod (bopd)]])</f>
        <v>42245</v>
      </c>
      <c r="L21" s="131">
        <f>Table2523467[[#This Row],[Batan Target (bopd)]]-Table2523467[[#This Row],[Batan Daily Prod (bopd)]]</f>
        <v>4380</v>
      </c>
      <c r="M21" s="132">
        <f>Table2523467[[#This Row],[Jones Creek Target (bopd)]]-Table2523467[[#This Row],[Jones Creek Prod (bopd)]]</f>
        <v>2238</v>
      </c>
      <c r="N21" s="132">
        <f>Table2523467[[#This Row],[Egwa Target (bopd)]]-Table2523467[[#This Row],[Egwa Prod (bopd)]]</f>
        <v>60</v>
      </c>
      <c r="O21" s="134">
        <f>Table2523467[[#This Row],[Odidi Target (bopd)]]-Table2523467[[#This Row],[Odidi prod (bopd)]]</f>
        <v>2027</v>
      </c>
    </row>
    <row r="22" spans="2:15" ht="21.6">
      <c r="B22" s="130">
        <v>44089</v>
      </c>
      <c r="C22" s="131">
        <v>9300</v>
      </c>
      <c r="D22" s="135">
        <v>22460</v>
      </c>
      <c r="E22" s="135">
        <v>4190</v>
      </c>
      <c r="F22" s="136">
        <v>15000</v>
      </c>
      <c r="G22" s="141">
        <v>5077</v>
      </c>
      <c r="H22" s="137">
        <v>20174</v>
      </c>
      <c r="I22" s="137">
        <v>4131</v>
      </c>
      <c r="J22" s="138">
        <v>13298</v>
      </c>
      <c r="K22" s="276">
        <f>SUM(Table2523467[[#This Row],[Batan Daily Prod (bopd)]:[Odidi prod (bopd)]])</f>
        <v>42680</v>
      </c>
      <c r="L22" s="131">
        <f>Table2523467[[#This Row],[Batan Target (bopd)]]-Table2523467[[#This Row],[Batan Daily Prod (bopd)]]</f>
        <v>4223</v>
      </c>
      <c r="M22" s="132">
        <f>Table2523467[[#This Row],[Jones Creek Target (bopd)]]-Table2523467[[#This Row],[Jones Creek Prod (bopd)]]</f>
        <v>2286</v>
      </c>
      <c r="N22" s="132">
        <f>Table2523467[[#This Row],[Egwa Target (bopd)]]-Table2523467[[#This Row],[Egwa Prod (bopd)]]</f>
        <v>59</v>
      </c>
      <c r="O22" s="134">
        <f>Table2523467[[#This Row],[Odidi Target (bopd)]]-Table2523467[[#This Row],[Odidi prod (bopd)]]</f>
        <v>1702</v>
      </c>
    </row>
    <row r="23" spans="2:15" ht="21.6">
      <c r="B23" s="130">
        <v>44090</v>
      </c>
      <c r="C23" s="131">
        <v>9300</v>
      </c>
      <c r="D23" s="135">
        <v>22460</v>
      </c>
      <c r="E23" s="135">
        <v>4190</v>
      </c>
      <c r="F23" s="136">
        <v>15000</v>
      </c>
      <c r="G23" s="141">
        <v>4557</v>
      </c>
      <c r="H23" s="137">
        <v>19934</v>
      </c>
      <c r="I23" s="137">
        <v>4131</v>
      </c>
      <c r="J23" s="138">
        <v>13255</v>
      </c>
      <c r="K23" s="276">
        <f>SUM(Table2523467[[#This Row],[Batan Daily Prod (bopd)]:[Odidi prod (bopd)]])</f>
        <v>41877</v>
      </c>
      <c r="L23" s="131">
        <f>Table2523467[[#This Row],[Batan Target (bopd)]]-Table2523467[[#This Row],[Batan Daily Prod (bopd)]]</f>
        <v>4743</v>
      </c>
      <c r="M23" s="132">
        <f>Table2523467[[#This Row],[Jones Creek Target (bopd)]]-Table2523467[[#This Row],[Jones Creek Prod (bopd)]]</f>
        <v>2526</v>
      </c>
      <c r="N23" s="132">
        <f>Table2523467[[#This Row],[Egwa Target (bopd)]]-Table2523467[[#This Row],[Egwa Prod (bopd)]]</f>
        <v>59</v>
      </c>
      <c r="O23" s="134">
        <f>Table2523467[[#This Row],[Odidi Target (bopd)]]-Table2523467[[#This Row],[Odidi prod (bopd)]]</f>
        <v>1745</v>
      </c>
    </row>
    <row r="24" spans="2:15" ht="21.6">
      <c r="B24" s="130">
        <v>44091</v>
      </c>
      <c r="C24" s="131">
        <v>9300</v>
      </c>
      <c r="D24" s="135">
        <v>22460</v>
      </c>
      <c r="E24" s="135">
        <v>4190</v>
      </c>
      <c r="F24" s="136">
        <v>15000</v>
      </c>
      <c r="G24" s="141">
        <v>4062</v>
      </c>
      <c r="H24" s="132">
        <v>19543</v>
      </c>
      <c r="I24" s="137">
        <v>4135</v>
      </c>
      <c r="J24" s="138">
        <v>13186</v>
      </c>
      <c r="K24" s="276">
        <f>SUM(Table2523467[[#This Row],[Batan Daily Prod (bopd)]:[Odidi prod (bopd)]])</f>
        <v>40926</v>
      </c>
      <c r="L24" s="131">
        <f>Table2523467[[#This Row],[Batan Target (bopd)]]-Table2523467[[#This Row],[Batan Daily Prod (bopd)]]</f>
        <v>5238</v>
      </c>
      <c r="M24" s="132">
        <f>Table2523467[[#This Row],[Jones Creek Target (bopd)]]-Table2523467[[#This Row],[Jones Creek Prod (bopd)]]</f>
        <v>2917</v>
      </c>
      <c r="N24" s="132">
        <f>Table2523467[[#This Row],[Egwa Target (bopd)]]-Table2523467[[#This Row],[Egwa Prod (bopd)]]</f>
        <v>55</v>
      </c>
      <c r="O24" s="134">
        <f>Table2523467[[#This Row],[Odidi Target (bopd)]]-Table2523467[[#This Row],[Odidi prod (bopd)]]</f>
        <v>1814</v>
      </c>
    </row>
    <row r="25" spans="2:15" ht="21.6">
      <c r="B25" s="130">
        <v>44092</v>
      </c>
      <c r="C25" s="131">
        <v>9300</v>
      </c>
      <c r="D25" s="135">
        <v>22460</v>
      </c>
      <c r="E25" s="135">
        <v>4190</v>
      </c>
      <c r="F25" s="136">
        <v>15000</v>
      </c>
      <c r="G25" s="141">
        <v>3826</v>
      </c>
      <c r="H25" s="137">
        <v>19843</v>
      </c>
      <c r="I25" s="137">
        <v>4119</v>
      </c>
      <c r="J25" s="138">
        <v>13131</v>
      </c>
      <c r="K25" s="276">
        <f>SUM(Table2523467[[#This Row],[Batan Daily Prod (bopd)]:[Odidi prod (bopd)]])</f>
        <v>40919</v>
      </c>
      <c r="L25" s="131">
        <f>Table2523467[[#This Row],[Batan Target (bopd)]]-Table2523467[[#This Row],[Batan Daily Prod (bopd)]]</f>
        <v>5474</v>
      </c>
      <c r="M25" s="132">
        <f>Table2523467[[#This Row],[Jones Creek Target (bopd)]]-Table2523467[[#This Row],[Jones Creek Prod (bopd)]]</f>
        <v>2617</v>
      </c>
      <c r="N25" s="132">
        <f>Table2523467[[#This Row],[Egwa Target (bopd)]]-Table2523467[[#This Row],[Egwa Prod (bopd)]]</f>
        <v>71</v>
      </c>
      <c r="O25" s="134">
        <f>Table2523467[[#This Row],[Odidi Target (bopd)]]-Table2523467[[#This Row],[Odidi prod (bopd)]]</f>
        <v>1869</v>
      </c>
    </row>
    <row r="26" spans="2:15" ht="21.6">
      <c r="B26" s="130">
        <v>44093</v>
      </c>
      <c r="C26" s="131">
        <v>9300</v>
      </c>
      <c r="D26" s="135">
        <v>22460</v>
      </c>
      <c r="E26" s="135">
        <v>4190</v>
      </c>
      <c r="F26" s="136">
        <v>15000</v>
      </c>
      <c r="G26" s="131">
        <v>4520</v>
      </c>
      <c r="H26" s="137">
        <v>19222</v>
      </c>
      <c r="I26" s="132">
        <v>3332</v>
      </c>
      <c r="J26" s="134">
        <v>13173</v>
      </c>
      <c r="K26" s="276">
        <f>SUM(Table2523467[[#This Row],[Batan Daily Prod (bopd)]:[Odidi prod (bopd)]])</f>
        <v>40247</v>
      </c>
      <c r="L26" s="131">
        <f>Table2523467[[#This Row],[Batan Target (bopd)]]-Table2523467[[#This Row],[Batan Daily Prod (bopd)]]</f>
        <v>4780</v>
      </c>
      <c r="M26" s="132">
        <f>Table2523467[[#This Row],[Jones Creek Target (bopd)]]-Table2523467[[#This Row],[Jones Creek Prod (bopd)]]</f>
        <v>3238</v>
      </c>
      <c r="N26" s="132">
        <f>Table2523467[[#This Row],[Egwa Target (bopd)]]-Table2523467[[#This Row],[Egwa Prod (bopd)]]</f>
        <v>858</v>
      </c>
      <c r="O26" s="134">
        <f>Table2523467[[#This Row],[Odidi Target (bopd)]]-Table2523467[[#This Row],[Odidi prod (bopd)]]</f>
        <v>1827</v>
      </c>
    </row>
    <row r="27" spans="2:15" ht="21.6">
      <c r="B27" s="130">
        <v>44094</v>
      </c>
      <c r="C27" s="131">
        <v>9300</v>
      </c>
      <c r="D27" s="135">
        <v>22460</v>
      </c>
      <c r="E27" s="135">
        <v>4190</v>
      </c>
      <c r="F27" s="136">
        <v>15000</v>
      </c>
      <c r="G27" s="140">
        <v>4124</v>
      </c>
      <c r="H27" s="137">
        <v>20123</v>
      </c>
      <c r="I27" s="132">
        <v>3425</v>
      </c>
      <c r="J27" s="138">
        <v>13122</v>
      </c>
      <c r="K27" s="276">
        <f>SUM(Table2523467[[#This Row],[Batan Daily Prod (bopd)]:[Odidi prod (bopd)]])</f>
        <v>40794</v>
      </c>
      <c r="L27" s="131">
        <f>Table2523467[[#This Row],[Batan Target (bopd)]]-Table2523467[[#This Row],[Batan Daily Prod (bopd)]]</f>
        <v>5176</v>
      </c>
      <c r="M27" s="132">
        <f>Table2523467[[#This Row],[Jones Creek Target (bopd)]]-Table2523467[[#This Row],[Jones Creek Prod (bopd)]]</f>
        <v>2337</v>
      </c>
      <c r="N27" s="132">
        <f>Table2523467[[#This Row],[Egwa Target (bopd)]]-Table2523467[[#This Row],[Egwa Prod (bopd)]]</f>
        <v>765</v>
      </c>
      <c r="O27" s="134">
        <f>Table2523467[[#This Row],[Odidi Target (bopd)]]-Table2523467[[#This Row],[Odidi prod (bopd)]]</f>
        <v>1878</v>
      </c>
    </row>
    <row r="28" spans="2:15" ht="21.6">
      <c r="B28" s="130">
        <v>44095</v>
      </c>
      <c r="C28" s="131">
        <v>9300</v>
      </c>
      <c r="D28" s="135">
        <v>22460</v>
      </c>
      <c r="E28" s="135">
        <v>4190</v>
      </c>
      <c r="F28" s="136">
        <v>15000</v>
      </c>
      <c r="G28" s="140">
        <v>5813</v>
      </c>
      <c r="H28" s="137">
        <v>19732</v>
      </c>
      <c r="I28" s="132">
        <v>3728</v>
      </c>
      <c r="J28" s="138">
        <v>14113</v>
      </c>
      <c r="K28" s="276">
        <f>SUM(Table2523467[[#This Row],[Batan Daily Prod (bopd)]:[Odidi prod (bopd)]])</f>
        <v>43386</v>
      </c>
      <c r="L28" s="131">
        <f>Table2523467[[#This Row],[Batan Target (bopd)]]-Table2523467[[#This Row],[Batan Daily Prod (bopd)]]</f>
        <v>3487</v>
      </c>
      <c r="M28" s="132">
        <f>Table2523467[[#This Row],[Jones Creek Target (bopd)]]-Table2523467[[#This Row],[Jones Creek Prod (bopd)]]</f>
        <v>2728</v>
      </c>
      <c r="N28" s="132">
        <f>Table2523467[[#This Row],[Egwa Target (bopd)]]-Table2523467[[#This Row],[Egwa Prod (bopd)]]</f>
        <v>462</v>
      </c>
      <c r="O28" s="134">
        <f>Table2523467[[#This Row],[Odidi Target (bopd)]]-Table2523467[[#This Row],[Odidi prod (bopd)]]</f>
        <v>887</v>
      </c>
    </row>
    <row r="29" spans="2:15" ht="21.6">
      <c r="B29" s="130">
        <v>44096</v>
      </c>
      <c r="C29" s="131">
        <v>9300</v>
      </c>
      <c r="D29" s="135">
        <v>22460</v>
      </c>
      <c r="E29" s="135">
        <v>4190</v>
      </c>
      <c r="F29" s="136">
        <v>15000</v>
      </c>
      <c r="G29" s="131">
        <v>5788</v>
      </c>
      <c r="H29" s="137">
        <v>19641</v>
      </c>
      <c r="I29" s="132">
        <v>3729</v>
      </c>
      <c r="J29" s="138">
        <v>14843</v>
      </c>
      <c r="K29" s="276">
        <f>SUM(Table2523467[[#This Row],[Batan Daily Prod (bopd)]:[Odidi prod (bopd)]])</f>
        <v>44001</v>
      </c>
      <c r="L29" s="131">
        <f>Table2523467[[#This Row],[Batan Target (bopd)]]-Table2523467[[#This Row],[Batan Daily Prod (bopd)]]</f>
        <v>3512</v>
      </c>
      <c r="M29" s="132">
        <f>Table2523467[[#This Row],[Jones Creek Target (bopd)]]-Table2523467[[#This Row],[Jones Creek Prod (bopd)]]</f>
        <v>2819</v>
      </c>
      <c r="N29" s="132">
        <f>Table2523467[[#This Row],[Egwa Target (bopd)]]-Table2523467[[#This Row],[Egwa Prod (bopd)]]</f>
        <v>461</v>
      </c>
      <c r="O29" s="134">
        <f>Table2523467[[#This Row],[Odidi Target (bopd)]]-Table2523467[[#This Row],[Odidi prod (bopd)]]</f>
        <v>157</v>
      </c>
    </row>
    <row r="30" spans="2:15" ht="21.6">
      <c r="B30" s="130">
        <v>44097</v>
      </c>
      <c r="C30" s="131">
        <v>9300</v>
      </c>
      <c r="D30" s="135">
        <v>22460</v>
      </c>
      <c r="E30" s="135">
        <v>4190</v>
      </c>
      <c r="F30" s="136">
        <v>15000</v>
      </c>
      <c r="G30" s="131">
        <v>5774</v>
      </c>
      <c r="H30" s="137">
        <v>18416</v>
      </c>
      <c r="I30" s="132">
        <v>3715</v>
      </c>
      <c r="J30" s="138">
        <v>14122</v>
      </c>
      <c r="K30" s="276">
        <f>SUM(Table2523467[[#This Row],[Batan Daily Prod (bopd)]:[Odidi prod (bopd)]])</f>
        <v>42027</v>
      </c>
      <c r="L30" s="131">
        <f>Table2523467[[#This Row],[Batan Target (bopd)]]-Table2523467[[#This Row],[Batan Daily Prod (bopd)]]</f>
        <v>3526</v>
      </c>
      <c r="M30" s="132">
        <f>Table2523467[[#This Row],[Jones Creek Target (bopd)]]-Table2523467[[#This Row],[Jones Creek Prod (bopd)]]</f>
        <v>4044</v>
      </c>
      <c r="N30" s="132">
        <f>Table2523467[[#This Row],[Egwa Target (bopd)]]-Table2523467[[#This Row],[Egwa Prod (bopd)]]</f>
        <v>475</v>
      </c>
      <c r="O30" s="134">
        <f>Table2523467[[#This Row],[Odidi Target (bopd)]]-Table2523467[[#This Row],[Odidi prod (bopd)]]</f>
        <v>878</v>
      </c>
    </row>
    <row r="31" spans="2:15" ht="21.6">
      <c r="B31" s="130">
        <v>44098</v>
      </c>
      <c r="C31" s="131">
        <v>9300</v>
      </c>
      <c r="D31" s="135">
        <v>22460</v>
      </c>
      <c r="E31" s="135">
        <v>4190</v>
      </c>
      <c r="F31" s="136">
        <v>15000</v>
      </c>
      <c r="G31" s="131">
        <v>5774</v>
      </c>
      <c r="H31" s="137">
        <v>20081</v>
      </c>
      <c r="I31" s="132">
        <v>112.69</v>
      </c>
      <c r="J31" s="138">
        <v>14011</v>
      </c>
      <c r="K31" s="276">
        <f>SUM(Table2523467[[#This Row],[Batan Daily Prod (bopd)]:[Odidi prod (bopd)]])</f>
        <v>39978.69</v>
      </c>
      <c r="L31" s="131">
        <f>Table2523467[[#This Row],[Batan Target (bopd)]]-Table2523467[[#This Row],[Batan Daily Prod (bopd)]]</f>
        <v>3526</v>
      </c>
      <c r="M31" s="132">
        <f>Table2523467[[#This Row],[Jones Creek Target (bopd)]]-Table2523467[[#This Row],[Jones Creek Prod (bopd)]]</f>
        <v>2379</v>
      </c>
      <c r="N31" s="132">
        <f>Table2523467[[#This Row],[Egwa Target (bopd)]]-Table2523467[[#This Row],[Egwa Prod (bopd)]]</f>
        <v>4077.31</v>
      </c>
      <c r="O31" s="134">
        <f>Table2523467[[#This Row],[Odidi Target (bopd)]]-Table2523467[[#This Row],[Odidi prod (bopd)]]</f>
        <v>989</v>
      </c>
    </row>
    <row r="32" spans="2:15" ht="21.6">
      <c r="B32" s="130">
        <v>44099</v>
      </c>
      <c r="C32" s="131">
        <v>9300</v>
      </c>
      <c r="D32" s="135">
        <v>22460</v>
      </c>
      <c r="E32" s="135">
        <v>4190</v>
      </c>
      <c r="F32" s="136">
        <v>15000</v>
      </c>
      <c r="G32" s="140">
        <v>5596</v>
      </c>
      <c r="H32" s="132">
        <v>21666</v>
      </c>
      <c r="I32" s="132">
        <v>3245.5</v>
      </c>
      <c r="J32" s="134">
        <v>13991</v>
      </c>
      <c r="K32" s="276">
        <f>SUM(Table2523467[[#This Row],[Batan Daily Prod (bopd)]:[Odidi prod (bopd)]])</f>
        <v>44498.5</v>
      </c>
      <c r="L32" s="131">
        <f>Table2523467[[#This Row],[Batan Target (bopd)]]-Table2523467[[#This Row],[Batan Daily Prod (bopd)]]</f>
        <v>3704</v>
      </c>
      <c r="M32" s="132">
        <f>Table2523467[[#This Row],[Jones Creek Target (bopd)]]-Table2523467[[#This Row],[Jones Creek Prod (bopd)]]</f>
        <v>794</v>
      </c>
      <c r="N32" s="132">
        <f>Table2523467[[#This Row],[Egwa Target (bopd)]]-Table2523467[[#This Row],[Egwa Prod (bopd)]]</f>
        <v>944.5</v>
      </c>
      <c r="O32" s="134">
        <f>Table2523467[[#This Row],[Odidi Target (bopd)]]-Table2523467[[#This Row],[Odidi prod (bopd)]]</f>
        <v>1009</v>
      </c>
    </row>
    <row r="33" spans="2:19" ht="21.6">
      <c r="B33" s="130">
        <v>44100</v>
      </c>
      <c r="C33" s="131">
        <v>9300</v>
      </c>
      <c r="D33" s="135">
        <v>22460</v>
      </c>
      <c r="E33" s="135">
        <v>4190</v>
      </c>
      <c r="F33" s="136">
        <v>15000</v>
      </c>
      <c r="G33" s="131">
        <v>5776</v>
      </c>
      <c r="H33" s="137">
        <v>21588</v>
      </c>
      <c r="I33" s="137">
        <v>3521</v>
      </c>
      <c r="J33" s="138">
        <v>13623</v>
      </c>
      <c r="K33" s="276">
        <f>SUM(Table2523467[[#This Row],[Batan Daily Prod (bopd)]:[Odidi prod (bopd)]])</f>
        <v>44508</v>
      </c>
      <c r="L33" s="131">
        <f>Table2523467[[#This Row],[Batan Target (bopd)]]-Table2523467[[#This Row],[Batan Daily Prod (bopd)]]</f>
        <v>3524</v>
      </c>
      <c r="M33" s="132">
        <f>Table2523467[[#This Row],[Jones Creek Target (bopd)]]-Table2523467[[#This Row],[Jones Creek Prod (bopd)]]</f>
        <v>872</v>
      </c>
      <c r="N33" s="132">
        <f>Table2523467[[#This Row],[Egwa Target (bopd)]]-Table2523467[[#This Row],[Egwa Prod (bopd)]]</f>
        <v>669</v>
      </c>
      <c r="O33" s="134">
        <f>Table2523467[[#This Row],[Odidi Target (bopd)]]-Table2523467[[#This Row],[Odidi prod (bopd)]]</f>
        <v>1377</v>
      </c>
    </row>
    <row r="34" spans="2:19" ht="21.6">
      <c r="B34" s="130">
        <v>44101</v>
      </c>
      <c r="C34" s="131">
        <v>9300</v>
      </c>
      <c r="D34" s="135">
        <v>22460</v>
      </c>
      <c r="E34" s="135">
        <v>4190</v>
      </c>
      <c r="F34" s="136">
        <v>15000</v>
      </c>
      <c r="G34" s="131">
        <v>5869</v>
      </c>
      <c r="H34" s="137">
        <v>20689</v>
      </c>
      <c r="I34" s="137">
        <v>3781</v>
      </c>
      <c r="J34" s="138">
        <v>13627</v>
      </c>
      <c r="K34" s="276">
        <f>SUM(Table2523467[[#This Row],[Batan Daily Prod (bopd)]:[Odidi prod (bopd)]])</f>
        <v>43966</v>
      </c>
      <c r="L34" s="131">
        <f>Table2523467[[#This Row],[Batan Target (bopd)]]-Table2523467[[#This Row],[Batan Daily Prod (bopd)]]</f>
        <v>3431</v>
      </c>
      <c r="M34" s="132">
        <f>Table2523467[[#This Row],[Jones Creek Target (bopd)]]-Table2523467[[#This Row],[Jones Creek Prod (bopd)]]</f>
        <v>1771</v>
      </c>
      <c r="N34" s="132">
        <f>Table2523467[[#This Row],[Egwa Target (bopd)]]-Table2523467[[#This Row],[Egwa Prod (bopd)]]</f>
        <v>409</v>
      </c>
      <c r="O34" s="134">
        <f>Table2523467[[#This Row],[Odidi Target (bopd)]]-Table2523467[[#This Row],[Odidi prod (bopd)]]</f>
        <v>1373</v>
      </c>
    </row>
    <row r="35" spans="2:19" ht="21.6">
      <c r="B35" s="130">
        <v>44102</v>
      </c>
      <c r="C35" s="131">
        <v>9300</v>
      </c>
      <c r="D35" s="135">
        <v>22460</v>
      </c>
      <c r="E35" s="135">
        <v>4190</v>
      </c>
      <c r="F35" s="136">
        <v>15000</v>
      </c>
      <c r="G35" s="140">
        <v>5062</v>
      </c>
      <c r="H35" s="137">
        <v>17803</v>
      </c>
      <c r="I35" s="137">
        <v>3765.33</v>
      </c>
      <c r="J35" s="138">
        <v>13681</v>
      </c>
      <c r="K35" s="276">
        <f>SUM(Table2523467[[#This Row],[Batan Daily Prod (bopd)]:[Odidi prod (bopd)]])</f>
        <v>40311.33</v>
      </c>
      <c r="L35" s="131">
        <f>Table2523467[[#This Row],[Batan Target (bopd)]]-Table2523467[[#This Row],[Batan Daily Prod (bopd)]]</f>
        <v>4238</v>
      </c>
      <c r="M35" s="132">
        <f>Table2523467[[#This Row],[Jones Creek Target (bopd)]]-Table2523467[[#This Row],[Jones Creek Prod (bopd)]]</f>
        <v>4657</v>
      </c>
      <c r="N35" s="132">
        <f>Table2523467[[#This Row],[Egwa Target (bopd)]]-Table2523467[[#This Row],[Egwa Prod (bopd)]]</f>
        <v>424.67000000000007</v>
      </c>
      <c r="O35" s="134">
        <f>Table2523467[[#This Row],[Odidi Target (bopd)]]-Table2523467[[#This Row],[Odidi prod (bopd)]]</f>
        <v>1319</v>
      </c>
    </row>
    <row r="36" spans="2:19" ht="21.6">
      <c r="B36" s="130">
        <v>44103</v>
      </c>
      <c r="C36" s="131">
        <v>9300</v>
      </c>
      <c r="D36" s="135">
        <v>22460</v>
      </c>
      <c r="E36" s="135">
        <v>4190</v>
      </c>
      <c r="F36" s="136">
        <v>15000</v>
      </c>
      <c r="G36" s="140">
        <v>4839</v>
      </c>
      <c r="H36" s="137">
        <v>20081</v>
      </c>
      <c r="I36" s="137">
        <v>3744</v>
      </c>
      <c r="J36" s="138">
        <v>14044</v>
      </c>
      <c r="K36" s="276">
        <f>SUM(Table2523467[[#This Row],[Batan Daily Prod (bopd)]:[Odidi prod (bopd)]])</f>
        <v>42708</v>
      </c>
      <c r="L36" s="131">
        <f>Table2523467[[#This Row],[Batan Target (bopd)]]-Table2523467[[#This Row],[Batan Daily Prod (bopd)]]</f>
        <v>4461</v>
      </c>
      <c r="M36" s="132">
        <f>Table2523467[[#This Row],[Jones Creek Target (bopd)]]-Table2523467[[#This Row],[Jones Creek Prod (bopd)]]</f>
        <v>2379</v>
      </c>
      <c r="N36" s="132">
        <f>Table2523467[[#This Row],[Egwa Target (bopd)]]-Table2523467[[#This Row],[Egwa Prod (bopd)]]</f>
        <v>446</v>
      </c>
      <c r="O36" s="134">
        <f>Table2523467[[#This Row],[Odidi Target (bopd)]]-Table2523467[[#This Row],[Odidi prod (bopd)]]</f>
        <v>956</v>
      </c>
    </row>
    <row r="37" spans="2:19" ht="21.6">
      <c r="B37" s="130">
        <v>44104</v>
      </c>
      <c r="C37" s="131">
        <v>9300</v>
      </c>
      <c r="D37" s="135">
        <v>22460</v>
      </c>
      <c r="E37" s="135">
        <v>4190</v>
      </c>
      <c r="F37" s="136">
        <v>15000</v>
      </c>
      <c r="G37" s="140">
        <v>4509</v>
      </c>
      <c r="H37" s="137">
        <v>10449</v>
      </c>
      <c r="I37" s="137">
        <v>3306</v>
      </c>
      <c r="J37" s="138">
        <v>13435</v>
      </c>
      <c r="K37" s="276">
        <f>SUM(Table2523467[[#This Row],[Batan Daily Prod (bopd)]:[Odidi prod (bopd)]])</f>
        <v>31699</v>
      </c>
      <c r="L37" s="131">
        <f>Table2523467[[#This Row],[Batan Target (bopd)]]-Table2523467[[#This Row],[Batan Daily Prod (bopd)]]</f>
        <v>4791</v>
      </c>
      <c r="M37" s="132">
        <f>Table2523467[[#This Row],[Jones Creek Target (bopd)]]-Table2523467[[#This Row],[Jones Creek Prod (bopd)]]</f>
        <v>12011</v>
      </c>
      <c r="N37" s="132">
        <f>Table2523467[[#This Row],[Egwa Target (bopd)]]-Table2523467[[#This Row],[Egwa Prod (bopd)]]</f>
        <v>884</v>
      </c>
      <c r="O37" s="134">
        <f>Table2523467[[#This Row],[Odidi Target (bopd)]]-Table2523467[[#This Row],[Odidi prod (bopd)]]</f>
        <v>1565</v>
      </c>
    </row>
    <row r="38" spans="2:19" ht="21.6">
      <c r="B38" s="130">
        <v>44105</v>
      </c>
      <c r="C38" s="131">
        <v>9300</v>
      </c>
      <c r="D38" s="135">
        <v>22460</v>
      </c>
      <c r="E38" s="135">
        <v>4190</v>
      </c>
      <c r="F38" s="136">
        <v>15000</v>
      </c>
      <c r="G38" s="131">
        <v>1566</v>
      </c>
      <c r="H38" s="137">
        <v>16686</v>
      </c>
      <c r="I38" s="132">
        <v>4066</v>
      </c>
      <c r="J38" s="134">
        <v>13798</v>
      </c>
      <c r="K38" s="276">
        <f>SUM(Table2523467[[#This Row],[Batan Daily Prod (bopd)]:[Odidi prod (bopd)]])</f>
        <v>36116</v>
      </c>
      <c r="L38" s="131">
        <f>Table2523467[[#This Row],[Batan Target (bopd)]]-Table2523467[[#This Row],[Batan Daily Prod (bopd)]]</f>
        <v>7734</v>
      </c>
      <c r="M38" s="132">
        <f>Table2523467[[#This Row],[Jones Creek Target (bopd)]]-Table2523467[[#This Row],[Jones Creek Prod (bopd)]]</f>
        <v>5774</v>
      </c>
      <c r="N38" s="132">
        <f>Table2523467[[#This Row],[Egwa Target (bopd)]]-Table2523467[[#This Row],[Egwa Prod (bopd)]]</f>
        <v>124</v>
      </c>
      <c r="O38" s="134">
        <f>Table2523467[[#This Row],[Odidi Target (bopd)]]-Table2523467[[#This Row],[Odidi prod (bopd)]]</f>
        <v>1202</v>
      </c>
    </row>
    <row r="39" spans="2:19" ht="21.6">
      <c r="B39" s="130">
        <v>44106</v>
      </c>
      <c r="C39" s="131">
        <v>9300</v>
      </c>
      <c r="D39" s="135">
        <v>22460</v>
      </c>
      <c r="E39" s="135">
        <v>4190</v>
      </c>
      <c r="F39" s="136">
        <v>15000</v>
      </c>
      <c r="G39" s="131">
        <v>0</v>
      </c>
      <c r="H39" s="137">
        <v>20767</v>
      </c>
      <c r="I39" s="137">
        <v>4059</v>
      </c>
      <c r="J39" s="138">
        <v>13766</v>
      </c>
      <c r="K39" s="276">
        <f>SUM(Table2523467[[#This Row],[Batan Daily Prod (bopd)]:[Odidi prod (bopd)]])</f>
        <v>38592</v>
      </c>
      <c r="L39" s="131">
        <f>Table2523467[[#This Row],[Batan Target (bopd)]]-Table2523467[[#This Row],[Batan Daily Prod (bopd)]]</f>
        <v>9300</v>
      </c>
      <c r="M39" s="132">
        <f>Table2523467[[#This Row],[Jones Creek Target (bopd)]]-Table2523467[[#This Row],[Jones Creek Prod (bopd)]]</f>
        <v>1693</v>
      </c>
      <c r="N39" s="132">
        <f>Table2523467[[#This Row],[Egwa Target (bopd)]]-Table2523467[[#This Row],[Egwa Prod (bopd)]]</f>
        <v>131</v>
      </c>
      <c r="O39" s="134">
        <f>Table2523467[[#This Row],[Odidi Target (bopd)]]-Table2523467[[#This Row],[Odidi prod (bopd)]]</f>
        <v>1234</v>
      </c>
    </row>
    <row r="40" spans="2:19" ht="21.6">
      <c r="B40" s="130">
        <v>44107</v>
      </c>
      <c r="C40" s="131">
        <v>9300</v>
      </c>
      <c r="D40" s="135">
        <v>22460</v>
      </c>
      <c r="E40" s="135">
        <v>4190</v>
      </c>
      <c r="F40" s="136">
        <v>15000</v>
      </c>
      <c r="G40" s="131">
        <v>1530</v>
      </c>
      <c r="H40" s="132">
        <v>16832</v>
      </c>
      <c r="I40" s="132">
        <v>4060</v>
      </c>
      <c r="J40" s="134">
        <v>14373</v>
      </c>
      <c r="K40" s="276">
        <f>SUM(Table2523467[[#This Row],[Batan Daily Prod (bopd)]:[Odidi prod (bopd)]])</f>
        <v>36795</v>
      </c>
      <c r="L40" s="131">
        <f>Table2523467[[#This Row],[Batan Target (bopd)]]-Table2523467[[#This Row],[Batan Daily Prod (bopd)]]</f>
        <v>7770</v>
      </c>
      <c r="M40" s="132">
        <f>Table2523467[[#This Row],[Jones Creek Target (bopd)]]-Table2523467[[#This Row],[Jones Creek Prod (bopd)]]</f>
        <v>5628</v>
      </c>
      <c r="N40" s="132">
        <f>Table2523467[[#This Row],[Egwa Target (bopd)]]-Table2523467[[#This Row],[Egwa Prod (bopd)]]</f>
        <v>130</v>
      </c>
      <c r="O40" s="134">
        <f>Table2523467[[#This Row],[Odidi Target (bopd)]]-Table2523467[[#This Row],[Odidi prod (bopd)]]</f>
        <v>627</v>
      </c>
    </row>
    <row r="41" spans="2:19" ht="21.6">
      <c r="B41" s="130">
        <v>44108</v>
      </c>
      <c r="C41" s="131">
        <v>9300</v>
      </c>
      <c r="D41" s="135">
        <v>22460</v>
      </c>
      <c r="E41" s="135">
        <v>4190</v>
      </c>
      <c r="F41" s="136">
        <v>15000</v>
      </c>
      <c r="G41" s="131">
        <v>4809</v>
      </c>
      <c r="H41" s="132">
        <v>8460</v>
      </c>
      <c r="I41" s="132">
        <v>4054</v>
      </c>
      <c r="J41" s="134">
        <v>13234</v>
      </c>
      <c r="K41" s="276">
        <f>SUM(Table2523467[[#This Row],[Batan Daily Prod (bopd)]:[Odidi prod (bopd)]])</f>
        <v>30557</v>
      </c>
      <c r="L41" s="131">
        <f>Table2523467[[#This Row],[Batan Target (bopd)]]-Table2523467[[#This Row],[Batan Daily Prod (bopd)]]</f>
        <v>4491</v>
      </c>
      <c r="M41" s="132">
        <f>Table2523467[[#This Row],[Jones Creek Target (bopd)]]-Table2523467[[#This Row],[Jones Creek Prod (bopd)]]</f>
        <v>14000</v>
      </c>
      <c r="N41" s="132">
        <f>Table2523467[[#This Row],[Egwa Target (bopd)]]-Table2523467[[#This Row],[Egwa Prod (bopd)]]</f>
        <v>136</v>
      </c>
      <c r="O41" s="134">
        <f>Table2523467[[#This Row],[Odidi Target (bopd)]]-Table2523467[[#This Row],[Odidi prod (bopd)]]</f>
        <v>1766</v>
      </c>
    </row>
    <row r="42" spans="2:19" ht="21.6">
      <c r="B42" s="130">
        <v>44109</v>
      </c>
      <c r="C42" s="131">
        <v>9300</v>
      </c>
      <c r="D42" s="135">
        <v>22460</v>
      </c>
      <c r="E42" s="135">
        <v>4190</v>
      </c>
      <c r="F42" s="136">
        <v>15000</v>
      </c>
      <c r="G42" s="131">
        <v>829</v>
      </c>
      <c r="H42" s="132">
        <v>4257</v>
      </c>
      <c r="I42" s="132">
        <v>3928</v>
      </c>
      <c r="J42" s="134">
        <v>12986</v>
      </c>
      <c r="K42" s="276">
        <f>SUM(Table2523467[[#This Row],[Batan Daily Prod (bopd)]:[Odidi prod (bopd)]])</f>
        <v>22000</v>
      </c>
      <c r="L42" s="131">
        <f>Table2523467[[#This Row],[Batan Target (bopd)]]-Table2523467[[#This Row],[Batan Daily Prod (bopd)]]</f>
        <v>8471</v>
      </c>
      <c r="M42" s="132">
        <f>Table2523467[[#This Row],[Jones Creek Target (bopd)]]-Table2523467[[#This Row],[Jones Creek Prod (bopd)]]</f>
        <v>18203</v>
      </c>
      <c r="N42" s="132">
        <f>Table2523467[[#This Row],[Egwa Target (bopd)]]-Table2523467[[#This Row],[Egwa Prod (bopd)]]</f>
        <v>262</v>
      </c>
      <c r="O42" s="134">
        <f>Table2523467[[#This Row],[Odidi Target (bopd)]]-Table2523467[[#This Row],[Odidi prod (bopd)]]</f>
        <v>2014</v>
      </c>
      <c r="Q42" s="42"/>
    </row>
    <row r="43" spans="2:19" ht="21.6">
      <c r="B43" s="130">
        <v>44110</v>
      </c>
      <c r="C43" s="131">
        <v>9300</v>
      </c>
      <c r="D43" s="135">
        <v>22460</v>
      </c>
      <c r="E43" s="135">
        <v>4190</v>
      </c>
      <c r="F43" s="136">
        <v>15000</v>
      </c>
      <c r="G43" s="131"/>
      <c r="H43" s="137"/>
      <c r="I43" s="132"/>
      <c r="J43" s="138"/>
      <c r="K43" s="275"/>
      <c r="L43" s="131"/>
      <c r="M43" s="132"/>
      <c r="N43" s="132"/>
      <c r="O43" s="134"/>
    </row>
    <row r="44" spans="2:19" ht="21.6">
      <c r="B44" s="130"/>
      <c r="C44" s="131"/>
      <c r="D44" s="135"/>
      <c r="E44" s="135"/>
      <c r="F44" s="136"/>
      <c r="G44" s="131"/>
      <c r="H44" s="132"/>
      <c r="I44" s="132"/>
      <c r="J44" s="134"/>
      <c r="K44" s="276"/>
      <c r="L44" s="131"/>
      <c r="M44" s="132"/>
      <c r="N44" s="132"/>
      <c r="O44" s="134"/>
    </row>
    <row r="46" spans="2:19" ht="15.6" thickBot="1"/>
    <row r="47" spans="2:19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29"/>
      <c r="N47" s="1230"/>
      <c r="R47" s="23"/>
      <c r="S47" s="117"/>
    </row>
    <row r="48" spans="2:19" ht="45.95" customHeight="1">
      <c r="C48" s="247" t="s">
        <v>22</v>
      </c>
      <c r="D48" s="248" t="s">
        <v>23</v>
      </c>
      <c r="E48" s="1242" t="s">
        <v>24</v>
      </c>
      <c r="F48" s="1243"/>
      <c r="G48" s="1243"/>
      <c r="H48" s="1243"/>
      <c r="I48" s="1243"/>
      <c r="J48" s="1243"/>
      <c r="K48" s="1243"/>
      <c r="L48" s="1243"/>
      <c r="M48" s="1243"/>
      <c r="N48" s="1244"/>
      <c r="R48" s="118"/>
      <c r="S48" s="119"/>
    </row>
    <row r="49" spans="3:19" ht="33.950000000000003" customHeight="1">
      <c r="C49" s="249" t="s">
        <v>17</v>
      </c>
      <c r="D49" s="250">
        <f>M42/1000</f>
        <v>18.202999999999999</v>
      </c>
      <c r="E49" s="1248" t="s">
        <v>228</v>
      </c>
      <c r="F49" s="1249"/>
      <c r="G49" s="1249"/>
      <c r="H49" s="1249"/>
      <c r="I49" s="1249"/>
      <c r="J49" s="1249"/>
      <c r="K49" s="1249"/>
      <c r="L49" s="1249"/>
      <c r="M49" s="1249"/>
      <c r="N49" s="1250"/>
      <c r="R49" s="118"/>
      <c r="S49" s="119"/>
    </row>
    <row r="50" spans="3:19" ht="29.25" customHeight="1">
      <c r="C50" s="249" t="s">
        <v>19</v>
      </c>
      <c r="D50" s="250">
        <f>O42/1000</f>
        <v>2.0139999999999998</v>
      </c>
      <c r="E50" s="1245" t="s">
        <v>229</v>
      </c>
      <c r="F50" s="1246"/>
      <c r="G50" s="1246"/>
      <c r="H50" s="1246"/>
      <c r="I50" s="1246"/>
      <c r="J50" s="1246"/>
      <c r="K50" s="1246"/>
      <c r="L50" s="1246"/>
      <c r="M50" s="1246"/>
      <c r="N50" s="1247"/>
    </row>
    <row r="51" spans="3:19" ht="27.75" customHeight="1">
      <c r="C51" s="249" t="s">
        <v>16</v>
      </c>
      <c r="D51" s="250">
        <f>L42/1000</f>
        <v>8.4710000000000001</v>
      </c>
      <c r="E51" s="1245" t="s">
        <v>230</v>
      </c>
      <c r="F51" s="1246"/>
      <c r="G51" s="1246"/>
      <c r="H51" s="1246"/>
      <c r="I51" s="1246"/>
      <c r="J51" s="1246"/>
      <c r="K51" s="1246"/>
      <c r="L51" s="1246"/>
      <c r="M51" s="1246"/>
      <c r="N51" s="1247"/>
      <c r="P51" s="30"/>
      <c r="R51" s="118"/>
      <c r="S51" s="119"/>
    </row>
    <row r="52" spans="3:19" ht="44.45" customHeight="1">
      <c r="C52" s="249" t="s">
        <v>18</v>
      </c>
      <c r="D52" s="250">
        <f>N42/1000</f>
        <v>0.26200000000000001</v>
      </c>
      <c r="E52" s="1245" t="s">
        <v>231</v>
      </c>
      <c r="F52" s="1246"/>
      <c r="G52" s="1246"/>
      <c r="H52" s="1246"/>
      <c r="I52" s="1246"/>
      <c r="J52" s="1246"/>
      <c r="K52" s="1246"/>
      <c r="L52" s="1246"/>
      <c r="M52" s="1246"/>
      <c r="N52" s="1247"/>
      <c r="R52" s="118"/>
      <c r="S52" s="119"/>
    </row>
    <row r="53" spans="3:19" ht="33" customHeight="1" thickBot="1">
      <c r="C53" s="251" t="s">
        <v>187</v>
      </c>
      <c r="D53" s="252">
        <f>SUM(D49:D52)</f>
        <v>28.95</v>
      </c>
      <c r="E53" s="1267" t="s">
        <v>232</v>
      </c>
      <c r="F53" s="1268"/>
      <c r="G53" s="1268"/>
      <c r="H53" s="1268"/>
      <c r="I53" s="1268"/>
      <c r="J53" s="1268"/>
      <c r="K53" s="1268"/>
      <c r="L53" s="1268"/>
      <c r="M53" s="1268"/>
      <c r="N53" s="1269"/>
    </row>
    <row r="56" spans="3:19" ht="21" thickBot="1">
      <c r="E56" s="30"/>
    </row>
    <row r="57" spans="3:19" ht="35.450000000000003" customHeight="1" thickBot="1">
      <c r="D57" s="172">
        <f>2.98+0.93+4.1</f>
        <v>8.01</v>
      </c>
      <c r="E57" s="271"/>
      <c r="H57" s="31"/>
    </row>
    <row r="58" spans="3:19" ht="24.75" customHeight="1">
      <c r="F58" s="30"/>
      <c r="G58" s="30"/>
      <c r="H58" s="36"/>
    </row>
    <row r="59" spans="3:19" ht="20.25" customHeight="1"/>
    <row r="60" spans="3:19">
      <c r="D60" s="147"/>
    </row>
    <row r="61" spans="3:19" ht="22.9">
      <c r="D61" s="325"/>
    </row>
    <row r="63" spans="3:19" ht="20.45">
      <c r="D63" s="30"/>
    </row>
  </sheetData>
  <mergeCells count="8">
    <mergeCell ref="E53:N53"/>
    <mergeCell ref="T3:X3"/>
    <mergeCell ref="C47:N47"/>
    <mergeCell ref="E48:N48"/>
    <mergeCell ref="E51:N51"/>
    <mergeCell ref="E52:N52"/>
    <mergeCell ref="E49:N49"/>
    <mergeCell ref="E50:N50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Y996"/>
  <sheetViews>
    <sheetView topLeftCell="A5" zoomScale="80" zoomScaleNormal="80" workbookViewId="0">
      <selection activeCell="D88" sqref="D88"/>
    </sheetView>
  </sheetViews>
  <sheetFormatPr defaultColWidth="12.21875" defaultRowHeight="15"/>
  <cols>
    <col min="1" max="1" width="6.77734375" customWidth="1"/>
    <col min="2" max="2" width="15.6640625" customWidth="1"/>
    <col min="3" max="3" width="9.33203125" customWidth="1"/>
    <col min="4" max="4" width="12.77734375" customWidth="1"/>
    <col min="5" max="5" width="12.109375" customWidth="1"/>
    <col min="6" max="6" width="10" customWidth="1"/>
    <col min="7" max="7" width="11.77734375" customWidth="1"/>
    <col min="8" max="10" width="10" customWidth="1"/>
    <col min="11" max="11" width="10.77734375" customWidth="1"/>
    <col min="12" max="12" width="22.33203125" customWidth="1"/>
    <col min="13" max="13" width="8.109375" customWidth="1"/>
    <col min="14" max="14" width="6.77734375" customWidth="1"/>
    <col min="15" max="15" width="7.6640625" customWidth="1"/>
    <col min="16" max="18" width="9.109375" customWidth="1"/>
    <col min="19" max="19" width="6.77734375" hidden="1" customWidth="1"/>
    <col min="20" max="20" width="11.77734375" hidden="1" customWidth="1"/>
    <col min="21" max="21" width="12.33203125" hidden="1" customWidth="1"/>
    <col min="22" max="22" width="10.6640625" hidden="1" customWidth="1"/>
    <col min="23" max="23" width="12.6640625" hidden="1" customWidth="1"/>
    <col min="24" max="24" width="13.109375" hidden="1" customWidth="1"/>
    <col min="25" max="25" width="19.77734375" hidden="1" customWidth="1"/>
    <col min="26" max="33" width="9.33203125" customWidth="1"/>
  </cols>
  <sheetData>
    <row r="1" spans="2:21" ht="15" customHeight="1">
      <c r="E1" s="1"/>
      <c r="F1" s="1"/>
      <c r="G1" s="1"/>
      <c r="H1" s="1"/>
      <c r="I1" s="1"/>
      <c r="J1" s="1"/>
      <c r="K1" s="1"/>
    </row>
    <row r="2" spans="2:21" ht="21.75" customHeight="1">
      <c r="D2" s="1272" t="s">
        <v>233</v>
      </c>
      <c r="E2" s="1382"/>
      <c r="F2" s="1382"/>
      <c r="G2" s="1382"/>
      <c r="H2" s="1382"/>
      <c r="I2" s="1382"/>
      <c r="J2" s="1382"/>
      <c r="K2" s="1382"/>
      <c r="L2" s="1382"/>
    </row>
    <row r="3" spans="2:21" ht="18" customHeight="1" thickBot="1">
      <c r="E3" s="1"/>
      <c r="F3" s="1"/>
      <c r="G3" s="1"/>
      <c r="H3" s="1"/>
      <c r="I3" s="1"/>
      <c r="J3" s="1"/>
      <c r="K3" s="1"/>
    </row>
    <row r="4" spans="2:21" ht="24" customHeight="1" thickBot="1">
      <c r="D4" s="1270" t="s">
        <v>234</v>
      </c>
      <c r="E4" s="1383"/>
      <c r="F4" s="1383"/>
      <c r="G4" s="1383"/>
      <c r="H4" s="1383"/>
      <c r="I4" s="1383"/>
      <c r="J4" s="1383"/>
      <c r="K4" s="1383"/>
      <c r="L4" s="1384"/>
    </row>
    <row r="5" spans="2:21" ht="31.9" thickBot="1">
      <c r="B5" s="362"/>
      <c r="C5" s="363" t="s">
        <v>156</v>
      </c>
      <c r="D5" s="363" t="s">
        <v>31</v>
      </c>
      <c r="E5" s="364" t="s">
        <v>32</v>
      </c>
      <c r="F5" s="364" t="s">
        <v>33</v>
      </c>
      <c r="G5" s="364" t="s">
        <v>34</v>
      </c>
      <c r="H5" s="364" t="s">
        <v>35</v>
      </c>
      <c r="I5" s="365" t="s">
        <v>37</v>
      </c>
      <c r="J5" s="366" t="s">
        <v>38</v>
      </c>
      <c r="K5" s="366" t="s">
        <v>39</v>
      </c>
      <c r="L5" s="367" t="s">
        <v>40</v>
      </c>
    </row>
    <row r="6" spans="2:21">
      <c r="B6" s="348"/>
      <c r="C6" s="398">
        <v>1</v>
      </c>
      <c r="D6" s="398" t="s">
        <v>41</v>
      </c>
      <c r="E6" s="399" t="s">
        <v>42</v>
      </c>
      <c r="F6" s="400">
        <v>28</v>
      </c>
      <c r="G6" s="386">
        <v>2051.0158273588454</v>
      </c>
      <c r="H6" s="386">
        <v>538.18655309896099</v>
      </c>
      <c r="I6" s="386">
        <v>74</v>
      </c>
      <c r="J6" s="386">
        <v>521</v>
      </c>
      <c r="K6" s="386">
        <v>435</v>
      </c>
      <c r="L6" s="401" t="s">
        <v>235</v>
      </c>
      <c r="N6" s="151"/>
      <c r="O6" s="151"/>
      <c r="P6" s="151"/>
      <c r="Q6" s="151"/>
      <c r="R6" s="151"/>
      <c r="S6" s="151"/>
      <c r="T6" s="151"/>
      <c r="U6" s="147"/>
    </row>
    <row r="7" spans="2:21">
      <c r="B7" s="348"/>
      <c r="C7" s="384">
        <v>2</v>
      </c>
      <c r="D7" s="384" t="s">
        <v>43</v>
      </c>
      <c r="E7" s="385" t="s">
        <v>44</v>
      </c>
      <c r="F7" s="393">
        <v>28</v>
      </c>
      <c r="G7" s="387">
        <v>1231.9335982362411</v>
      </c>
      <c r="H7" s="387">
        <v>631</v>
      </c>
      <c r="I7" s="387">
        <v>49</v>
      </c>
      <c r="J7" s="387">
        <v>606</v>
      </c>
      <c r="K7" s="387">
        <v>132</v>
      </c>
      <c r="L7" s="401" t="s">
        <v>235</v>
      </c>
      <c r="N7" s="151"/>
      <c r="O7" s="151"/>
      <c r="P7" s="151"/>
      <c r="Q7" s="151"/>
      <c r="R7" s="151"/>
      <c r="S7" s="151"/>
      <c r="T7" s="151"/>
      <c r="U7" s="147"/>
    </row>
    <row r="8" spans="2:21">
      <c r="B8" s="348"/>
      <c r="C8" s="384">
        <v>3</v>
      </c>
      <c r="D8" s="384" t="s">
        <v>45</v>
      </c>
      <c r="E8" s="385" t="s">
        <v>44</v>
      </c>
      <c r="F8" s="393">
        <v>32</v>
      </c>
      <c r="G8" s="387">
        <v>2223.5427159729697</v>
      </c>
      <c r="H8" s="387">
        <v>1028.1661518659014</v>
      </c>
      <c r="I8" s="387">
        <v>53.8</v>
      </c>
      <c r="J8" s="387">
        <v>336</v>
      </c>
      <c r="K8" s="387">
        <v>261</v>
      </c>
      <c r="L8" s="401" t="s">
        <v>235</v>
      </c>
      <c r="N8" s="151"/>
      <c r="O8" s="151"/>
      <c r="P8" s="151"/>
      <c r="Q8" s="151"/>
      <c r="R8" s="151"/>
      <c r="S8" s="151"/>
      <c r="T8" s="151"/>
      <c r="U8" s="147"/>
    </row>
    <row r="9" spans="2:21">
      <c r="B9" s="348"/>
      <c r="C9" s="349">
        <v>4</v>
      </c>
      <c r="D9" s="349" t="s">
        <v>46</v>
      </c>
      <c r="E9" s="339" t="s">
        <v>47</v>
      </c>
      <c r="F9" s="340">
        <v>40</v>
      </c>
      <c r="G9" s="341">
        <v>1782.6197918132709</v>
      </c>
      <c r="H9" s="341">
        <v>1166.7246537417859</v>
      </c>
      <c r="I9" s="341">
        <v>34.6</v>
      </c>
      <c r="J9" s="341">
        <v>310</v>
      </c>
      <c r="K9" s="341">
        <v>131</v>
      </c>
      <c r="L9" s="354"/>
      <c r="N9" s="151"/>
      <c r="O9" s="151"/>
      <c r="P9" s="151"/>
      <c r="Q9" s="151"/>
      <c r="R9" s="151"/>
      <c r="S9" s="151"/>
      <c r="T9" s="151"/>
      <c r="U9" s="147"/>
    </row>
    <row r="10" spans="2:21">
      <c r="B10" s="348"/>
      <c r="C10" s="349">
        <v>5</v>
      </c>
      <c r="D10" s="349" t="s">
        <v>48</v>
      </c>
      <c r="E10" s="339" t="s">
        <v>47</v>
      </c>
      <c r="F10" s="340" t="s">
        <v>49</v>
      </c>
      <c r="G10" s="341">
        <v>1816.7772945869699</v>
      </c>
      <c r="H10" s="341">
        <v>1074.98712520711</v>
      </c>
      <c r="I10" s="341">
        <v>40.799999999999997</v>
      </c>
      <c r="J10" s="341">
        <v>311</v>
      </c>
      <c r="K10" s="341">
        <v>191.45</v>
      </c>
      <c r="L10" s="354"/>
      <c r="N10" s="151"/>
      <c r="O10" s="151"/>
      <c r="P10" s="151"/>
      <c r="Q10" s="151"/>
      <c r="R10" s="151"/>
      <c r="S10" s="151"/>
      <c r="T10" s="151"/>
      <c r="U10" s="147"/>
    </row>
    <row r="11" spans="2:21">
      <c r="B11" s="348"/>
      <c r="C11" s="384">
        <v>6</v>
      </c>
      <c r="D11" s="384" t="s">
        <v>50</v>
      </c>
      <c r="E11" s="385" t="s">
        <v>47</v>
      </c>
      <c r="F11" s="393" t="s">
        <v>51</v>
      </c>
      <c r="G11" s="387">
        <v>1468.6721560255978</v>
      </c>
      <c r="H11" s="387">
        <v>453.23222734949945</v>
      </c>
      <c r="I11" s="387">
        <v>69.099999999999994</v>
      </c>
      <c r="J11" s="387">
        <v>761</v>
      </c>
      <c r="K11" s="387">
        <v>145</v>
      </c>
      <c r="L11" s="401" t="s">
        <v>235</v>
      </c>
      <c r="N11" s="151"/>
      <c r="O11" s="151"/>
      <c r="P11" s="151"/>
      <c r="Q11" s="151"/>
      <c r="R11" s="151"/>
      <c r="S11" s="151"/>
      <c r="T11" s="151"/>
      <c r="U11" s="147"/>
    </row>
    <row r="12" spans="2:21">
      <c r="B12" s="348"/>
      <c r="C12" s="384">
        <v>7</v>
      </c>
      <c r="D12" s="384" t="s">
        <v>52</v>
      </c>
      <c r="E12" s="385" t="s">
        <v>47</v>
      </c>
      <c r="F12" s="393">
        <v>40</v>
      </c>
      <c r="G12" s="387">
        <v>1616.7991807010462</v>
      </c>
      <c r="H12" s="387">
        <v>792.23159854351263</v>
      </c>
      <c r="I12" s="387">
        <v>61</v>
      </c>
      <c r="J12" s="393">
        <v>448</v>
      </c>
      <c r="K12" s="393">
        <v>205</v>
      </c>
      <c r="L12" s="401" t="s">
        <v>235</v>
      </c>
      <c r="N12" s="151"/>
      <c r="O12" s="151"/>
      <c r="P12" s="151"/>
      <c r="Q12" s="151"/>
      <c r="R12" s="151"/>
      <c r="S12" s="151"/>
      <c r="T12" s="151"/>
      <c r="U12" s="147"/>
    </row>
    <row r="13" spans="2:21">
      <c r="B13" s="348"/>
      <c r="C13" s="349">
        <v>8</v>
      </c>
      <c r="D13" s="349" t="s">
        <v>53</v>
      </c>
      <c r="E13" s="339" t="s">
        <v>47</v>
      </c>
      <c r="F13" s="340" t="s">
        <v>51</v>
      </c>
      <c r="G13" s="341">
        <v>1459.7871867746981</v>
      </c>
      <c r="H13" s="341">
        <v>694.85870090475635</v>
      </c>
      <c r="I13" s="341">
        <v>52.4</v>
      </c>
      <c r="J13" s="340">
        <v>447</v>
      </c>
      <c r="K13" s="340">
        <v>348</v>
      </c>
      <c r="L13" s="354"/>
      <c r="N13" s="151"/>
      <c r="O13" s="151"/>
      <c r="P13" s="151"/>
      <c r="Q13" s="151"/>
      <c r="R13" s="151"/>
      <c r="S13" s="151"/>
      <c r="T13" s="151"/>
      <c r="U13" s="147"/>
    </row>
    <row r="14" spans="2:21">
      <c r="B14" s="348"/>
      <c r="C14" s="349">
        <v>9</v>
      </c>
      <c r="D14" s="349" t="s">
        <v>54</v>
      </c>
      <c r="E14" s="339" t="s">
        <v>47</v>
      </c>
      <c r="F14" s="340" t="s">
        <v>55</v>
      </c>
      <c r="G14" s="341">
        <v>1641.6851861515806</v>
      </c>
      <c r="H14" s="341">
        <v>762.56276896740928</v>
      </c>
      <c r="I14" s="341">
        <v>53.6</v>
      </c>
      <c r="J14" s="341">
        <v>495</v>
      </c>
      <c r="K14" s="340">
        <v>324</v>
      </c>
      <c r="L14" s="354"/>
      <c r="N14" s="151"/>
      <c r="O14" s="151"/>
      <c r="P14" s="151"/>
      <c r="Q14" s="151"/>
      <c r="R14" s="151"/>
      <c r="S14" s="151"/>
      <c r="T14" s="151"/>
      <c r="U14" s="147"/>
    </row>
    <row r="15" spans="2:21">
      <c r="B15" s="348"/>
      <c r="C15" s="384">
        <v>10</v>
      </c>
      <c r="D15" s="384" t="s">
        <v>56</v>
      </c>
      <c r="E15" s="385" t="s">
        <v>47</v>
      </c>
      <c r="F15" s="403">
        <v>44</v>
      </c>
      <c r="G15" s="404">
        <v>3810.7235282665083</v>
      </c>
      <c r="H15" s="404">
        <v>1905.3617641332542</v>
      </c>
      <c r="I15" s="404">
        <v>50</v>
      </c>
      <c r="J15" s="403">
        <v>281</v>
      </c>
      <c r="K15" s="403">
        <v>348</v>
      </c>
      <c r="L15" s="401" t="s">
        <v>235</v>
      </c>
      <c r="N15" s="151"/>
      <c r="O15" s="151"/>
      <c r="P15" s="151"/>
      <c r="Q15" s="151"/>
      <c r="R15" s="151"/>
      <c r="S15" s="151"/>
      <c r="T15" s="151"/>
      <c r="U15" s="147"/>
    </row>
    <row r="16" spans="2:21" ht="15.6" thickBot="1">
      <c r="B16" s="348"/>
      <c r="C16" s="351">
        <v>11</v>
      </c>
      <c r="D16" s="351" t="s">
        <v>57</v>
      </c>
      <c r="E16" s="344" t="s">
        <v>47</v>
      </c>
      <c r="F16" s="345" t="s">
        <v>55</v>
      </c>
      <c r="G16" s="346">
        <v>1796.4435341122739</v>
      </c>
      <c r="H16" s="347">
        <v>215.52</v>
      </c>
      <c r="I16" s="347">
        <v>88</v>
      </c>
      <c r="J16" s="346">
        <v>350</v>
      </c>
      <c r="K16" s="346">
        <v>261</v>
      </c>
      <c r="L16" s="368"/>
      <c r="N16" s="151"/>
      <c r="O16" s="151"/>
      <c r="P16" s="151"/>
      <c r="Q16" s="151"/>
      <c r="R16" s="151"/>
      <c r="S16" s="151"/>
      <c r="T16" s="151"/>
      <c r="U16" s="147"/>
    </row>
    <row r="17" spans="2:25" ht="15" customHeight="1" thickBot="1">
      <c r="D17" s="369"/>
      <c r="E17" s="370"/>
      <c r="F17" s="370"/>
      <c r="G17" s="371">
        <f>SUM(G6:G16)</f>
        <v>20900</v>
      </c>
      <c r="H17" s="371">
        <f>SUM(H6:H16)</f>
        <v>9262.8315438121899</v>
      </c>
      <c r="I17" s="207"/>
      <c r="J17" s="266"/>
      <c r="K17" s="207"/>
      <c r="P17" s="151"/>
      <c r="Q17" s="151"/>
    </row>
    <row r="18" spans="2:25" ht="36.950000000000003" customHeight="1" thickBot="1">
      <c r="E18" s="1273" t="s">
        <v>168</v>
      </c>
      <c r="F18" s="1382"/>
      <c r="G18" s="1"/>
      <c r="H18" s="372">
        <f>ROUNDDOWN(H17, -2)</f>
        <v>9200</v>
      </c>
      <c r="I18" s="373"/>
      <c r="K18" s="1"/>
      <c r="P18" s="151"/>
      <c r="Q18" s="151"/>
    </row>
    <row r="19" spans="2:25" ht="15" customHeight="1">
      <c r="E19" s="1"/>
      <c r="F19" s="1"/>
      <c r="G19" s="1"/>
      <c r="H19" s="1"/>
      <c r="I19" s="1"/>
      <c r="K19" s="1"/>
    </row>
    <row r="20" spans="2:25" ht="15" customHeight="1" thickBot="1">
      <c r="E20" s="1"/>
      <c r="F20" s="1"/>
      <c r="G20" s="1"/>
      <c r="H20" s="1"/>
      <c r="I20" s="1"/>
      <c r="J20" s="1"/>
      <c r="K20" s="1"/>
    </row>
    <row r="21" spans="2:25" ht="28.5" customHeight="1" thickBot="1">
      <c r="D21" s="1270" t="s">
        <v>236</v>
      </c>
      <c r="E21" s="1383"/>
      <c r="F21" s="1383"/>
      <c r="G21" s="1383"/>
      <c r="H21" s="1383"/>
      <c r="I21" s="1383"/>
      <c r="J21" s="1383"/>
      <c r="K21" s="1383"/>
      <c r="L21" s="1384"/>
      <c r="S21" s="1385" t="s">
        <v>196</v>
      </c>
      <c r="T21" s="1382"/>
      <c r="U21" s="1382"/>
      <c r="V21" s="303"/>
      <c r="W21" s="303"/>
      <c r="X21" s="303"/>
      <c r="Y21" s="303"/>
    </row>
    <row r="22" spans="2:25" ht="31.9" thickBot="1">
      <c r="B22" s="362"/>
      <c r="C22" s="363" t="s">
        <v>156</v>
      </c>
      <c r="D22" s="363" t="s">
        <v>31</v>
      </c>
      <c r="E22" s="364" t="s">
        <v>32</v>
      </c>
      <c r="F22" s="364" t="s">
        <v>33</v>
      </c>
      <c r="G22" s="364" t="s">
        <v>34</v>
      </c>
      <c r="H22" s="364" t="s">
        <v>35</v>
      </c>
      <c r="I22" s="364" t="s">
        <v>37</v>
      </c>
      <c r="J22" s="366" t="s">
        <v>38</v>
      </c>
      <c r="K22" s="366" t="s">
        <v>39</v>
      </c>
      <c r="L22" s="367" t="s">
        <v>40</v>
      </c>
      <c r="S22" s="303"/>
      <c r="T22" s="303"/>
      <c r="U22" s="303"/>
      <c r="V22" s="303"/>
      <c r="W22" s="303"/>
      <c r="X22" s="303"/>
      <c r="Y22" s="303"/>
    </row>
    <row r="23" spans="2:25" ht="45.6">
      <c r="B23" s="348"/>
      <c r="C23" s="349">
        <v>1</v>
      </c>
      <c r="D23" s="349" t="s">
        <v>59</v>
      </c>
      <c r="E23" s="339" t="s">
        <v>60</v>
      </c>
      <c r="F23" s="350">
        <v>56</v>
      </c>
      <c r="G23" s="341">
        <v>967</v>
      </c>
      <c r="H23" s="341">
        <v>948</v>
      </c>
      <c r="I23" s="341">
        <v>2</v>
      </c>
      <c r="J23" s="341">
        <v>2018</v>
      </c>
      <c r="K23" s="341">
        <v>145</v>
      </c>
      <c r="L23" s="374"/>
      <c r="P23" s="147"/>
      <c r="Q23" s="375"/>
      <c r="S23" s="956" t="s">
        <v>197</v>
      </c>
      <c r="T23" s="957" t="s">
        <v>198</v>
      </c>
      <c r="U23" s="304" t="s">
        <v>199</v>
      </c>
      <c r="V23" s="305" t="s">
        <v>200</v>
      </c>
      <c r="W23" s="305" t="s">
        <v>201</v>
      </c>
      <c r="X23" s="305" t="s">
        <v>202</v>
      </c>
      <c r="Y23" s="304" t="s">
        <v>203</v>
      </c>
    </row>
    <row r="24" spans="2:25" ht="15.6">
      <c r="B24" s="348"/>
      <c r="C24" s="961">
        <v>2</v>
      </c>
      <c r="D24" s="961" t="s">
        <v>61</v>
      </c>
      <c r="E24" s="962" t="s">
        <v>62</v>
      </c>
      <c r="F24" s="963">
        <v>28</v>
      </c>
      <c r="G24" s="964">
        <v>888</v>
      </c>
      <c r="H24" s="964">
        <v>355</v>
      </c>
      <c r="I24" s="964">
        <v>60</v>
      </c>
      <c r="J24" s="964">
        <v>782</v>
      </c>
      <c r="K24" s="964">
        <v>377</v>
      </c>
      <c r="L24" s="965"/>
      <c r="P24" s="147"/>
      <c r="Q24" s="375"/>
      <c r="S24" s="953">
        <v>1</v>
      </c>
      <c r="T24" s="1263" t="s">
        <v>204</v>
      </c>
      <c r="U24" s="306" t="s">
        <v>205</v>
      </c>
      <c r="V24" s="306">
        <v>661</v>
      </c>
      <c r="W24" s="307">
        <v>44052</v>
      </c>
      <c r="X24" s="307">
        <v>44144</v>
      </c>
      <c r="Y24" s="306" t="s">
        <v>206</v>
      </c>
    </row>
    <row r="25" spans="2:25" ht="15.6">
      <c r="B25" s="348"/>
      <c r="C25" s="384">
        <v>3</v>
      </c>
      <c r="D25" s="384" t="s">
        <v>64</v>
      </c>
      <c r="E25" s="385" t="s">
        <v>65</v>
      </c>
      <c r="F25" s="386">
        <v>32</v>
      </c>
      <c r="G25" s="387">
        <v>2666</v>
      </c>
      <c r="H25" s="387">
        <v>1733</v>
      </c>
      <c r="I25" s="387">
        <v>35</v>
      </c>
      <c r="J25" s="387">
        <v>430</v>
      </c>
      <c r="K25" s="387">
        <v>435</v>
      </c>
      <c r="L25" s="388" t="s">
        <v>237</v>
      </c>
      <c r="P25" s="147"/>
      <c r="Q25" s="375"/>
      <c r="S25" s="953">
        <v>2</v>
      </c>
      <c r="T25" s="1386"/>
      <c r="U25" s="306" t="s">
        <v>207</v>
      </c>
      <c r="V25" s="306">
        <v>574</v>
      </c>
      <c r="W25" s="307">
        <v>44174</v>
      </c>
      <c r="X25" s="306" t="s">
        <v>208</v>
      </c>
      <c r="Y25" s="306" t="s">
        <v>206</v>
      </c>
    </row>
    <row r="26" spans="2:25" ht="15.6">
      <c r="B26" s="348"/>
      <c r="C26" s="961">
        <v>4</v>
      </c>
      <c r="D26" s="961" t="s">
        <v>69</v>
      </c>
      <c r="E26" s="962" t="s">
        <v>70</v>
      </c>
      <c r="F26" s="963">
        <v>24</v>
      </c>
      <c r="G26" s="964">
        <v>963</v>
      </c>
      <c r="H26" s="964">
        <v>347</v>
      </c>
      <c r="I26" s="964">
        <v>64</v>
      </c>
      <c r="J26" s="964">
        <v>2411</v>
      </c>
      <c r="K26" s="964">
        <v>841</v>
      </c>
      <c r="L26" s="965"/>
      <c r="P26" s="147"/>
      <c r="Q26" s="375"/>
      <c r="S26" s="953">
        <v>3</v>
      </c>
      <c r="T26" s="1386"/>
      <c r="U26" s="306" t="s">
        <v>209</v>
      </c>
      <c r="V26" s="306">
        <v>1037</v>
      </c>
      <c r="W26" s="306" t="s">
        <v>210</v>
      </c>
      <c r="X26" s="306" t="s">
        <v>211</v>
      </c>
      <c r="Y26" s="306" t="s">
        <v>212</v>
      </c>
    </row>
    <row r="27" spans="2:25">
      <c r="B27" s="348"/>
      <c r="C27" s="961">
        <v>5</v>
      </c>
      <c r="D27" s="961" t="s">
        <v>71</v>
      </c>
      <c r="E27" s="962" t="s">
        <v>72</v>
      </c>
      <c r="F27" s="963">
        <v>28</v>
      </c>
      <c r="G27" s="964">
        <v>859</v>
      </c>
      <c r="H27" s="964">
        <v>326</v>
      </c>
      <c r="I27" s="964">
        <v>62</v>
      </c>
      <c r="J27" s="964">
        <v>3000</v>
      </c>
      <c r="K27" s="964">
        <v>841</v>
      </c>
      <c r="L27" s="965"/>
      <c r="P27" s="147"/>
      <c r="Q27" s="375"/>
      <c r="S27" s="308">
        <v>4</v>
      </c>
      <c r="T27" s="1387"/>
      <c r="U27" s="306" t="s">
        <v>213</v>
      </c>
      <c r="V27" s="306">
        <v>922</v>
      </c>
      <c r="W27" s="306" t="s">
        <v>214</v>
      </c>
      <c r="X27" s="306" t="s">
        <v>215</v>
      </c>
      <c r="Y27" s="306" t="s">
        <v>206</v>
      </c>
    </row>
    <row r="28" spans="2:25">
      <c r="B28" s="348"/>
      <c r="C28" s="961">
        <v>6</v>
      </c>
      <c r="D28" s="961" t="s">
        <v>73</v>
      </c>
      <c r="E28" s="962" t="s">
        <v>72</v>
      </c>
      <c r="F28" s="963">
        <v>36</v>
      </c>
      <c r="G28" s="964">
        <v>1099</v>
      </c>
      <c r="H28" s="964">
        <v>659</v>
      </c>
      <c r="I28" s="964">
        <v>40</v>
      </c>
      <c r="J28" s="964">
        <v>3206</v>
      </c>
      <c r="K28" s="964">
        <v>493</v>
      </c>
      <c r="L28" s="965"/>
      <c r="P28" s="147"/>
      <c r="Q28" s="375"/>
      <c r="S28" s="308">
        <v>5</v>
      </c>
      <c r="T28" s="1262" t="s">
        <v>19</v>
      </c>
      <c r="U28" s="306" t="s">
        <v>216</v>
      </c>
      <c r="V28" s="306">
        <v>1571</v>
      </c>
      <c r="W28" s="307">
        <v>44052</v>
      </c>
      <c r="X28" s="307">
        <v>44144</v>
      </c>
      <c r="Y28" s="306" t="s">
        <v>206</v>
      </c>
    </row>
    <row r="29" spans="2:25">
      <c r="B29" s="348"/>
      <c r="C29" s="961">
        <v>7</v>
      </c>
      <c r="D29" s="961" t="s">
        <v>74</v>
      </c>
      <c r="E29" s="962" t="s">
        <v>75</v>
      </c>
      <c r="F29" s="963">
        <v>36</v>
      </c>
      <c r="G29" s="964">
        <v>3196</v>
      </c>
      <c r="H29" s="964">
        <v>1406</v>
      </c>
      <c r="I29" s="964">
        <v>56</v>
      </c>
      <c r="J29" s="964">
        <v>1306</v>
      </c>
      <c r="K29" s="964">
        <v>812</v>
      </c>
      <c r="L29" s="965"/>
      <c r="P29" s="147"/>
      <c r="Q29" s="375"/>
      <c r="S29" s="308">
        <v>6</v>
      </c>
      <c r="T29" s="1386"/>
      <c r="U29" s="306" t="s">
        <v>217</v>
      </c>
      <c r="V29" s="306">
        <v>914</v>
      </c>
      <c r="W29" s="307">
        <v>43899</v>
      </c>
      <c r="X29" s="307">
        <v>43991</v>
      </c>
      <c r="Y29" s="306" t="s">
        <v>206</v>
      </c>
    </row>
    <row r="30" spans="2:25">
      <c r="B30" s="348"/>
      <c r="C30" s="961">
        <v>8</v>
      </c>
      <c r="D30" s="961" t="s">
        <v>76</v>
      </c>
      <c r="E30" s="962" t="s">
        <v>77</v>
      </c>
      <c r="F30" s="963">
        <v>20</v>
      </c>
      <c r="G30" s="964">
        <v>717</v>
      </c>
      <c r="H30" s="964">
        <v>323</v>
      </c>
      <c r="I30" s="964">
        <v>55</v>
      </c>
      <c r="J30" s="964">
        <v>264</v>
      </c>
      <c r="K30" s="964">
        <v>203</v>
      </c>
      <c r="L30" s="965"/>
      <c r="P30" s="147"/>
      <c r="Q30" s="375"/>
      <c r="S30" s="308">
        <v>7</v>
      </c>
      <c r="T30" s="1387"/>
      <c r="U30" s="306" t="s">
        <v>218</v>
      </c>
      <c r="V30" s="306">
        <v>937</v>
      </c>
      <c r="W30" s="309">
        <v>43899</v>
      </c>
      <c r="X30" s="307">
        <v>43991</v>
      </c>
      <c r="Y30" s="306" t="s">
        <v>206</v>
      </c>
    </row>
    <row r="31" spans="2:25">
      <c r="B31" s="348"/>
      <c r="C31" s="349">
        <v>9</v>
      </c>
      <c r="D31" s="349" t="s">
        <v>78</v>
      </c>
      <c r="E31" s="339" t="s">
        <v>79</v>
      </c>
      <c r="F31" s="350">
        <v>52</v>
      </c>
      <c r="G31" s="341">
        <v>1046</v>
      </c>
      <c r="H31" s="341">
        <v>1025</v>
      </c>
      <c r="I31" s="341">
        <v>2</v>
      </c>
      <c r="J31" s="341">
        <v>553</v>
      </c>
      <c r="K31" s="341">
        <v>218</v>
      </c>
      <c r="L31" s="374"/>
      <c r="P31" s="147"/>
      <c r="Q31" s="375"/>
      <c r="S31" s="308">
        <v>8</v>
      </c>
      <c r="T31" s="1262" t="s">
        <v>17</v>
      </c>
      <c r="U31" s="306" t="s">
        <v>219</v>
      </c>
      <c r="V31" s="306">
        <v>1173</v>
      </c>
      <c r="W31" s="307">
        <v>44113</v>
      </c>
      <c r="X31" s="306" t="s">
        <v>220</v>
      </c>
      <c r="Y31" s="306" t="s">
        <v>206</v>
      </c>
    </row>
    <row r="32" spans="2:25">
      <c r="B32" s="348"/>
      <c r="C32" s="384">
        <v>10</v>
      </c>
      <c r="D32" s="384" t="s">
        <v>80</v>
      </c>
      <c r="E32" s="385" t="s">
        <v>81</v>
      </c>
      <c r="F32" s="386">
        <v>32</v>
      </c>
      <c r="G32" s="387">
        <v>1639</v>
      </c>
      <c r="H32" s="387">
        <v>492</v>
      </c>
      <c r="I32" s="387">
        <v>70</v>
      </c>
      <c r="J32" s="387">
        <v>1849</v>
      </c>
      <c r="K32" s="387">
        <v>609</v>
      </c>
      <c r="L32" s="388" t="s">
        <v>235</v>
      </c>
      <c r="P32" s="147"/>
      <c r="Q32" s="375"/>
      <c r="S32" s="308">
        <v>9</v>
      </c>
      <c r="T32" s="1386"/>
      <c r="U32" s="306" t="s">
        <v>221</v>
      </c>
      <c r="V32" s="306">
        <v>484</v>
      </c>
      <c r="W32" s="309">
        <v>43899</v>
      </c>
      <c r="X32" s="309">
        <v>43991</v>
      </c>
      <c r="Y32" s="306" t="s">
        <v>206</v>
      </c>
    </row>
    <row r="33" spans="2:25">
      <c r="B33" s="348"/>
      <c r="C33" s="349">
        <v>11</v>
      </c>
      <c r="D33" s="349" t="s">
        <v>82</v>
      </c>
      <c r="E33" s="339" t="s">
        <v>65</v>
      </c>
      <c r="F33" s="350">
        <v>28</v>
      </c>
      <c r="G33" s="341">
        <v>1023</v>
      </c>
      <c r="H33" s="341">
        <v>1003</v>
      </c>
      <c r="I33" s="341">
        <v>2</v>
      </c>
      <c r="J33" s="341">
        <v>587</v>
      </c>
      <c r="K33" s="341">
        <v>464</v>
      </c>
      <c r="L33" s="374"/>
      <c r="P33" s="147"/>
      <c r="Q33" s="375"/>
      <c r="S33" s="308">
        <v>10</v>
      </c>
      <c r="T33" s="1387"/>
      <c r="U33" s="306" t="s">
        <v>222</v>
      </c>
      <c r="V33" s="306">
        <v>917</v>
      </c>
      <c r="W33" s="306" t="s">
        <v>223</v>
      </c>
      <c r="X33" s="306" t="s">
        <v>211</v>
      </c>
      <c r="Y33" s="306" t="s">
        <v>224</v>
      </c>
    </row>
    <row r="34" spans="2:25">
      <c r="B34" s="348"/>
      <c r="C34" s="349">
        <v>12</v>
      </c>
      <c r="D34" s="349" t="s">
        <v>83</v>
      </c>
      <c r="E34" s="339" t="s">
        <v>84</v>
      </c>
      <c r="F34" s="350">
        <v>48</v>
      </c>
      <c r="G34" s="341">
        <v>3273</v>
      </c>
      <c r="H34" s="341">
        <v>1047</v>
      </c>
      <c r="I34" s="341">
        <v>68</v>
      </c>
      <c r="J34" s="341">
        <v>4131</v>
      </c>
      <c r="K34" s="341">
        <v>1218</v>
      </c>
      <c r="L34" s="374"/>
      <c r="P34" s="147"/>
      <c r="Q34" s="375"/>
    </row>
    <row r="35" spans="2:25">
      <c r="B35" s="348"/>
      <c r="C35" s="349">
        <v>13</v>
      </c>
      <c r="D35" s="349" t="s">
        <v>85</v>
      </c>
      <c r="E35" s="339" t="s">
        <v>72</v>
      </c>
      <c r="F35" s="350">
        <v>32</v>
      </c>
      <c r="G35" s="341">
        <v>1427</v>
      </c>
      <c r="H35" s="341">
        <v>899</v>
      </c>
      <c r="I35" s="341">
        <v>37</v>
      </c>
      <c r="J35" s="341">
        <v>1058</v>
      </c>
      <c r="K35" s="341">
        <v>522</v>
      </c>
      <c r="L35" s="374"/>
      <c r="P35" s="147"/>
      <c r="Q35" s="375"/>
    </row>
    <row r="36" spans="2:25">
      <c r="B36" s="348"/>
      <c r="C36" s="349">
        <v>14</v>
      </c>
      <c r="D36" s="349" t="s">
        <v>86</v>
      </c>
      <c r="E36" s="339" t="s">
        <v>87</v>
      </c>
      <c r="F36" s="350">
        <v>28</v>
      </c>
      <c r="G36" s="341">
        <v>901</v>
      </c>
      <c r="H36" s="341">
        <v>405</v>
      </c>
      <c r="I36" s="341">
        <v>55</v>
      </c>
      <c r="J36" s="341">
        <v>5513</v>
      </c>
      <c r="K36" s="341">
        <v>2030</v>
      </c>
      <c r="L36" s="374"/>
      <c r="P36" s="147"/>
      <c r="Q36" s="375"/>
    </row>
    <row r="37" spans="2:25">
      <c r="B37" s="348"/>
      <c r="C37" s="384">
        <v>15</v>
      </c>
      <c r="D37" s="384" t="s">
        <v>88</v>
      </c>
      <c r="E37" s="385" t="s">
        <v>89</v>
      </c>
      <c r="F37" s="386">
        <v>28</v>
      </c>
      <c r="G37" s="387">
        <v>1172</v>
      </c>
      <c r="H37" s="387">
        <v>527</v>
      </c>
      <c r="I37" s="387">
        <v>55</v>
      </c>
      <c r="J37" s="387">
        <v>2051</v>
      </c>
      <c r="K37" s="387">
        <v>522</v>
      </c>
      <c r="L37" s="388" t="s">
        <v>235</v>
      </c>
      <c r="P37" s="147"/>
      <c r="Q37" s="375"/>
    </row>
    <row r="38" spans="2:25">
      <c r="B38" s="348"/>
      <c r="C38" s="349">
        <v>16</v>
      </c>
      <c r="D38" s="349" t="s">
        <v>90</v>
      </c>
      <c r="E38" s="339" t="s">
        <v>84</v>
      </c>
      <c r="F38" s="350">
        <v>48</v>
      </c>
      <c r="G38" s="341">
        <v>547</v>
      </c>
      <c r="H38" s="341">
        <v>511</v>
      </c>
      <c r="I38" s="341">
        <v>6.5</v>
      </c>
      <c r="J38" s="341">
        <v>6498</v>
      </c>
      <c r="K38" s="341">
        <v>550</v>
      </c>
      <c r="L38" s="374"/>
      <c r="P38" s="147"/>
      <c r="Q38" s="375"/>
    </row>
    <row r="39" spans="2:25">
      <c r="B39" s="348"/>
      <c r="C39" s="349">
        <v>17</v>
      </c>
      <c r="D39" s="349" t="s">
        <v>91</v>
      </c>
      <c r="E39" s="339" t="s">
        <v>89</v>
      </c>
      <c r="F39" s="350">
        <v>36</v>
      </c>
      <c r="G39" s="341">
        <v>497</v>
      </c>
      <c r="H39" s="341">
        <v>496</v>
      </c>
      <c r="I39" s="341">
        <v>0.3</v>
      </c>
      <c r="J39" s="341">
        <v>1297</v>
      </c>
      <c r="K39" s="341">
        <v>200</v>
      </c>
      <c r="L39" s="374"/>
      <c r="P39" s="147"/>
      <c r="Q39" s="375"/>
    </row>
    <row r="40" spans="2:25">
      <c r="B40" s="348"/>
      <c r="C40" s="349">
        <v>18</v>
      </c>
      <c r="D40" s="349" t="s">
        <v>92</v>
      </c>
      <c r="E40" s="339" t="s">
        <v>93</v>
      </c>
      <c r="F40" s="350">
        <v>24</v>
      </c>
      <c r="G40" s="341">
        <v>651</v>
      </c>
      <c r="H40" s="341">
        <v>378</v>
      </c>
      <c r="I40" s="341">
        <v>42</v>
      </c>
      <c r="J40" s="341">
        <v>373</v>
      </c>
      <c r="K40" s="341">
        <v>174</v>
      </c>
      <c r="L40" s="374"/>
      <c r="P40" s="147"/>
      <c r="Q40" s="375"/>
    </row>
    <row r="41" spans="2:25">
      <c r="B41" s="966"/>
      <c r="C41" s="961">
        <v>19</v>
      </c>
      <c r="D41" s="961" t="s">
        <v>94</v>
      </c>
      <c r="E41" s="962" t="s">
        <v>67</v>
      </c>
      <c r="F41" s="963">
        <v>24</v>
      </c>
      <c r="G41" s="964">
        <v>1600</v>
      </c>
      <c r="H41" s="964">
        <v>912</v>
      </c>
      <c r="I41" s="964">
        <v>43</v>
      </c>
      <c r="J41" s="964">
        <v>258</v>
      </c>
      <c r="K41" s="964">
        <v>300</v>
      </c>
      <c r="L41" s="965"/>
      <c r="P41" s="147"/>
      <c r="Q41" s="375"/>
    </row>
    <row r="42" spans="2:25">
      <c r="B42" s="348"/>
      <c r="C42" s="349">
        <v>20</v>
      </c>
      <c r="D42" s="349" t="s">
        <v>95</v>
      </c>
      <c r="E42" s="339" t="s">
        <v>65</v>
      </c>
      <c r="F42" s="350">
        <v>20</v>
      </c>
      <c r="G42" s="341">
        <v>576</v>
      </c>
      <c r="H42" s="341">
        <v>259</v>
      </c>
      <c r="I42" s="341">
        <v>55</v>
      </c>
      <c r="J42" s="341">
        <v>415</v>
      </c>
      <c r="K42" s="341">
        <v>348</v>
      </c>
      <c r="L42" s="374"/>
      <c r="P42" s="147"/>
      <c r="Q42" s="375"/>
    </row>
    <row r="43" spans="2:25" ht="15.6" thickBot="1">
      <c r="B43" s="348"/>
      <c r="C43" s="351">
        <v>21</v>
      </c>
      <c r="D43" s="351" t="s">
        <v>96</v>
      </c>
      <c r="E43" s="344" t="s">
        <v>67</v>
      </c>
      <c r="F43" s="350">
        <v>32</v>
      </c>
      <c r="G43" s="341">
        <v>2120</v>
      </c>
      <c r="H43" s="341">
        <v>954</v>
      </c>
      <c r="I43" s="341">
        <v>55</v>
      </c>
      <c r="J43" s="341">
        <v>450</v>
      </c>
      <c r="K43" s="341">
        <v>406</v>
      </c>
      <c r="L43" s="374"/>
      <c r="P43" s="147"/>
      <c r="Q43" s="375"/>
    </row>
    <row r="44" spans="2:25" ht="15.6" thickBot="1">
      <c r="D44" s="369"/>
      <c r="E44" s="370"/>
      <c r="F44" s="370"/>
      <c r="G44" s="341">
        <f>SUM(G23:G43)</f>
        <v>27827</v>
      </c>
      <c r="H44" s="341">
        <f>SUM(H23:H43)</f>
        <v>15005</v>
      </c>
      <c r="I44" s="341"/>
      <c r="J44" s="341"/>
      <c r="K44" s="341"/>
      <c r="P44" s="375"/>
      <c r="Q44" s="375"/>
    </row>
    <row r="45" spans="2:25" ht="26.25" customHeight="1" thickBot="1">
      <c r="E45" s="1271" t="s">
        <v>168</v>
      </c>
      <c r="F45" s="1382"/>
      <c r="G45" s="1"/>
      <c r="H45" s="372">
        <f>ROUNDDOWN(H44, -3)</f>
        <v>15000</v>
      </c>
      <c r="I45" s="1"/>
      <c r="J45" s="1"/>
      <c r="P45" s="375"/>
      <c r="Q45" s="375"/>
    </row>
    <row r="46" spans="2:25" ht="20.25" customHeight="1" thickBot="1">
      <c r="E46" s="1"/>
      <c r="F46" s="1"/>
      <c r="G46" s="1"/>
      <c r="H46" s="1"/>
      <c r="I46" s="1"/>
      <c r="J46" s="376"/>
      <c r="P46" s="375"/>
      <c r="Q46" s="375"/>
    </row>
    <row r="47" spans="2:25" ht="30" customHeight="1" thickBot="1">
      <c r="D47" s="1270" t="s">
        <v>238</v>
      </c>
      <c r="E47" s="1383"/>
      <c r="F47" s="1383"/>
      <c r="G47" s="1383"/>
      <c r="H47" s="1383"/>
      <c r="I47" s="1383"/>
      <c r="J47" s="1383"/>
      <c r="K47" s="1383"/>
      <c r="L47" s="1384"/>
      <c r="P47" s="375"/>
      <c r="Q47" s="375"/>
    </row>
    <row r="48" spans="2:25" ht="31.9" thickBot="1">
      <c r="B48" s="362"/>
      <c r="C48" s="363" t="s">
        <v>156</v>
      </c>
      <c r="D48" s="363" t="s">
        <v>31</v>
      </c>
      <c r="E48" s="364" t="s">
        <v>32</v>
      </c>
      <c r="F48" s="364" t="s">
        <v>33</v>
      </c>
      <c r="G48" s="364" t="s">
        <v>34</v>
      </c>
      <c r="H48" s="364" t="s">
        <v>35</v>
      </c>
      <c r="I48" s="364" t="s">
        <v>37</v>
      </c>
      <c r="J48" s="366" t="s">
        <v>38</v>
      </c>
      <c r="K48" s="366" t="s">
        <v>39</v>
      </c>
      <c r="L48" s="367" t="s">
        <v>40</v>
      </c>
      <c r="T48" s="377"/>
      <c r="U48" s="377"/>
      <c r="V48" s="377"/>
    </row>
    <row r="49" spans="2:22">
      <c r="B49" s="348"/>
      <c r="C49" s="384">
        <v>1</v>
      </c>
      <c r="D49" s="389" t="s">
        <v>98</v>
      </c>
      <c r="E49" s="385" t="s">
        <v>99</v>
      </c>
      <c r="F49" s="390">
        <v>36</v>
      </c>
      <c r="G49" s="390">
        <v>1833</v>
      </c>
      <c r="H49" s="391">
        <v>1173</v>
      </c>
      <c r="I49" s="391">
        <v>36</v>
      </c>
      <c r="J49" s="390">
        <v>330</v>
      </c>
      <c r="K49" s="390">
        <v>330</v>
      </c>
      <c r="L49" s="392" t="s">
        <v>235</v>
      </c>
      <c r="P49" s="377"/>
      <c r="T49" s="377"/>
      <c r="U49" s="377"/>
      <c r="V49" s="377"/>
    </row>
    <row r="50" spans="2:22">
      <c r="B50" s="348"/>
      <c r="C50" s="349">
        <v>2</v>
      </c>
      <c r="D50" s="352" t="s">
        <v>100</v>
      </c>
      <c r="E50" s="339" t="s">
        <v>101</v>
      </c>
      <c r="F50" s="340">
        <v>36</v>
      </c>
      <c r="G50" s="340">
        <v>962</v>
      </c>
      <c r="H50" s="341">
        <v>962</v>
      </c>
      <c r="I50" s="341">
        <v>0</v>
      </c>
      <c r="J50" s="340">
        <v>234</v>
      </c>
      <c r="K50" s="340">
        <v>180</v>
      </c>
      <c r="L50" s="355"/>
      <c r="M50" s="353"/>
      <c r="P50" s="377"/>
      <c r="T50" s="377"/>
      <c r="U50" s="377"/>
      <c r="V50" s="377"/>
    </row>
    <row r="51" spans="2:22">
      <c r="B51" s="348"/>
      <c r="C51" s="349">
        <v>3</v>
      </c>
      <c r="D51" s="352" t="s">
        <v>104</v>
      </c>
      <c r="E51" s="339" t="s">
        <v>105</v>
      </c>
      <c r="F51" s="340">
        <v>24</v>
      </c>
      <c r="G51" s="340">
        <v>894</v>
      </c>
      <c r="H51" s="341">
        <v>384</v>
      </c>
      <c r="I51" s="341">
        <v>57</v>
      </c>
      <c r="J51" s="340">
        <v>356</v>
      </c>
      <c r="K51" s="340">
        <v>280</v>
      </c>
      <c r="L51" s="355"/>
      <c r="P51" s="377"/>
      <c r="T51" s="377"/>
      <c r="U51" s="377"/>
      <c r="V51" s="377"/>
    </row>
    <row r="52" spans="2:22">
      <c r="B52" s="348"/>
      <c r="C52" s="961">
        <v>4</v>
      </c>
      <c r="D52" s="967" t="s">
        <v>106</v>
      </c>
      <c r="E52" s="962" t="s">
        <v>103</v>
      </c>
      <c r="F52" s="968">
        <v>28</v>
      </c>
      <c r="G52" s="968">
        <v>904</v>
      </c>
      <c r="H52" s="964">
        <v>660</v>
      </c>
      <c r="I52" s="964">
        <v>27</v>
      </c>
      <c r="J52" s="968">
        <v>807</v>
      </c>
      <c r="K52" s="968">
        <v>310</v>
      </c>
      <c r="L52" s="969"/>
      <c r="P52" s="377"/>
      <c r="T52" s="377"/>
      <c r="U52" s="377"/>
      <c r="V52" s="377"/>
    </row>
    <row r="53" spans="2:22">
      <c r="B53" s="348"/>
      <c r="C53" s="349">
        <v>5</v>
      </c>
      <c r="D53" s="352" t="s">
        <v>107</v>
      </c>
      <c r="E53" s="339" t="s">
        <v>103</v>
      </c>
      <c r="F53" s="340">
        <v>28</v>
      </c>
      <c r="G53" s="341">
        <v>766</v>
      </c>
      <c r="H53" s="341">
        <v>353</v>
      </c>
      <c r="I53" s="341">
        <v>54</v>
      </c>
      <c r="J53" s="340">
        <v>222</v>
      </c>
      <c r="K53" s="340">
        <v>145</v>
      </c>
      <c r="L53" s="354"/>
      <c r="P53" s="377"/>
      <c r="T53" s="377"/>
      <c r="U53" s="377"/>
      <c r="V53" s="377"/>
    </row>
    <row r="54" spans="2:22">
      <c r="B54" s="348"/>
      <c r="C54" s="349">
        <v>6</v>
      </c>
      <c r="D54" s="352" t="s">
        <v>109</v>
      </c>
      <c r="E54" s="339" t="s">
        <v>110</v>
      </c>
      <c r="F54" s="340">
        <v>32</v>
      </c>
      <c r="G54" s="340">
        <v>1224</v>
      </c>
      <c r="H54" s="341">
        <v>600</v>
      </c>
      <c r="I54" s="341">
        <v>51</v>
      </c>
      <c r="J54" s="340">
        <v>182</v>
      </c>
      <c r="K54" s="340">
        <v>270</v>
      </c>
      <c r="L54" s="355"/>
      <c r="P54" s="377"/>
      <c r="T54" s="377"/>
      <c r="U54" s="377"/>
      <c r="V54" s="377"/>
    </row>
    <row r="55" spans="2:22">
      <c r="B55" s="348"/>
      <c r="C55" s="349">
        <v>7</v>
      </c>
      <c r="D55" s="352" t="s">
        <v>111</v>
      </c>
      <c r="E55" s="339" t="s">
        <v>99</v>
      </c>
      <c r="F55" s="340">
        <v>36</v>
      </c>
      <c r="G55" s="340">
        <v>2847</v>
      </c>
      <c r="H55" s="341">
        <v>1281</v>
      </c>
      <c r="I55" s="341">
        <v>55</v>
      </c>
      <c r="J55" s="340">
        <v>416</v>
      </c>
      <c r="K55" s="340">
        <v>385</v>
      </c>
      <c r="L55" s="355"/>
      <c r="P55" s="377"/>
      <c r="T55" s="377"/>
      <c r="U55" s="377"/>
      <c r="V55" s="377"/>
    </row>
    <row r="56" spans="2:22">
      <c r="B56" s="348"/>
      <c r="C56" s="349">
        <v>8</v>
      </c>
      <c r="D56" s="352" t="s">
        <v>112</v>
      </c>
      <c r="E56" s="339" t="s">
        <v>103</v>
      </c>
      <c r="F56" s="340">
        <v>56</v>
      </c>
      <c r="G56" s="340">
        <v>5900</v>
      </c>
      <c r="H56" s="341">
        <v>5900</v>
      </c>
      <c r="I56" s="341">
        <v>0</v>
      </c>
      <c r="J56" s="340">
        <v>412</v>
      </c>
      <c r="K56" s="340">
        <v>610</v>
      </c>
      <c r="L56" s="355"/>
      <c r="P56" s="377"/>
      <c r="T56" s="377"/>
      <c r="U56" s="377"/>
      <c r="V56" s="377"/>
    </row>
    <row r="57" spans="2:22">
      <c r="B57" s="348"/>
      <c r="C57" s="349">
        <v>9</v>
      </c>
      <c r="D57" s="352" t="s">
        <v>113</v>
      </c>
      <c r="E57" s="339" t="s">
        <v>103</v>
      </c>
      <c r="F57" s="340">
        <v>36</v>
      </c>
      <c r="G57" s="340">
        <v>2081</v>
      </c>
      <c r="H57" s="341">
        <v>1962</v>
      </c>
      <c r="I57" s="341">
        <v>6</v>
      </c>
      <c r="J57" s="340">
        <v>407</v>
      </c>
      <c r="K57" s="340">
        <v>430</v>
      </c>
      <c r="L57" s="355"/>
      <c r="P57" s="377"/>
      <c r="T57" s="377"/>
      <c r="U57" s="377"/>
      <c r="V57" s="377"/>
    </row>
    <row r="58" spans="2:22">
      <c r="B58" s="348"/>
      <c r="C58" s="349">
        <v>10</v>
      </c>
      <c r="D58" s="352" t="s">
        <v>114</v>
      </c>
      <c r="E58" s="339" t="s">
        <v>99</v>
      </c>
      <c r="F58" s="340">
        <v>40</v>
      </c>
      <c r="G58" s="340">
        <v>2352</v>
      </c>
      <c r="H58" s="341">
        <v>1388</v>
      </c>
      <c r="I58" s="341">
        <v>41</v>
      </c>
      <c r="J58" s="340">
        <v>344</v>
      </c>
      <c r="K58" s="340">
        <v>320</v>
      </c>
      <c r="L58" s="355"/>
      <c r="P58" s="377"/>
      <c r="T58" s="377"/>
      <c r="U58" s="377"/>
      <c r="V58" s="377"/>
    </row>
    <row r="59" spans="2:22">
      <c r="B59" s="348"/>
      <c r="C59" s="349">
        <v>11</v>
      </c>
      <c r="D59" s="352" t="s">
        <v>115</v>
      </c>
      <c r="E59" s="339" t="s">
        <v>105</v>
      </c>
      <c r="F59" s="340">
        <v>20</v>
      </c>
      <c r="G59" s="340">
        <v>790</v>
      </c>
      <c r="H59" s="341">
        <v>703</v>
      </c>
      <c r="I59" s="341">
        <v>11</v>
      </c>
      <c r="J59" s="340">
        <v>305</v>
      </c>
      <c r="K59" s="340">
        <v>520</v>
      </c>
      <c r="L59" s="355"/>
      <c r="P59" s="377"/>
      <c r="T59" s="377"/>
      <c r="U59" s="377"/>
      <c r="V59" s="377"/>
    </row>
    <row r="60" spans="2:22">
      <c r="B60" s="348"/>
      <c r="C60" s="349">
        <v>12</v>
      </c>
      <c r="D60" s="352" t="s">
        <v>116</v>
      </c>
      <c r="E60" s="339" t="s">
        <v>117</v>
      </c>
      <c r="F60" s="340">
        <v>28</v>
      </c>
      <c r="G60" s="340">
        <v>1108</v>
      </c>
      <c r="H60" s="341">
        <v>332</v>
      </c>
      <c r="I60" s="341">
        <v>70</v>
      </c>
      <c r="J60" s="340">
        <v>484</v>
      </c>
      <c r="K60" s="340">
        <v>370</v>
      </c>
      <c r="L60" s="355"/>
      <c r="P60" s="377"/>
      <c r="T60" s="377"/>
      <c r="U60" s="377"/>
      <c r="V60" s="377"/>
    </row>
    <row r="61" spans="2:22">
      <c r="B61" s="348"/>
      <c r="C61" s="349">
        <v>13</v>
      </c>
      <c r="D61" s="352" t="s">
        <v>118</v>
      </c>
      <c r="E61" s="339" t="s">
        <v>99</v>
      </c>
      <c r="F61" s="342">
        <v>24</v>
      </c>
      <c r="G61" s="342">
        <v>931</v>
      </c>
      <c r="H61" s="343">
        <v>427</v>
      </c>
      <c r="I61" s="343">
        <v>54</v>
      </c>
      <c r="J61" s="342">
        <v>380</v>
      </c>
      <c r="K61" s="342">
        <v>310</v>
      </c>
      <c r="L61" s="355"/>
      <c r="P61" s="377"/>
      <c r="T61" s="377"/>
      <c r="U61" s="377"/>
      <c r="V61" s="377"/>
    </row>
    <row r="62" spans="2:22">
      <c r="B62" s="348"/>
      <c r="C62" s="349">
        <v>14</v>
      </c>
      <c r="D62" s="352" t="s">
        <v>119</v>
      </c>
      <c r="E62" s="339" t="s">
        <v>103</v>
      </c>
      <c r="F62" s="340">
        <v>24</v>
      </c>
      <c r="G62" s="340">
        <v>702</v>
      </c>
      <c r="H62" s="341">
        <v>386</v>
      </c>
      <c r="I62" s="341">
        <v>45</v>
      </c>
      <c r="J62" s="340">
        <v>283</v>
      </c>
      <c r="K62" s="340">
        <v>170</v>
      </c>
      <c r="L62" s="355"/>
      <c r="P62" s="377"/>
      <c r="T62" s="377"/>
      <c r="U62" s="377"/>
      <c r="V62" s="377"/>
    </row>
    <row r="63" spans="2:22">
      <c r="B63" s="348"/>
      <c r="C63" s="349">
        <v>15</v>
      </c>
      <c r="D63" s="352" t="s">
        <v>120</v>
      </c>
      <c r="E63" s="339" t="s">
        <v>101</v>
      </c>
      <c r="F63" s="340">
        <v>20</v>
      </c>
      <c r="G63" s="340">
        <v>290</v>
      </c>
      <c r="H63" s="341">
        <v>131</v>
      </c>
      <c r="I63" s="341">
        <v>55</v>
      </c>
      <c r="J63" s="340">
        <v>377</v>
      </c>
      <c r="K63" s="340">
        <v>120</v>
      </c>
      <c r="L63" s="355"/>
      <c r="N63" s="378"/>
      <c r="P63" s="377"/>
      <c r="T63" s="377"/>
      <c r="U63" s="377"/>
      <c r="V63" s="377"/>
    </row>
    <row r="64" spans="2:22">
      <c r="B64" s="348"/>
      <c r="C64" s="349">
        <v>16</v>
      </c>
      <c r="D64" s="352" t="s">
        <v>121</v>
      </c>
      <c r="E64" s="339" t="s">
        <v>105</v>
      </c>
      <c r="F64" s="340">
        <v>24</v>
      </c>
      <c r="G64" s="340">
        <v>361</v>
      </c>
      <c r="H64" s="341">
        <v>220</v>
      </c>
      <c r="I64" s="341">
        <v>39</v>
      </c>
      <c r="J64" s="340">
        <v>334</v>
      </c>
      <c r="K64" s="340">
        <v>130</v>
      </c>
      <c r="L64" s="355" t="s">
        <v>165</v>
      </c>
      <c r="P64" s="377"/>
      <c r="T64" s="377"/>
      <c r="U64" s="377"/>
      <c r="V64" s="377"/>
    </row>
    <row r="65" spans="2:22">
      <c r="B65" s="348"/>
      <c r="C65" s="349">
        <v>17</v>
      </c>
      <c r="D65" s="352" t="s">
        <v>122</v>
      </c>
      <c r="E65" s="339" t="s">
        <v>110</v>
      </c>
      <c r="F65" s="340">
        <v>24</v>
      </c>
      <c r="G65" s="340">
        <v>1014</v>
      </c>
      <c r="H65" s="341">
        <v>892</v>
      </c>
      <c r="I65" s="341">
        <v>12</v>
      </c>
      <c r="J65" s="340">
        <v>494</v>
      </c>
      <c r="K65" s="340">
        <v>560</v>
      </c>
      <c r="L65" s="355"/>
      <c r="P65" s="377"/>
      <c r="T65" s="377"/>
      <c r="U65" s="377"/>
      <c r="V65" s="377"/>
    </row>
    <row r="66" spans="2:22">
      <c r="B66" s="348"/>
      <c r="C66" s="349">
        <v>18</v>
      </c>
      <c r="D66" s="352" t="s">
        <v>123</v>
      </c>
      <c r="E66" s="339" t="s">
        <v>124</v>
      </c>
      <c r="F66" s="340">
        <v>20</v>
      </c>
      <c r="G66" s="340">
        <v>1107</v>
      </c>
      <c r="H66" s="341">
        <v>321</v>
      </c>
      <c r="I66" s="341">
        <v>71</v>
      </c>
      <c r="J66" s="341">
        <v>779</v>
      </c>
      <c r="K66" s="341">
        <v>330</v>
      </c>
      <c r="L66" s="355" t="s">
        <v>165</v>
      </c>
      <c r="P66" s="377"/>
      <c r="T66" s="377"/>
      <c r="U66" s="377"/>
      <c r="V66" s="377"/>
    </row>
    <row r="67" spans="2:22">
      <c r="B67" s="348"/>
      <c r="C67" s="384">
        <v>19</v>
      </c>
      <c r="D67" s="389" t="s">
        <v>127</v>
      </c>
      <c r="E67" s="385" t="s">
        <v>101</v>
      </c>
      <c r="F67" s="393">
        <v>36</v>
      </c>
      <c r="G67" s="393">
        <v>3444</v>
      </c>
      <c r="H67" s="387">
        <v>890</v>
      </c>
      <c r="I67" s="387">
        <v>70</v>
      </c>
      <c r="J67" s="393">
        <v>221</v>
      </c>
      <c r="K67" s="393">
        <v>205</v>
      </c>
      <c r="L67" s="394" t="s">
        <v>235</v>
      </c>
      <c r="P67" s="377"/>
      <c r="T67" s="377"/>
      <c r="U67" s="377"/>
      <c r="V67" s="377"/>
    </row>
    <row r="68" spans="2:22">
      <c r="B68" s="348"/>
      <c r="C68" s="384">
        <v>20</v>
      </c>
      <c r="D68" s="389" t="s">
        <v>128</v>
      </c>
      <c r="E68" s="385" t="s">
        <v>105</v>
      </c>
      <c r="F68" s="393">
        <v>24</v>
      </c>
      <c r="G68" s="393">
        <v>801</v>
      </c>
      <c r="H68" s="387">
        <v>200</v>
      </c>
      <c r="I68" s="387">
        <v>75</v>
      </c>
      <c r="J68" s="393">
        <v>409</v>
      </c>
      <c r="K68" s="393">
        <v>200</v>
      </c>
      <c r="L68" s="394" t="s">
        <v>239</v>
      </c>
      <c r="P68" s="377"/>
      <c r="T68" s="377"/>
      <c r="U68" s="377"/>
      <c r="V68" s="377"/>
    </row>
    <row r="69" spans="2:22">
      <c r="B69" s="348"/>
      <c r="C69" s="349">
        <v>21</v>
      </c>
      <c r="D69" s="352" t="s">
        <v>129</v>
      </c>
      <c r="E69" s="339" t="s">
        <v>99</v>
      </c>
      <c r="F69" s="970">
        <v>20</v>
      </c>
      <c r="G69" s="970">
        <v>735</v>
      </c>
      <c r="H69" s="971">
        <v>339</v>
      </c>
      <c r="I69" s="971">
        <v>54</v>
      </c>
      <c r="J69" s="970">
        <v>325</v>
      </c>
      <c r="K69" s="970">
        <v>160</v>
      </c>
      <c r="L69" s="969" t="s">
        <v>165</v>
      </c>
      <c r="M69" s="303"/>
      <c r="P69" s="377"/>
      <c r="T69" s="377"/>
      <c r="U69" s="377"/>
      <c r="V69" s="377"/>
    </row>
    <row r="70" spans="2:22">
      <c r="B70" s="348"/>
      <c r="C70" s="349">
        <v>22</v>
      </c>
      <c r="D70" s="352" t="s">
        <v>130</v>
      </c>
      <c r="E70" s="339" t="s">
        <v>105</v>
      </c>
      <c r="F70" s="340">
        <v>24</v>
      </c>
      <c r="G70" s="340">
        <v>387</v>
      </c>
      <c r="H70" s="341">
        <v>128</v>
      </c>
      <c r="I70" s="341">
        <v>67</v>
      </c>
      <c r="J70" s="340">
        <v>686</v>
      </c>
      <c r="K70" s="340">
        <v>180</v>
      </c>
      <c r="L70" s="355"/>
      <c r="P70" s="377"/>
      <c r="T70" s="377"/>
      <c r="U70" s="377"/>
      <c r="V70" s="377"/>
    </row>
    <row r="71" spans="2:22">
      <c r="B71" s="348"/>
      <c r="C71" s="349">
        <v>23</v>
      </c>
      <c r="D71" s="352" t="s">
        <v>131</v>
      </c>
      <c r="E71" s="339" t="s">
        <v>110</v>
      </c>
      <c r="F71" s="340">
        <v>24</v>
      </c>
      <c r="G71" s="340">
        <v>822</v>
      </c>
      <c r="H71" s="341">
        <v>394</v>
      </c>
      <c r="I71" s="341">
        <v>52</v>
      </c>
      <c r="J71" s="340">
        <v>476</v>
      </c>
      <c r="K71" s="340">
        <v>375</v>
      </c>
      <c r="L71" s="355"/>
      <c r="P71" s="377"/>
      <c r="T71" s="377"/>
      <c r="U71" s="377"/>
      <c r="V71" s="377"/>
    </row>
    <row r="72" spans="2:22" ht="30">
      <c r="B72" s="348"/>
      <c r="C72" s="349">
        <v>24</v>
      </c>
      <c r="D72" s="352" t="s">
        <v>132</v>
      </c>
      <c r="E72" s="339" t="s">
        <v>133</v>
      </c>
      <c r="F72" s="340">
        <v>20</v>
      </c>
      <c r="G72" s="340">
        <v>893</v>
      </c>
      <c r="H72" s="341">
        <v>286</v>
      </c>
      <c r="I72" s="341">
        <v>68</v>
      </c>
      <c r="J72" s="340">
        <v>200</v>
      </c>
      <c r="K72" s="340">
        <v>150</v>
      </c>
      <c r="L72" s="355"/>
      <c r="P72" s="377"/>
      <c r="T72" s="377"/>
      <c r="U72" s="377"/>
      <c r="V72" s="377"/>
    </row>
    <row r="73" spans="2:22">
      <c r="B73" s="348"/>
      <c r="C73" s="349">
        <v>25</v>
      </c>
      <c r="D73" s="352" t="s">
        <v>134</v>
      </c>
      <c r="E73" s="339" t="s">
        <v>135</v>
      </c>
      <c r="F73" s="340">
        <v>20</v>
      </c>
      <c r="G73" s="341">
        <v>397</v>
      </c>
      <c r="H73" s="341">
        <v>163</v>
      </c>
      <c r="I73" s="341">
        <v>55</v>
      </c>
      <c r="J73" s="340">
        <v>2528</v>
      </c>
      <c r="K73" s="340">
        <v>560</v>
      </c>
      <c r="L73" s="355"/>
      <c r="P73" s="377"/>
      <c r="T73" s="377"/>
      <c r="U73" s="377"/>
      <c r="V73" s="377"/>
    </row>
    <row r="74" spans="2:22">
      <c r="B74" s="348"/>
      <c r="C74" s="349">
        <v>26</v>
      </c>
      <c r="D74" s="352" t="s">
        <v>136</v>
      </c>
      <c r="E74" s="339" t="s">
        <v>105</v>
      </c>
      <c r="F74" s="340">
        <v>40</v>
      </c>
      <c r="G74" s="340">
        <v>2454</v>
      </c>
      <c r="H74" s="341">
        <v>1178</v>
      </c>
      <c r="I74" s="341">
        <v>52</v>
      </c>
      <c r="J74" s="340">
        <v>235</v>
      </c>
      <c r="K74" s="340">
        <v>280</v>
      </c>
      <c r="L74" s="355"/>
      <c r="P74" s="377"/>
      <c r="T74" s="377"/>
      <c r="U74" s="377"/>
      <c r="V74" s="377"/>
    </row>
    <row r="75" spans="2:22" ht="15.6" thickBot="1">
      <c r="B75" s="348"/>
      <c r="C75" s="384">
        <v>27</v>
      </c>
      <c r="D75" s="389" t="s">
        <v>137</v>
      </c>
      <c r="E75" s="385" t="s">
        <v>110</v>
      </c>
      <c r="F75" s="395">
        <v>40</v>
      </c>
      <c r="G75" s="395">
        <v>2293</v>
      </c>
      <c r="H75" s="396">
        <v>835</v>
      </c>
      <c r="I75" s="396">
        <v>64</v>
      </c>
      <c r="J75" s="395">
        <v>348</v>
      </c>
      <c r="K75" s="395">
        <v>260</v>
      </c>
      <c r="L75" s="397" t="s">
        <v>235</v>
      </c>
      <c r="P75" s="377"/>
      <c r="T75" s="377"/>
      <c r="U75" s="377"/>
      <c r="V75" s="377"/>
    </row>
    <row r="76" spans="2:22" ht="36.950000000000003" customHeight="1" thickBot="1">
      <c r="D76" s="369"/>
      <c r="E76" s="1271" t="s">
        <v>168</v>
      </c>
      <c r="F76" s="1382"/>
      <c r="G76" s="379">
        <f>SUM(G49:G75)</f>
        <v>38292</v>
      </c>
      <c r="H76" s="379">
        <f>SUM(H49:H75)</f>
        <v>22488</v>
      </c>
      <c r="I76" s="207"/>
      <c r="J76" s="266"/>
      <c r="K76" s="207"/>
      <c r="T76" s="377"/>
      <c r="U76" s="377"/>
      <c r="V76" s="377"/>
    </row>
    <row r="77" spans="2:22" ht="16.149999999999999" thickBot="1">
      <c r="E77" s="1271"/>
      <c r="F77" s="1382"/>
      <c r="G77" s="1"/>
      <c r="H77" s="372">
        <v>22400</v>
      </c>
      <c r="I77" s="1"/>
      <c r="K77" s="1"/>
    </row>
    <row r="78" spans="2:22" ht="15.6" thickBot="1">
      <c r="E78" s="1"/>
      <c r="F78" s="1"/>
      <c r="G78" s="1"/>
      <c r="H78" s="1"/>
      <c r="I78" s="1"/>
      <c r="J78" s="1"/>
      <c r="K78" s="1"/>
    </row>
    <row r="79" spans="2:22" ht="25.5" customHeight="1" thickBot="1">
      <c r="D79" s="1270" t="s">
        <v>240</v>
      </c>
      <c r="E79" s="1383"/>
      <c r="F79" s="1383"/>
      <c r="G79" s="1383"/>
      <c r="H79" s="1383"/>
      <c r="I79" s="1383"/>
      <c r="J79" s="1383"/>
      <c r="K79" s="1383"/>
      <c r="L79" s="1384"/>
    </row>
    <row r="80" spans="2:22" ht="31.9" thickBot="1">
      <c r="B80" s="362"/>
      <c r="C80" s="363" t="s">
        <v>156</v>
      </c>
      <c r="D80" s="363" t="s">
        <v>31</v>
      </c>
      <c r="E80" s="364" t="s">
        <v>32</v>
      </c>
      <c r="F80" s="364" t="s">
        <v>33</v>
      </c>
      <c r="G80" s="356" t="s">
        <v>34</v>
      </c>
      <c r="H80" s="356" t="s">
        <v>35</v>
      </c>
      <c r="I80" s="364" t="s">
        <v>37</v>
      </c>
      <c r="J80" s="366" t="s">
        <v>38</v>
      </c>
      <c r="K80" s="366" t="s">
        <v>39</v>
      </c>
      <c r="L80" s="380" t="s">
        <v>40</v>
      </c>
    </row>
    <row r="81" spans="2:16" ht="15.6">
      <c r="B81" s="348"/>
      <c r="C81" s="349">
        <v>1</v>
      </c>
      <c r="D81" s="357" t="s">
        <v>139</v>
      </c>
      <c r="E81" s="381" t="s">
        <v>140</v>
      </c>
      <c r="F81" s="356">
        <v>20</v>
      </c>
      <c r="G81" s="341">
        <v>502.02384432635614</v>
      </c>
      <c r="H81" s="341">
        <v>441.78093461567016</v>
      </c>
      <c r="I81" s="356">
        <v>12</v>
      </c>
      <c r="J81" s="953">
        <v>311</v>
      </c>
      <c r="K81" s="356">
        <v>240</v>
      </c>
      <c r="L81" s="358"/>
      <c r="P81" s="1"/>
    </row>
    <row r="82" spans="2:16" ht="15.6">
      <c r="B82" s="348"/>
      <c r="C82" s="349">
        <v>2</v>
      </c>
      <c r="D82" s="359" t="s">
        <v>142</v>
      </c>
      <c r="E82" s="382" t="s">
        <v>143</v>
      </c>
      <c r="F82" s="340">
        <v>24</v>
      </c>
      <c r="G82" s="350">
        <v>458.35694681826453</v>
      </c>
      <c r="H82" s="350">
        <v>407.93771795374113</v>
      </c>
      <c r="I82" s="340">
        <v>11</v>
      </c>
      <c r="J82" s="953">
        <v>526</v>
      </c>
      <c r="K82" s="356">
        <v>260</v>
      </c>
      <c r="L82" s="358"/>
      <c r="P82" s="1"/>
    </row>
    <row r="83" spans="2:16" ht="15.6">
      <c r="B83" s="348"/>
      <c r="C83" s="349">
        <v>3</v>
      </c>
      <c r="D83" s="359" t="s">
        <v>144</v>
      </c>
      <c r="E83" s="382" t="s">
        <v>140</v>
      </c>
      <c r="F83" s="340">
        <v>32</v>
      </c>
      <c r="G83" s="341">
        <v>1807.2832586936433</v>
      </c>
      <c r="H83" s="341">
        <v>1373.5359218274787</v>
      </c>
      <c r="I83" s="340">
        <v>24</v>
      </c>
      <c r="J83" s="953">
        <v>1321</v>
      </c>
      <c r="K83" s="356">
        <v>900</v>
      </c>
      <c r="L83" s="358"/>
      <c r="P83" s="1"/>
    </row>
    <row r="84" spans="2:16" ht="16.149999999999999" thickBot="1">
      <c r="B84" s="348"/>
      <c r="C84" s="351">
        <v>4</v>
      </c>
      <c r="D84" s="360" t="s">
        <v>145</v>
      </c>
      <c r="E84" s="383" t="s">
        <v>146</v>
      </c>
      <c r="F84" s="345">
        <v>36</v>
      </c>
      <c r="G84" s="341">
        <v>2126.2116251395114</v>
      </c>
      <c r="H84" s="341">
        <v>1966.7454256031099</v>
      </c>
      <c r="I84" s="341">
        <v>7.5</v>
      </c>
      <c r="J84" s="953">
        <v>404</v>
      </c>
      <c r="K84" s="356">
        <v>520</v>
      </c>
      <c r="L84" s="361"/>
      <c r="P84" s="1"/>
    </row>
    <row r="85" spans="2:16" ht="19.5" customHeight="1" thickBot="1">
      <c r="D85" s="369"/>
      <c r="E85" s="370"/>
      <c r="F85" s="370"/>
      <c r="G85" s="379">
        <f>SUM(G81:G84)</f>
        <v>4893.8756749777749</v>
      </c>
      <c r="H85" s="379">
        <f>SUM(H81:H84)</f>
        <v>4190</v>
      </c>
      <c r="I85" s="207"/>
      <c r="J85" s="207"/>
      <c r="K85" s="207"/>
    </row>
    <row r="86" spans="2:16" ht="28.5" customHeight="1" thickBot="1">
      <c r="E86" s="1271" t="s">
        <v>168</v>
      </c>
      <c r="F86" s="1382"/>
      <c r="G86" s="1"/>
      <c r="H86" s="372">
        <f>(H85*1)</f>
        <v>4190</v>
      </c>
      <c r="I86" s="1"/>
      <c r="K86" s="1"/>
    </row>
    <row r="87" spans="2:16">
      <c r="E87" s="1"/>
      <c r="F87" s="1"/>
      <c r="G87" s="1"/>
      <c r="H87" s="1"/>
      <c r="I87" s="1"/>
      <c r="J87" s="1"/>
      <c r="K87" s="1"/>
    </row>
    <row r="88" spans="2:16">
      <c r="E88" s="1"/>
      <c r="F88" s="1"/>
      <c r="G88" s="1"/>
      <c r="H88" s="1"/>
      <c r="I88" s="1"/>
      <c r="J88" s="1"/>
      <c r="K88" s="1"/>
    </row>
    <row r="89" spans="2:16">
      <c r="E89" s="1"/>
      <c r="F89" s="1"/>
      <c r="G89" s="1"/>
      <c r="H89" s="1"/>
      <c r="I89" s="1"/>
      <c r="J89" s="1"/>
      <c r="K89" s="1"/>
    </row>
    <row r="90" spans="2:16">
      <c r="E90" s="1"/>
      <c r="F90" s="1"/>
      <c r="G90" s="1"/>
      <c r="H90" s="1"/>
      <c r="I90" s="1"/>
      <c r="J90" s="1"/>
      <c r="K90" s="1"/>
    </row>
    <row r="91" spans="2:16">
      <c r="E91" s="1"/>
      <c r="F91" s="1"/>
      <c r="G91" s="1"/>
      <c r="H91" s="1"/>
      <c r="I91" s="1"/>
      <c r="J91" s="1"/>
      <c r="K91" s="1"/>
    </row>
    <row r="92" spans="2:16">
      <c r="E92" s="1"/>
      <c r="F92" s="1"/>
      <c r="G92" s="1"/>
      <c r="H92" s="1"/>
      <c r="I92" s="1"/>
      <c r="J92" s="1"/>
      <c r="K92" s="1"/>
    </row>
    <row r="93" spans="2:16">
      <c r="E93" s="1"/>
      <c r="F93" s="1"/>
      <c r="G93" s="1"/>
      <c r="H93" s="1"/>
      <c r="I93" s="1"/>
      <c r="J93" s="1"/>
      <c r="K93" s="1"/>
    </row>
    <row r="94" spans="2:16">
      <c r="E94" s="1"/>
      <c r="F94" s="1"/>
      <c r="G94" s="1"/>
      <c r="H94" s="1"/>
      <c r="I94" s="1"/>
      <c r="J94" s="1"/>
      <c r="K94" s="1"/>
    </row>
    <row r="95" spans="2:16">
      <c r="E95" s="1"/>
      <c r="F95" s="1"/>
      <c r="G95" s="1"/>
      <c r="H95" s="1"/>
      <c r="I95" s="1"/>
      <c r="J95" s="1"/>
      <c r="K95" s="1"/>
    </row>
    <row r="96" spans="2:16">
      <c r="E96" s="1"/>
      <c r="F96" s="1"/>
      <c r="G96" s="1"/>
      <c r="H96" s="1"/>
      <c r="I96" s="1"/>
      <c r="J96" s="1"/>
      <c r="K96" s="1"/>
    </row>
    <row r="97" spans="5:11">
      <c r="E97" s="1"/>
      <c r="F97" s="1"/>
      <c r="G97" s="1"/>
      <c r="H97" s="1"/>
      <c r="I97" s="1"/>
      <c r="J97" s="1"/>
      <c r="K97" s="1"/>
    </row>
    <row r="98" spans="5:11">
      <c r="E98" s="1"/>
      <c r="F98" s="1"/>
      <c r="G98" s="1"/>
      <c r="H98" s="1"/>
      <c r="I98" s="1"/>
      <c r="J98" s="1"/>
      <c r="K98" s="1"/>
    </row>
    <row r="99" spans="5:11">
      <c r="E99" s="1"/>
      <c r="F99" s="1"/>
      <c r="G99" s="1"/>
      <c r="H99" s="1"/>
      <c r="I99" s="1"/>
      <c r="J99" s="1"/>
      <c r="K99" s="1"/>
    </row>
    <row r="100" spans="5:11">
      <c r="E100" s="1"/>
      <c r="F100" s="1"/>
      <c r="G100" s="1"/>
      <c r="H100" s="1"/>
      <c r="I100" s="1"/>
      <c r="J100" s="1"/>
      <c r="K100" s="1"/>
    </row>
    <row r="101" spans="5:11">
      <c r="E101" s="1"/>
      <c r="F101" s="1"/>
      <c r="G101" s="1"/>
      <c r="H101" s="1"/>
      <c r="I101" s="1"/>
      <c r="J101" s="1"/>
      <c r="K101" s="1"/>
    </row>
    <row r="102" spans="5:11">
      <c r="E102" s="1"/>
      <c r="F102" s="1"/>
      <c r="G102" s="1"/>
      <c r="H102" s="1"/>
      <c r="I102" s="1"/>
      <c r="J102" s="1"/>
      <c r="K102" s="1"/>
    </row>
    <row r="103" spans="5:11">
      <c r="E103" s="1"/>
      <c r="F103" s="1"/>
      <c r="G103" s="1"/>
      <c r="H103" s="1"/>
      <c r="I103" s="1"/>
      <c r="J103" s="1"/>
      <c r="K103" s="1"/>
    </row>
    <row r="104" spans="5:11">
      <c r="E104" s="1"/>
      <c r="F104" s="1"/>
      <c r="G104" s="1"/>
      <c r="H104" s="1"/>
      <c r="I104" s="1"/>
      <c r="J104" s="1"/>
      <c r="K104" s="1"/>
    </row>
    <row r="105" spans="5:11">
      <c r="E105" s="1"/>
      <c r="F105" s="1"/>
      <c r="G105" s="1"/>
      <c r="H105" s="1"/>
      <c r="I105" s="1"/>
      <c r="J105" s="1"/>
      <c r="K105" s="1"/>
    </row>
    <row r="106" spans="5:11">
      <c r="E106" s="1"/>
      <c r="F106" s="1"/>
      <c r="G106" s="1"/>
      <c r="H106" s="1"/>
      <c r="I106" s="1"/>
      <c r="J106" s="1"/>
      <c r="K106" s="1"/>
    </row>
    <row r="107" spans="5:11">
      <c r="E107" s="1"/>
      <c r="F107" s="1"/>
      <c r="G107" s="1"/>
      <c r="H107" s="1"/>
      <c r="I107" s="1"/>
      <c r="J107" s="1"/>
      <c r="K107" s="1"/>
    </row>
    <row r="108" spans="5:11">
      <c r="E108" s="1"/>
      <c r="F108" s="1"/>
      <c r="G108" s="1"/>
      <c r="H108" s="1"/>
      <c r="I108" s="1"/>
      <c r="J108" s="1"/>
      <c r="K108" s="1"/>
    </row>
    <row r="109" spans="5:11">
      <c r="E109" s="1"/>
      <c r="F109" s="1"/>
      <c r="G109" s="1"/>
      <c r="H109" s="1"/>
      <c r="I109" s="1"/>
      <c r="J109" s="1"/>
      <c r="K109" s="1"/>
    </row>
    <row r="110" spans="5:11">
      <c r="E110" s="1"/>
      <c r="F110" s="1"/>
      <c r="G110" s="1"/>
      <c r="H110" s="1"/>
      <c r="I110" s="1"/>
      <c r="J110" s="1"/>
      <c r="K110" s="1"/>
    </row>
    <row r="111" spans="5:11">
      <c r="E111" s="1"/>
      <c r="F111" s="1"/>
      <c r="G111" s="1"/>
      <c r="H111" s="1"/>
      <c r="I111" s="1"/>
      <c r="J111" s="1"/>
      <c r="K111" s="1"/>
    </row>
    <row r="112" spans="5:11">
      <c r="E112" s="1"/>
      <c r="F112" s="1"/>
      <c r="G112" s="1"/>
      <c r="H112" s="1"/>
      <c r="I112" s="1"/>
      <c r="J112" s="1"/>
      <c r="K112" s="1"/>
    </row>
    <row r="113" spans="5:11">
      <c r="E113" s="1"/>
      <c r="F113" s="1"/>
      <c r="G113" s="1"/>
      <c r="H113" s="1"/>
      <c r="I113" s="1"/>
      <c r="J113" s="1"/>
      <c r="K113" s="1"/>
    </row>
    <row r="114" spans="5:11">
      <c r="E114" s="1"/>
      <c r="F114" s="1"/>
      <c r="G114" s="1"/>
      <c r="H114" s="1"/>
      <c r="I114" s="1"/>
      <c r="J114" s="1"/>
      <c r="K114" s="1"/>
    </row>
    <row r="115" spans="5:11">
      <c r="E115" s="1"/>
      <c r="F115" s="1"/>
      <c r="G115" s="1"/>
      <c r="H115" s="1"/>
      <c r="I115" s="1"/>
      <c r="J115" s="1"/>
      <c r="K115" s="1"/>
    </row>
    <row r="116" spans="5:11">
      <c r="E116" s="1"/>
      <c r="F116" s="1"/>
      <c r="G116" s="1"/>
      <c r="H116" s="1"/>
      <c r="I116" s="1"/>
      <c r="J116" s="1"/>
      <c r="K116" s="1"/>
    </row>
    <row r="117" spans="5:11">
      <c r="E117" s="1"/>
      <c r="F117" s="1"/>
      <c r="G117" s="1"/>
      <c r="H117" s="1"/>
      <c r="I117" s="1"/>
      <c r="J117" s="1"/>
      <c r="K117" s="1"/>
    </row>
    <row r="118" spans="5:11">
      <c r="E118" s="1"/>
      <c r="F118" s="1"/>
      <c r="G118" s="1"/>
      <c r="H118" s="1"/>
      <c r="I118" s="1"/>
      <c r="J118" s="1"/>
      <c r="K118" s="1"/>
    </row>
    <row r="119" spans="5:11">
      <c r="E119" s="1"/>
      <c r="F119" s="1"/>
      <c r="G119" s="1"/>
      <c r="H119" s="1"/>
      <c r="I119" s="1"/>
      <c r="J119" s="1"/>
      <c r="K119" s="1"/>
    </row>
    <row r="120" spans="5:11">
      <c r="E120" s="1"/>
      <c r="F120" s="1"/>
      <c r="G120" s="1"/>
      <c r="H120" s="1"/>
      <c r="I120" s="1"/>
      <c r="J120" s="1"/>
      <c r="K120" s="1"/>
    </row>
    <row r="121" spans="5:11">
      <c r="E121" s="1"/>
      <c r="F121" s="1"/>
      <c r="G121" s="1"/>
      <c r="H121" s="1"/>
      <c r="I121" s="1"/>
      <c r="J121" s="1"/>
      <c r="K121" s="1"/>
    </row>
    <row r="122" spans="5:11">
      <c r="E122" s="1"/>
      <c r="F122" s="1"/>
      <c r="G122" s="1"/>
      <c r="H122" s="1"/>
      <c r="I122" s="1"/>
      <c r="J122" s="1"/>
      <c r="K122" s="1"/>
    </row>
    <row r="123" spans="5:11">
      <c r="E123" s="1"/>
      <c r="F123" s="1"/>
      <c r="G123" s="1"/>
      <c r="H123" s="1"/>
      <c r="I123" s="1"/>
      <c r="J123" s="1"/>
      <c r="K123" s="1"/>
    </row>
    <row r="124" spans="5:11">
      <c r="E124" s="1"/>
      <c r="F124" s="1"/>
      <c r="G124" s="1"/>
      <c r="H124" s="1"/>
      <c r="I124" s="1"/>
      <c r="J124" s="1"/>
      <c r="K124" s="1"/>
    </row>
    <row r="125" spans="5:11">
      <c r="E125" s="1"/>
      <c r="F125" s="1"/>
      <c r="G125" s="1"/>
      <c r="H125" s="1"/>
      <c r="I125" s="1"/>
      <c r="J125" s="1"/>
      <c r="K125" s="1"/>
    </row>
    <row r="126" spans="5:11">
      <c r="E126" s="1"/>
      <c r="F126" s="1"/>
      <c r="G126" s="1"/>
      <c r="H126" s="1"/>
      <c r="I126" s="1"/>
      <c r="J126" s="1"/>
      <c r="K126" s="1"/>
    </row>
    <row r="127" spans="5:11">
      <c r="E127" s="1"/>
      <c r="F127" s="1"/>
      <c r="G127" s="1"/>
      <c r="H127" s="1"/>
      <c r="I127" s="1"/>
      <c r="J127" s="1"/>
      <c r="K127" s="1"/>
    </row>
    <row r="128" spans="5:11">
      <c r="E128" s="1"/>
      <c r="F128" s="1"/>
      <c r="G128" s="1"/>
      <c r="H128" s="1"/>
      <c r="I128" s="1"/>
      <c r="J128" s="1"/>
      <c r="K128" s="1"/>
    </row>
    <row r="129" spans="5:11">
      <c r="E129" s="1"/>
      <c r="F129" s="1"/>
      <c r="G129" s="1"/>
      <c r="H129" s="1"/>
      <c r="I129" s="1"/>
      <c r="J129" s="1"/>
      <c r="K129" s="1"/>
    </row>
    <row r="130" spans="5:11">
      <c r="E130" s="1"/>
      <c r="F130" s="1"/>
      <c r="G130" s="1"/>
      <c r="H130" s="1"/>
      <c r="I130" s="1"/>
      <c r="J130" s="1"/>
      <c r="K130" s="1"/>
    </row>
    <row r="131" spans="5:11">
      <c r="E131" s="1"/>
      <c r="F131" s="1"/>
      <c r="G131" s="1"/>
      <c r="H131" s="1"/>
      <c r="I131" s="1"/>
      <c r="J131" s="1"/>
      <c r="K131" s="1"/>
    </row>
    <row r="132" spans="5:11">
      <c r="E132" s="1"/>
      <c r="F132" s="1"/>
      <c r="G132" s="1"/>
      <c r="H132" s="1"/>
      <c r="I132" s="1"/>
      <c r="J132" s="1"/>
      <c r="K132" s="1"/>
    </row>
    <row r="133" spans="5:11">
      <c r="E133" s="1"/>
      <c r="F133" s="1"/>
      <c r="G133" s="1"/>
      <c r="H133" s="1"/>
      <c r="I133" s="1"/>
      <c r="J133" s="1"/>
      <c r="K133" s="1"/>
    </row>
    <row r="134" spans="5:11">
      <c r="E134" s="1"/>
      <c r="F134" s="1"/>
      <c r="G134" s="1"/>
      <c r="H134" s="1"/>
      <c r="I134" s="1"/>
      <c r="J134" s="1"/>
      <c r="K134" s="1"/>
    </row>
    <row r="135" spans="5:11">
      <c r="E135" s="1"/>
      <c r="F135" s="1"/>
      <c r="G135" s="1"/>
      <c r="H135" s="1"/>
      <c r="I135" s="1"/>
      <c r="J135" s="1"/>
      <c r="K135" s="1"/>
    </row>
    <row r="136" spans="5:11">
      <c r="E136" s="1"/>
      <c r="F136" s="1"/>
      <c r="G136" s="1"/>
      <c r="H136" s="1"/>
      <c r="I136" s="1"/>
      <c r="J136" s="1"/>
      <c r="K136" s="1"/>
    </row>
    <row r="137" spans="5:11">
      <c r="E137" s="1"/>
      <c r="F137" s="1"/>
      <c r="G137" s="1"/>
      <c r="H137" s="1"/>
      <c r="I137" s="1"/>
      <c r="J137" s="1"/>
      <c r="K137" s="1"/>
    </row>
    <row r="138" spans="5:11">
      <c r="E138" s="1"/>
      <c r="F138" s="1"/>
      <c r="G138" s="1"/>
      <c r="H138" s="1"/>
      <c r="I138" s="1"/>
      <c r="J138" s="1"/>
      <c r="K138" s="1"/>
    </row>
    <row r="139" spans="5:11">
      <c r="E139" s="1"/>
      <c r="F139" s="1"/>
      <c r="G139" s="1"/>
      <c r="H139" s="1"/>
      <c r="I139" s="1"/>
      <c r="J139" s="1"/>
      <c r="K139" s="1"/>
    </row>
    <row r="140" spans="5:11">
      <c r="E140" s="1"/>
      <c r="F140" s="1"/>
      <c r="G140" s="1"/>
      <c r="H140" s="1"/>
      <c r="I140" s="1"/>
      <c r="J140" s="1"/>
      <c r="K140" s="1"/>
    </row>
    <row r="141" spans="5:11">
      <c r="E141" s="1"/>
      <c r="F141" s="1"/>
      <c r="G141" s="1"/>
      <c r="H141" s="1"/>
      <c r="I141" s="1"/>
      <c r="J141" s="1"/>
      <c r="K141" s="1"/>
    </row>
    <row r="142" spans="5:11">
      <c r="E142" s="1"/>
      <c r="F142" s="1"/>
      <c r="G142" s="1"/>
      <c r="H142" s="1"/>
      <c r="I142" s="1"/>
      <c r="J142" s="1"/>
      <c r="K142" s="1"/>
    </row>
    <row r="143" spans="5:11">
      <c r="E143" s="1"/>
      <c r="F143" s="1"/>
      <c r="G143" s="1"/>
      <c r="H143" s="1"/>
      <c r="I143" s="1"/>
      <c r="J143" s="1"/>
      <c r="K143" s="1"/>
    </row>
    <row r="144" spans="5:11">
      <c r="E144" s="1"/>
      <c r="F144" s="1"/>
      <c r="G144" s="1"/>
      <c r="H144" s="1"/>
      <c r="I144" s="1"/>
      <c r="J144" s="1"/>
      <c r="K144" s="1"/>
    </row>
    <row r="145" spans="5:11">
      <c r="E145" s="1"/>
      <c r="F145" s="1"/>
      <c r="G145" s="1"/>
      <c r="H145" s="1"/>
      <c r="I145" s="1"/>
      <c r="J145" s="1"/>
      <c r="K145" s="1"/>
    </row>
    <row r="146" spans="5:11">
      <c r="E146" s="1"/>
      <c r="F146" s="1"/>
      <c r="G146" s="1"/>
      <c r="H146" s="1"/>
      <c r="I146" s="1"/>
      <c r="J146" s="1"/>
      <c r="K146" s="1"/>
    </row>
    <row r="147" spans="5:11">
      <c r="E147" s="1"/>
      <c r="F147" s="1"/>
      <c r="G147" s="1"/>
      <c r="H147" s="1"/>
      <c r="I147" s="1"/>
      <c r="J147" s="1"/>
      <c r="K147" s="1"/>
    </row>
    <row r="148" spans="5:11">
      <c r="E148" s="1"/>
      <c r="F148" s="1"/>
      <c r="G148" s="1"/>
      <c r="H148" s="1"/>
      <c r="I148" s="1"/>
      <c r="J148" s="1"/>
      <c r="K148" s="1"/>
    </row>
    <row r="149" spans="5:11">
      <c r="E149" s="1"/>
      <c r="F149" s="1"/>
      <c r="G149" s="1"/>
      <c r="H149" s="1"/>
      <c r="I149" s="1"/>
      <c r="J149" s="1"/>
      <c r="K149" s="1"/>
    </row>
    <row r="150" spans="5:11">
      <c r="E150" s="1"/>
      <c r="F150" s="1"/>
      <c r="G150" s="1"/>
      <c r="H150" s="1"/>
      <c r="I150" s="1"/>
      <c r="J150" s="1"/>
      <c r="K150" s="1"/>
    </row>
    <row r="151" spans="5:11">
      <c r="E151" s="1"/>
      <c r="F151" s="1"/>
      <c r="G151" s="1"/>
      <c r="H151" s="1"/>
      <c r="I151" s="1"/>
      <c r="J151" s="1"/>
      <c r="K151" s="1"/>
    </row>
    <row r="152" spans="5:11">
      <c r="E152" s="1"/>
      <c r="F152" s="1"/>
      <c r="G152" s="1"/>
      <c r="H152" s="1"/>
      <c r="I152" s="1"/>
      <c r="J152" s="1"/>
      <c r="K152" s="1"/>
    </row>
    <row r="153" spans="5:11">
      <c r="E153" s="1"/>
      <c r="F153" s="1"/>
      <c r="G153" s="1"/>
      <c r="H153" s="1"/>
      <c r="I153" s="1"/>
      <c r="J153" s="1"/>
      <c r="K153" s="1"/>
    </row>
    <row r="154" spans="5:11">
      <c r="E154" s="1"/>
      <c r="F154" s="1"/>
      <c r="G154" s="1"/>
      <c r="H154" s="1"/>
      <c r="I154" s="1"/>
      <c r="J154" s="1"/>
      <c r="K154" s="1"/>
    </row>
    <row r="155" spans="5:11">
      <c r="E155" s="1"/>
      <c r="F155" s="1"/>
      <c r="G155" s="1"/>
      <c r="H155" s="1"/>
      <c r="I155" s="1"/>
      <c r="J155" s="1"/>
      <c r="K155" s="1"/>
    </row>
    <row r="156" spans="5:11">
      <c r="E156" s="1"/>
      <c r="F156" s="1"/>
      <c r="G156" s="1"/>
      <c r="H156" s="1"/>
      <c r="I156" s="1"/>
      <c r="J156" s="1"/>
      <c r="K156" s="1"/>
    </row>
    <row r="157" spans="5:11">
      <c r="E157" s="1"/>
      <c r="F157" s="1"/>
      <c r="G157" s="1"/>
      <c r="H157" s="1"/>
      <c r="I157" s="1"/>
      <c r="J157" s="1"/>
      <c r="K157" s="1"/>
    </row>
    <row r="158" spans="5:11">
      <c r="E158" s="1"/>
      <c r="F158" s="1"/>
      <c r="G158" s="1"/>
      <c r="H158" s="1"/>
      <c r="I158" s="1"/>
      <c r="J158" s="1"/>
      <c r="K158" s="1"/>
    </row>
    <row r="159" spans="5:11">
      <c r="E159" s="1"/>
      <c r="F159" s="1"/>
      <c r="G159" s="1"/>
      <c r="H159" s="1"/>
      <c r="I159" s="1"/>
      <c r="J159" s="1"/>
      <c r="K159" s="1"/>
    </row>
    <row r="160" spans="5:11">
      <c r="E160" s="1"/>
      <c r="F160" s="1"/>
      <c r="G160" s="1"/>
      <c r="H160" s="1"/>
      <c r="I160" s="1"/>
      <c r="J160" s="1"/>
      <c r="K160" s="1"/>
    </row>
    <row r="161" spans="5:11">
      <c r="E161" s="1"/>
      <c r="F161" s="1"/>
      <c r="G161" s="1"/>
      <c r="H161" s="1"/>
      <c r="I161" s="1"/>
      <c r="J161" s="1"/>
      <c r="K161" s="1"/>
    </row>
    <row r="162" spans="5:11">
      <c r="E162" s="1"/>
      <c r="F162" s="1"/>
      <c r="G162" s="1"/>
      <c r="H162" s="1"/>
      <c r="I162" s="1"/>
      <c r="J162" s="1"/>
      <c r="K162" s="1"/>
    </row>
    <row r="163" spans="5:11">
      <c r="E163" s="1"/>
      <c r="F163" s="1"/>
      <c r="G163" s="1"/>
      <c r="H163" s="1"/>
      <c r="I163" s="1"/>
      <c r="J163" s="1"/>
      <c r="K163" s="1"/>
    </row>
    <row r="164" spans="5:11">
      <c r="E164" s="1"/>
      <c r="F164" s="1"/>
      <c r="G164" s="1"/>
      <c r="H164" s="1"/>
      <c r="I164" s="1"/>
      <c r="J164" s="1"/>
      <c r="K164" s="1"/>
    </row>
    <row r="165" spans="5:11">
      <c r="E165" s="1"/>
      <c r="F165" s="1"/>
      <c r="G165" s="1"/>
      <c r="H165" s="1"/>
      <c r="I165" s="1"/>
      <c r="J165" s="1"/>
      <c r="K165" s="1"/>
    </row>
    <row r="166" spans="5:11">
      <c r="E166" s="1"/>
      <c r="F166" s="1"/>
      <c r="G166" s="1"/>
      <c r="H166" s="1"/>
      <c r="I166" s="1"/>
      <c r="J166" s="1"/>
      <c r="K166" s="1"/>
    </row>
    <row r="167" spans="5:11">
      <c r="E167" s="1"/>
      <c r="F167" s="1"/>
      <c r="G167" s="1"/>
      <c r="H167" s="1"/>
      <c r="I167" s="1"/>
      <c r="J167" s="1"/>
      <c r="K167" s="1"/>
    </row>
    <row r="168" spans="5:11">
      <c r="E168" s="1"/>
      <c r="F168" s="1"/>
      <c r="G168" s="1"/>
      <c r="H168" s="1"/>
      <c r="I168" s="1"/>
      <c r="J168" s="1"/>
      <c r="K168" s="1"/>
    </row>
    <row r="169" spans="5:11">
      <c r="E169" s="1"/>
      <c r="F169" s="1"/>
      <c r="G169" s="1"/>
      <c r="H169" s="1"/>
      <c r="I169" s="1"/>
      <c r="J169" s="1"/>
      <c r="K169" s="1"/>
    </row>
    <row r="170" spans="5:11">
      <c r="E170" s="1"/>
      <c r="F170" s="1"/>
      <c r="G170" s="1"/>
      <c r="H170" s="1"/>
      <c r="I170" s="1"/>
      <c r="J170" s="1"/>
      <c r="K170" s="1"/>
    </row>
    <row r="171" spans="5:11">
      <c r="E171" s="1"/>
      <c r="F171" s="1"/>
      <c r="G171" s="1"/>
      <c r="H171" s="1"/>
      <c r="I171" s="1"/>
      <c r="J171" s="1"/>
      <c r="K171" s="1"/>
    </row>
    <row r="172" spans="5:11">
      <c r="E172" s="1"/>
      <c r="F172" s="1"/>
      <c r="G172" s="1"/>
      <c r="H172" s="1"/>
      <c r="I172" s="1"/>
      <c r="J172" s="1"/>
      <c r="K172" s="1"/>
    </row>
    <row r="173" spans="5:11">
      <c r="E173" s="1"/>
      <c r="F173" s="1"/>
      <c r="G173" s="1"/>
      <c r="H173" s="1"/>
      <c r="I173" s="1"/>
      <c r="J173" s="1"/>
      <c r="K173" s="1"/>
    </row>
    <row r="174" spans="5:11">
      <c r="E174" s="1"/>
      <c r="F174" s="1"/>
      <c r="G174" s="1"/>
      <c r="H174" s="1"/>
      <c r="I174" s="1"/>
      <c r="J174" s="1"/>
      <c r="K174" s="1"/>
    </row>
    <row r="175" spans="5:11">
      <c r="E175" s="1"/>
      <c r="F175" s="1"/>
      <c r="G175" s="1"/>
      <c r="H175" s="1"/>
      <c r="I175" s="1"/>
      <c r="J175" s="1"/>
      <c r="K175" s="1"/>
    </row>
    <row r="176" spans="5:11">
      <c r="E176" s="1"/>
      <c r="F176" s="1"/>
      <c r="G176" s="1"/>
      <c r="H176" s="1"/>
      <c r="I176" s="1"/>
      <c r="J176" s="1"/>
      <c r="K176" s="1"/>
    </row>
    <row r="177" spans="5:11">
      <c r="E177" s="1"/>
      <c r="F177" s="1"/>
      <c r="G177" s="1"/>
      <c r="H177" s="1"/>
      <c r="I177" s="1"/>
      <c r="J177" s="1"/>
      <c r="K177" s="1"/>
    </row>
    <row r="178" spans="5:11">
      <c r="E178" s="1"/>
      <c r="F178" s="1"/>
      <c r="G178" s="1"/>
      <c r="H178" s="1"/>
      <c r="I178" s="1"/>
      <c r="J178" s="1"/>
      <c r="K178" s="1"/>
    </row>
    <row r="179" spans="5:11">
      <c r="E179" s="1"/>
      <c r="F179" s="1"/>
      <c r="G179" s="1"/>
      <c r="H179" s="1"/>
      <c r="I179" s="1"/>
      <c r="J179" s="1"/>
      <c r="K179" s="1"/>
    </row>
    <row r="180" spans="5:11">
      <c r="E180" s="1"/>
      <c r="F180" s="1"/>
      <c r="G180" s="1"/>
      <c r="H180" s="1"/>
      <c r="I180" s="1"/>
      <c r="J180" s="1"/>
      <c r="K180" s="1"/>
    </row>
    <row r="181" spans="5:11">
      <c r="E181" s="1"/>
      <c r="F181" s="1"/>
      <c r="G181" s="1"/>
      <c r="H181" s="1"/>
      <c r="I181" s="1"/>
      <c r="J181" s="1"/>
      <c r="K181" s="1"/>
    </row>
    <row r="182" spans="5:11">
      <c r="E182" s="1"/>
      <c r="F182" s="1"/>
      <c r="G182" s="1"/>
      <c r="H182" s="1"/>
      <c r="I182" s="1"/>
      <c r="J182" s="1"/>
      <c r="K182" s="1"/>
    </row>
    <row r="183" spans="5:11">
      <c r="E183" s="1"/>
      <c r="F183" s="1"/>
      <c r="G183" s="1"/>
      <c r="H183" s="1"/>
      <c r="I183" s="1"/>
      <c r="J183" s="1"/>
      <c r="K183" s="1"/>
    </row>
    <row r="184" spans="5:11">
      <c r="E184" s="1"/>
      <c r="F184" s="1"/>
      <c r="G184" s="1"/>
      <c r="H184" s="1"/>
      <c r="I184" s="1"/>
      <c r="J184" s="1"/>
      <c r="K184" s="1"/>
    </row>
    <row r="185" spans="5:11">
      <c r="E185" s="1"/>
      <c r="F185" s="1"/>
      <c r="G185" s="1"/>
      <c r="H185" s="1"/>
      <c r="I185" s="1"/>
      <c r="J185" s="1"/>
      <c r="K185" s="1"/>
    </row>
    <row r="186" spans="5:11">
      <c r="E186" s="1"/>
      <c r="F186" s="1"/>
      <c r="G186" s="1"/>
      <c r="H186" s="1"/>
      <c r="I186" s="1"/>
      <c r="J186" s="1"/>
      <c r="K186" s="1"/>
    </row>
    <row r="187" spans="5:11">
      <c r="E187" s="1"/>
      <c r="F187" s="1"/>
      <c r="G187" s="1"/>
      <c r="H187" s="1"/>
      <c r="I187" s="1"/>
      <c r="J187" s="1"/>
      <c r="K187" s="1"/>
    </row>
    <row r="188" spans="5:11">
      <c r="E188" s="1"/>
      <c r="F188" s="1"/>
      <c r="G188" s="1"/>
      <c r="H188" s="1"/>
      <c r="I188" s="1"/>
      <c r="J188" s="1"/>
      <c r="K188" s="1"/>
    </row>
    <row r="189" spans="5:11">
      <c r="E189" s="1"/>
      <c r="F189" s="1"/>
      <c r="G189" s="1"/>
      <c r="H189" s="1"/>
      <c r="I189" s="1"/>
      <c r="J189" s="1"/>
      <c r="K189" s="1"/>
    </row>
    <row r="190" spans="5:11">
      <c r="E190" s="1"/>
      <c r="F190" s="1"/>
      <c r="G190" s="1"/>
      <c r="H190" s="1"/>
      <c r="I190" s="1"/>
      <c r="J190" s="1"/>
      <c r="K190" s="1"/>
    </row>
    <row r="191" spans="5:11">
      <c r="E191" s="1"/>
      <c r="F191" s="1"/>
      <c r="G191" s="1"/>
      <c r="H191" s="1"/>
      <c r="I191" s="1"/>
      <c r="J191" s="1"/>
      <c r="K191" s="1"/>
    </row>
    <row r="192" spans="5:11">
      <c r="E192" s="1"/>
      <c r="F192" s="1"/>
      <c r="G192" s="1"/>
      <c r="H192" s="1"/>
      <c r="I192" s="1"/>
      <c r="J192" s="1"/>
      <c r="K192" s="1"/>
    </row>
    <row r="193" spans="5:11">
      <c r="E193" s="1"/>
      <c r="F193" s="1"/>
      <c r="G193" s="1"/>
      <c r="H193" s="1"/>
      <c r="I193" s="1"/>
      <c r="J193" s="1"/>
      <c r="K193" s="1"/>
    </row>
    <row r="194" spans="5:11">
      <c r="E194" s="1"/>
      <c r="F194" s="1"/>
      <c r="G194" s="1"/>
      <c r="H194" s="1"/>
      <c r="I194" s="1"/>
      <c r="J194" s="1"/>
      <c r="K194" s="1"/>
    </row>
    <row r="195" spans="5:11">
      <c r="E195" s="1"/>
      <c r="F195" s="1"/>
      <c r="G195" s="1"/>
      <c r="H195" s="1"/>
      <c r="I195" s="1"/>
      <c r="J195" s="1"/>
      <c r="K195" s="1"/>
    </row>
    <row r="196" spans="5:11">
      <c r="E196" s="1"/>
      <c r="F196" s="1"/>
      <c r="G196" s="1"/>
      <c r="H196" s="1"/>
      <c r="I196" s="1"/>
      <c r="J196" s="1"/>
      <c r="K196" s="1"/>
    </row>
    <row r="197" spans="5:11">
      <c r="E197" s="1"/>
      <c r="F197" s="1"/>
      <c r="G197" s="1"/>
      <c r="H197" s="1"/>
      <c r="I197" s="1"/>
      <c r="J197" s="1"/>
      <c r="K197" s="1"/>
    </row>
    <row r="198" spans="5:11">
      <c r="E198" s="1"/>
      <c r="F198" s="1"/>
      <c r="G198" s="1"/>
      <c r="H198" s="1"/>
      <c r="I198" s="1"/>
      <c r="J198" s="1"/>
      <c r="K198" s="1"/>
    </row>
    <row r="199" spans="5:11">
      <c r="E199" s="1"/>
      <c r="F199" s="1"/>
      <c r="G199" s="1"/>
      <c r="H199" s="1"/>
      <c r="I199" s="1"/>
      <c r="J199" s="1"/>
      <c r="K199" s="1"/>
    </row>
    <row r="200" spans="5:11">
      <c r="E200" s="1"/>
      <c r="F200" s="1"/>
      <c r="G200" s="1"/>
      <c r="H200" s="1"/>
      <c r="I200" s="1"/>
      <c r="J200" s="1"/>
      <c r="K200" s="1"/>
    </row>
    <row r="201" spans="5:11">
      <c r="E201" s="1"/>
      <c r="F201" s="1"/>
      <c r="G201" s="1"/>
      <c r="H201" s="1"/>
      <c r="I201" s="1"/>
      <c r="J201" s="1"/>
      <c r="K201" s="1"/>
    </row>
    <row r="202" spans="5:11">
      <c r="E202" s="1"/>
      <c r="F202" s="1"/>
      <c r="G202" s="1"/>
      <c r="H202" s="1"/>
      <c r="I202" s="1"/>
      <c r="J202" s="1"/>
      <c r="K202" s="1"/>
    </row>
    <row r="203" spans="5:11">
      <c r="E203" s="1"/>
      <c r="F203" s="1"/>
      <c r="G203" s="1"/>
      <c r="H203" s="1"/>
      <c r="I203" s="1"/>
      <c r="J203" s="1"/>
      <c r="K203" s="1"/>
    </row>
    <row r="204" spans="5:11">
      <c r="E204" s="1"/>
      <c r="F204" s="1"/>
      <c r="G204" s="1"/>
      <c r="H204" s="1"/>
      <c r="I204" s="1"/>
      <c r="J204" s="1"/>
      <c r="K204" s="1"/>
    </row>
    <row r="205" spans="5:11">
      <c r="E205" s="1"/>
      <c r="F205" s="1"/>
      <c r="G205" s="1"/>
      <c r="H205" s="1"/>
      <c r="I205" s="1"/>
      <c r="J205" s="1"/>
      <c r="K205" s="1"/>
    </row>
    <row r="206" spans="5:11">
      <c r="E206" s="1"/>
      <c r="F206" s="1"/>
      <c r="G206" s="1"/>
      <c r="H206" s="1"/>
      <c r="I206" s="1"/>
      <c r="J206" s="1"/>
      <c r="K206" s="1"/>
    </row>
    <row r="207" spans="5:11">
      <c r="E207" s="1"/>
      <c r="F207" s="1"/>
      <c r="G207" s="1"/>
      <c r="H207" s="1"/>
      <c r="I207" s="1"/>
      <c r="J207" s="1"/>
      <c r="K207" s="1"/>
    </row>
    <row r="208" spans="5:11">
      <c r="E208" s="1"/>
      <c r="F208" s="1"/>
      <c r="G208" s="1"/>
      <c r="H208" s="1"/>
      <c r="I208" s="1"/>
      <c r="J208" s="1"/>
      <c r="K208" s="1"/>
    </row>
    <row r="209" spans="5:11">
      <c r="E209" s="1"/>
      <c r="F209" s="1"/>
      <c r="G209" s="1"/>
      <c r="H209" s="1"/>
      <c r="I209" s="1"/>
      <c r="J209" s="1"/>
      <c r="K209" s="1"/>
    </row>
    <row r="210" spans="5:11">
      <c r="E210" s="1"/>
      <c r="F210" s="1"/>
      <c r="G210" s="1"/>
      <c r="H210" s="1"/>
      <c r="I210" s="1"/>
      <c r="J210" s="1"/>
      <c r="K210" s="1"/>
    </row>
    <row r="211" spans="5:11">
      <c r="E211" s="1"/>
      <c r="F211" s="1"/>
      <c r="G211" s="1"/>
      <c r="H211" s="1"/>
      <c r="I211" s="1"/>
      <c r="J211" s="1"/>
      <c r="K211" s="1"/>
    </row>
    <row r="212" spans="5:11">
      <c r="E212" s="1"/>
      <c r="F212" s="1"/>
      <c r="G212" s="1"/>
      <c r="H212" s="1"/>
      <c r="I212" s="1"/>
      <c r="J212" s="1"/>
      <c r="K212" s="1"/>
    </row>
    <row r="213" spans="5:11">
      <c r="E213" s="1"/>
      <c r="F213" s="1"/>
      <c r="G213" s="1"/>
      <c r="H213" s="1"/>
      <c r="I213" s="1"/>
      <c r="J213" s="1"/>
      <c r="K213" s="1"/>
    </row>
    <row r="214" spans="5:11">
      <c r="E214" s="1"/>
      <c r="F214" s="1"/>
      <c r="G214" s="1"/>
      <c r="H214" s="1"/>
      <c r="I214" s="1"/>
      <c r="J214" s="1"/>
      <c r="K214" s="1"/>
    </row>
    <row r="215" spans="5:11">
      <c r="E215" s="1"/>
      <c r="F215" s="1"/>
      <c r="G215" s="1"/>
      <c r="H215" s="1"/>
      <c r="I215" s="1"/>
      <c r="J215" s="1"/>
      <c r="K215" s="1"/>
    </row>
    <row r="216" spans="5:11">
      <c r="E216" s="1"/>
      <c r="F216" s="1"/>
      <c r="G216" s="1"/>
      <c r="H216" s="1"/>
      <c r="I216" s="1"/>
      <c r="J216" s="1"/>
      <c r="K216" s="1"/>
    </row>
    <row r="217" spans="5:11">
      <c r="E217" s="1"/>
      <c r="F217" s="1"/>
      <c r="G217" s="1"/>
      <c r="H217" s="1"/>
      <c r="I217" s="1"/>
      <c r="J217" s="1"/>
      <c r="K217" s="1"/>
    </row>
    <row r="218" spans="5:11">
      <c r="E218" s="1"/>
      <c r="F218" s="1"/>
      <c r="G218" s="1"/>
      <c r="H218" s="1"/>
      <c r="I218" s="1"/>
      <c r="J218" s="1"/>
      <c r="K218" s="1"/>
    </row>
    <row r="219" spans="5:11">
      <c r="E219" s="1"/>
      <c r="F219" s="1"/>
      <c r="G219" s="1"/>
      <c r="H219" s="1"/>
      <c r="I219" s="1"/>
      <c r="J219" s="1"/>
      <c r="K219" s="1"/>
    </row>
    <row r="220" spans="5:11">
      <c r="E220" s="1"/>
      <c r="F220" s="1"/>
      <c r="G220" s="1"/>
      <c r="H220" s="1"/>
      <c r="I220" s="1"/>
      <c r="J220" s="1"/>
      <c r="K220" s="1"/>
    </row>
    <row r="221" spans="5:11">
      <c r="E221" s="1"/>
      <c r="F221" s="1"/>
      <c r="G221" s="1"/>
      <c r="H221" s="1"/>
      <c r="I221" s="1"/>
      <c r="J221" s="1"/>
      <c r="K221" s="1"/>
    </row>
    <row r="222" spans="5:11">
      <c r="E222" s="1"/>
      <c r="F222" s="1"/>
      <c r="G222" s="1"/>
      <c r="H222" s="1"/>
      <c r="I222" s="1"/>
      <c r="J222" s="1"/>
      <c r="K222" s="1"/>
    </row>
    <row r="223" spans="5:11">
      <c r="E223" s="1"/>
      <c r="F223" s="1"/>
      <c r="G223" s="1"/>
      <c r="H223" s="1"/>
      <c r="I223" s="1"/>
      <c r="J223" s="1"/>
      <c r="K223" s="1"/>
    </row>
    <row r="224" spans="5:11">
      <c r="E224" s="1"/>
      <c r="F224" s="1"/>
      <c r="G224" s="1"/>
      <c r="H224" s="1"/>
      <c r="I224" s="1"/>
      <c r="J224" s="1"/>
      <c r="K224" s="1"/>
    </row>
    <row r="225" spans="5:11">
      <c r="E225" s="1"/>
      <c r="F225" s="1"/>
      <c r="G225" s="1"/>
      <c r="H225" s="1"/>
      <c r="I225" s="1"/>
      <c r="J225" s="1"/>
      <c r="K225" s="1"/>
    </row>
    <row r="226" spans="5:11">
      <c r="E226" s="1"/>
      <c r="F226" s="1"/>
      <c r="G226" s="1"/>
      <c r="H226" s="1"/>
      <c r="I226" s="1"/>
      <c r="J226" s="1"/>
      <c r="K226" s="1"/>
    </row>
    <row r="227" spans="5:11">
      <c r="E227" s="1"/>
      <c r="F227" s="1"/>
      <c r="G227" s="1"/>
      <c r="H227" s="1"/>
      <c r="I227" s="1"/>
      <c r="J227" s="1"/>
      <c r="K227" s="1"/>
    </row>
    <row r="228" spans="5:11">
      <c r="E228" s="1"/>
      <c r="F228" s="1"/>
      <c r="G228" s="1"/>
      <c r="H228" s="1"/>
      <c r="I228" s="1"/>
      <c r="J228" s="1"/>
      <c r="K228" s="1"/>
    </row>
    <row r="229" spans="5:11">
      <c r="E229" s="1"/>
      <c r="F229" s="1"/>
      <c r="G229" s="1"/>
      <c r="H229" s="1"/>
      <c r="I229" s="1"/>
      <c r="J229" s="1"/>
      <c r="K229" s="1"/>
    </row>
    <row r="230" spans="5:11">
      <c r="E230" s="1"/>
      <c r="F230" s="1"/>
      <c r="G230" s="1"/>
      <c r="H230" s="1"/>
      <c r="I230" s="1"/>
      <c r="J230" s="1"/>
      <c r="K230" s="1"/>
    </row>
    <row r="231" spans="5:11">
      <c r="E231" s="1"/>
      <c r="F231" s="1"/>
      <c r="G231" s="1"/>
      <c r="H231" s="1"/>
      <c r="I231" s="1"/>
      <c r="J231" s="1"/>
      <c r="K231" s="1"/>
    </row>
    <row r="232" spans="5:11">
      <c r="E232" s="1"/>
      <c r="F232" s="1"/>
      <c r="G232" s="1"/>
      <c r="H232" s="1"/>
      <c r="I232" s="1"/>
      <c r="J232" s="1"/>
      <c r="K232" s="1"/>
    </row>
    <row r="233" spans="5:11">
      <c r="E233" s="1"/>
      <c r="F233" s="1"/>
      <c r="G233" s="1"/>
      <c r="H233" s="1"/>
      <c r="I233" s="1"/>
      <c r="J233" s="1"/>
      <c r="K233" s="1"/>
    </row>
    <row r="234" spans="5:11">
      <c r="E234" s="1"/>
      <c r="F234" s="1"/>
      <c r="G234" s="1"/>
      <c r="H234" s="1"/>
      <c r="I234" s="1"/>
      <c r="J234" s="1"/>
      <c r="K234" s="1"/>
    </row>
    <row r="235" spans="5:11">
      <c r="E235" s="1"/>
      <c r="F235" s="1"/>
      <c r="G235" s="1"/>
      <c r="H235" s="1"/>
      <c r="I235" s="1"/>
      <c r="J235" s="1"/>
      <c r="K235" s="1"/>
    </row>
    <row r="236" spans="5:11">
      <c r="E236" s="1"/>
      <c r="F236" s="1"/>
      <c r="G236" s="1"/>
      <c r="H236" s="1"/>
      <c r="I236" s="1"/>
      <c r="J236" s="1"/>
      <c r="K236" s="1"/>
    </row>
    <row r="237" spans="5:11">
      <c r="E237" s="1"/>
      <c r="F237" s="1"/>
      <c r="G237" s="1"/>
      <c r="H237" s="1"/>
      <c r="I237" s="1"/>
      <c r="J237" s="1"/>
      <c r="K237" s="1"/>
    </row>
    <row r="238" spans="5:11">
      <c r="E238" s="1"/>
      <c r="F238" s="1"/>
      <c r="G238" s="1"/>
      <c r="H238" s="1"/>
      <c r="I238" s="1"/>
      <c r="J238" s="1"/>
      <c r="K238" s="1"/>
    </row>
    <row r="239" spans="5:11">
      <c r="E239" s="1"/>
      <c r="F239" s="1"/>
      <c r="G239" s="1"/>
      <c r="H239" s="1"/>
      <c r="I239" s="1"/>
      <c r="J239" s="1"/>
      <c r="K239" s="1"/>
    </row>
    <row r="240" spans="5:11">
      <c r="E240" s="1"/>
      <c r="F240" s="1"/>
      <c r="G240" s="1"/>
      <c r="H240" s="1"/>
      <c r="I240" s="1"/>
      <c r="J240" s="1"/>
      <c r="K240" s="1"/>
    </row>
    <row r="241" spans="5:11">
      <c r="E241" s="1"/>
      <c r="F241" s="1"/>
      <c r="G241" s="1"/>
      <c r="H241" s="1"/>
      <c r="I241" s="1"/>
      <c r="J241" s="1"/>
      <c r="K241" s="1"/>
    </row>
    <row r="242" spans="5:11">
      <c r="E242" s="1"/>
      <c r="F242" s="1"/>
      <c r="G242" s="1"/>
      <c r="H242" s="1"/>
      <c r="I242" s="1"/>
      <c r="J242" s="1"/>
      <c r="K242" s="1"/>
    </row>
    <row r="243" spans="5:11">
      <c r="E243" s="1"/>
      <c r="F243" s="1"/>
      <c r="G243" s="1"/>
      <c r="H243" s="1"/>
      <c r="I243" s="1"/>
      <c r="J243" s="1"/>
      <c r="K243" s="1"/>
    </row>
    <row r="244" spans="5:11">
      <c r="E244" s="1"/>
      <c r="F244" s="1"/>
      <c r="G244" s="1"/>
      <c r="H244" s="1"/>
      <c r="I244" s="1"/>
      <c r="J244" s="1"/>
      <c r="K244" s="1"/>
    </row>
    <row r="245" spans="5:11">
      <c r="E245" s="1"/>
      <c r="F245" s="1"/>
      <c r="G245" s="1"/>
      <c r="H245" s="1"/>
      <c r="I245" s="1"/>
      <c r="J245" s="1"/>
      <c r="K245" s="1"/>
    </row>
    <row r="246" spans="5:11">
      <c r="E246" s="1"/>
      <c r="F246" s="1"/>
      <c r="G246" s="1"/>
      <c r="H246" s="1"/>
      <c r="I246" s="1"/>
      <c r="J246" s="1"/>
      <c r="K246" s="1"/>
    </row>
    <row r="247" spans="5:11">
      <c r="E247" s="1"/>
      <c r="F247" s="1"/>
      <c r="G247" s="1"/>
      <c r="H247" s="1"/>
      <c r="I247" s="1"/>
      <c r="J247" s="1"/>
      <c r="K247" s="1"/>
    </row>
    <row r="248" spans="5:11">
      <c r="E248" s="1"/>
      <c r="F248" s="1"/>
      <c r="G248" s="1"/>
      <c r="H248" s="1"/>
      <c r="I248" s="1"/>
      <c r="J248" s="1"/>
      <c r="K248" s="1"/>
    </row>
    <row r="249" spans="5:11">
      <c r="E249" s="1"/>
      <c r="F249" s="1"/>
      <c r="G249" s="1"/>
      <c r="H249" s="1"/>
      <c r="I249" s="1"/>
      <c r="J249" s="1"/>
      <c r="K249" s="1"/>
    </row>
    <row r="250" spans="5:11">
      <c r="E250" s="1"/>
      <c r="F250" s="1"/>
      <c r="G250" s="1"/>
      <c r="H250" s="1"/>
      <c r="I250" s="1"/>
      <c r="J250" s="1"/>
      <c r="K250" s="1"/>
    </row>
    <row r="251" spans="5:11">
      <c r="E251" s="1"/>
      <c r="F251" s="1"/>
      <c r="G251" s="1"/>
      <c r="H251" s="1"/>
      <c r="I251" s="1"/>
      <c r="J251" s="1"/>
      <c r="K251" s="1"/>
    </row>
    <row r="252" spans="5:11">
      <c r="E252" s="1"/>
      <c r="F252" s="1"/>
      <c r="G252" s="1"/>
      <c r="H252" s="1"/>
      <c r="I252" s="1"/>
      <c r="J252" s="1"/>
      <c r="K252" s="1"/>
    </row>
    <row r="253" spans="5:11">
      <c r="E253" s="1"/>
      <c r="F253" s="1"/>
      <c r="G253" s="1"/>
      <c r="H253" s="1"/>
      <c r="I253" s="1"/>
      <c r="J253" s="1"/>
      <c r="K253" s="1"/>
    </row>
    <row r="254" spans="5:11">
      <c r="E254" s="1"/>
      <c r="F254" s="1"/>
      <c r="G254" s="1"/>
      <c r="H254" s="1"/>
      <c r="I254" s="1"/>
      <c r="J254" s="1"/>
      <c r="K254" s="1"/>
    </row>
    <row r="255" spans="5:11">
      <c r="E255" s="1"/>
      <c r="F255" s="1"/>
      <c r="G255" s="1"/>
      <c r="H255" s="1"/>
      <c r="I255" s="1"/>
      <c r="J255" s="1"/>
      <c r="K255" s="1"/>
    </row>
    <row r="256" spans="5:11">
      <c r="E256" s="1"/>
      <c r="F256" s="1"/>
      <c r="G256" s="1"/>
      <c r="H256" s="1"/>
      <c r="I256" s="1"/>
      <c r="J256" s="1"/>
      <c r="K256" s="1"/>
    </row>
    <row r="257" spans="5:11">
      <c r="E257" s="1"/>
      <c r="F257" s="1"/>
      <c r="G257" s="1"/>
      <c r="H257" s="1"/>
      <c r="I257" s="1"/>
      <c r="J257" s="1"/>
      <c r="K257" s="1"/>
    </row>
    <row r="258" spans="5:11">
      <c r="E258" s="1"/>
      <c r="F258" s="1"/>
      <c r="G258" s="1"/>
      <c r="H258" s="1"/>
      <c r="I258" s="1"/>
      <c r="J258" s="1"/>
      <c r="K258" s="1"/>
    </row>
    <row r="259" spans="5:11">
      <c r="E259" s="1"/>
      <c r="F259" s="1"/>
      <c r="G259" s="1"/>
      <c r="H259" s="1"/>
      <c r="I259" s="1"/>
      <c r="J259" s="1"/>
      <c r="K259" s="1"/>
    </row>
    <row r="260" spans="5:11">
      <c r="E260" s="1"/>
      <c r="F260" s="1"/>
      <c r="G260" s="1"/>
      <c r="H260" s="1"/>
      <c r="I260" s="1"/>
      <c r="J260" s="1"/>
      <c r="K260" s="1"/>
    </row>
    <row r="261" spans="5:11">
      <c r="E261" s="1"/>
      <c r="F261" s="1"/>
      <c r="G261" s="1"/>
      <c r="H261" s="1"/>
      <c r="I261" s="1"/>
      <c r="J261" s="1"/>
      <c r="K261" s="1"/>
    </row>
    <row r="262" spans="5:11">
      <c r="E262" s="1"/>
      <c r="F262" s="1"/>
      <c r="G262" s="1"/>
      <c r="H262" s="1"/>
      <c r="I262" s="1"/>
      <c r="J262" s="1"/>
      <c r="K262" s="1"/>
    </row>
    <row r="263" spans="5:11">
      <c r="E263" s="1"/>
      <c r="F263" s="1"/>
      <c r="G263" s="1"/>
      <c r="H263" s="1"/>
      <c r="I263" s="1"/>
      <c r="J263" s="1"/>
      <c r="K263" s="1"/>
    </row>
    <row r="264" spans="5:11">
      <c r="E264" s="1"/>
      <c r="F264" s="1"/>
      <c r="G264" s="1"/>
      <c r="H264" s="1"/>
      <c r="I264" s="1"/>
      <c r="J264" s="1"/>
      <c r="K264" s="1"/>
    </row>
    <row r="265" spans="5:11">
      <c r="E265" s="1"/>
      <c r="F265" s="1"/>
      <c r="G265" s="1"/>
      <c r="H265" s="1"/>
      <c r="I265" s="1"/>
      <c r="J265" s="1"/>
      <c r="K265" s="1"/>
    </row>
    <row r="266" spans="5:11">
      <c r="E266" s="1"/>
      <c r="F266" s="1"/>
      <c r="G266" s="1"/>
      <c r="H266" s="1"/>
      <c r="I266" s="1"/>
      <c r="J266" s="1"/>
      <c r="K266" s="1"/>
    </row>
    <row r="267" spans="5:11">
      <c r="E267" s="1"/>
      <c r="F267" s="1"/>
      <c r="G267" s="1"/>
      <c r="H267" s="1"/>
      <c r="I267" s="1"/>
      <c r="J267" s="1"/>
      <c r="K267" s="1"/>
    </row>
    <row r="268" spans="5:11">
      <c r="E268" s="1"/>
      <c r="F268" s="1"/>
      <c r="G268" s="1"/>
      <c r="H268" s="1"/>
      <c r="I268" s="1"/>
      <c r="J268" s="1"/>
      <c r="K268" s="1"/>
    </row>
    <row r="269" spans="5:11">
      <c r="E269" s="1"/>
      <c r="F269" s="1"/>
      <c r="G269" s="1"/>
      <c r="H269" s="1"/>
      <c r="I269" s="1"/>
      <c r="J269" s="1"/>
      <c r="K269" s="1"/>
    </row>
    <row r="270" spans="5:11">
      <c r="E270" s="1"/>
      <c r="F270" s="1"/>
      <c r="G270" s="1"/>
      <c r="H270" s="1"/>
      <c r="I270" s="1"/>
      <c r="J270" s="1"/>
      <c r="K270" s="1"/>
    </row>
    <row r="271" spans="5:11">
      <c r="E271" s="1"/>
      <c r="F271" s="1"/>
      <c r="G271" s="1"/>
      <c r="H271" s="1"/>
      <c r="I271" s="1"/>
      <c r="J271" s="1"/>
      <c r="K271" s="1"/>
    </row>
    <row r="272" spans="5:11">
      <c r="E272" s="1"/>
      <c r="F272" s="1"/>
      <c r="G272" s="1"/>
      <c r="H272" s="1"/>
      <c r="I272" s="1"/>
      <c r="J272" s="1"/>
      <c r="K272" s="1"/>
    </row>
    <row r="273" spans="5:11">
      <c r="E273" s="1"/>
      <c r="F273" s="1"/>
      <c r="G273" s="1"/>
      <c r="H273" s="1"/>
      <c r="I273" s="1"/>
      <c r="J273" s="1"/>
      <c r="K273" s="1"/>
    </row>
    <row r="274" spans="5:11">
      <c r="E274" s="1"/>
      <c r="F274" s="1"/>
      <c r="G274" s="1"/>
      <c r="H274" s="1"/>
      <c r="I274" s="1"/>
      <c r="J274" s="1"/>
      <c r="K274" s="1"/>
    </row>
    <row r="275" spans="5:11">
      <c r="E275" s="1"/>
      <c r="F275" s="1"/>
      <c r="G275" s="1"/>
      <c r="H275" s="1"/>
      <c r="I275" s="1"/>
      <c r="J275" s="1"/>
      <c r="K275" s="1"/>
    </row>
    <row r="276" spans="5:11">
      <c r="E276" s="1"/>
      <c r="F276" s="1"/>
      <c r="G276" s="1"/>
      <c r="H276" s="1"/>
      <c r="I276" s="1"/>
      <c r="J276" s="1"/>
      <c r="K276" s="1"/>
    </row>
    <row r="277" spans="5:11">
      <c r="E277" s="1"/>
      <c r="F277" s="1"/>
      <c r="G277" s="1"/>
      <c r="H277" s="1"/>
      <c r="I277" s="1"/>
      <c r="J277" s="1"/>
      <c r="K277" s="1"/>
    </row>
    <row r="278" spans="5:11">
      <c r="E278" s="1"/>
      <c r="F278" s="1"/>
      <c r="G278" s="1"/>
      <c r="H278" s="1"/>
      <c r="I278" s="1"/>
      <c r="J278" s="1"/>
      <c r="K278" s="1"/>
    </row>
    <row r="279" spans="5:11">
      <c r="E279" s="1"/>
      <c r="F279" s="1"/>
      <c r="G279" s="1"/>
      <c r="H279" s="1"/>
      <c r="I279" s="1"/>
      <c r="J279" s="1"/>
      <c r="K279" s="1"/>
    </row>
    <row r="280" spans="5:11">
      <c r="E280" s="1"/>
      <c r="F280" s="1"/>
      <c r="G280" s="1"/>
      <c r="H280" s="1"/>
      <c r="I280" s="1"/>
      <c r="J280" s="1"/>
      <c r="K280" s="1"/>
    </row>
    <row r="281" spans="5:11">
      <c r="E281" s="1"/>
      <c r="F281" s="1"/>
      <c r="G281" s="1"/>
      <c r="H281" s="1"/>
      <c r="I281" s="1"/>
      <c r="J281" s="1"/>
      <c r="K281" s="1"/>
    </row>
    <row r="282" spans="5:11">
      <c r="E282" s="1"/>
      <c r="F282" s="1"/>
      <c r="G282" s="1"/>
      <c r="H282" s="1"/>
      <c r="I282" s="1"/>
      <c r="J282" s="1"/>
      <c r="K282" s="1"/>
    </row>
    <row r="283" spans="5:11">
      <c r="E283" s="1"/>
      <c r="F283" s="1"/>
      <c r="G283" s="1"/>
      <c r="H283" s="1"/>
      <c r="I283" s="1"/>
      <c r="J283" s="1"/>
      <c r="K283" s="1"/>
    </row>
    <row r="284" spans="5:11">
      <c r="E284" s="1"/>
      <c r="F284" s="1"/>
      <c r="G284" s="1"/>
      <c r="H284" s="1"/>
      <c r="I284" s="1"/>
      <c r="J284" s="1"/>
      <c r="K284" s="1"/>
    </row>
    <row r="285" spans="5:11">
      <c r="E285" s="1"/>
      <c r="F285" s="1"/>
      <c r="G285" s="1"/>
      <c r="H285" s="1"/>
      <c r="I285" s="1"/>
      <c r="J285" s="1"/>
      <c r="K285" s="1"/>
    </row>
    <row r="286" spans="5:11">
      <c r="E286" s="1"/>
      <c r="F286" s="1"/>
      <c r="G286" s="1"/>
      <c r="H286" s="1"/>
      <c r="I286" s="1"/>
      <c r="J286" s="1"/>
      <c r="K286" s="1"/>
    </row>
    <row r="287" spans="5:11">
      <c r="E287" s="1"/>
      <c r="F287" s="1"/>
      <c r="G287" s="1"/>
      <c r="H287" s="1"/>
      <c r="I287" s="1"/>
      <c r="J287" s="1"/>
      <c r="K287" s="1"/>
    </row>
    <row r="288" spans="5:11">
      <c r="E288" s="1"/>
      <c r="F288" s="1"/>
      <c r="G288" s="1"/>
      <c r="H288" s="1"/>
      <c r="I288" s="1"/>
      <c r="J288" s="1"/>
      <c r="K288" s="1"/>
    </row>
    <row r="289" spans="5:11">
      <c r="E289" s="1"/>
      <c r="F289" s="1"/>
      <c r="G289" s="1"/>
      <c r="H289" s="1"/>
      <c r="I289" s="1"/>
      <c r="J289" s="1"/>
      <c r="K289" s="1"/>
    </row>
    <row r="290" spans="5:11">
      <c r="E290" s="1"/>
      <c r="F290" s="1"/>
      <c r="G290" s="1"/>
      <c r="H290" s="1"/>
      <c r="I290" s="1"/>
      <c r="J290" s="1"/>
      <c r="K290" s="1"/>
    </row>
    <row r="291" spans="5:11">
      <c r="E291" s="1"/>
      <c r="F291" s="1"/>
      <c r="G291" s="1"/>
      <c r="H291" s="1"/>
      <c r="I291" s="1"/>
      <c r="J291" s="1"/>
      <c r="K291" s="1"/>
    </row>
    <row r="292" spans="5:11">
      <c r="E292" s="1"/>
      <c r="F292" s="1"/>
      <c r="G292" s="1"/>
      <c r="H292" s="1"/>
      <c r="I292" s="1"/>
      <c r="J292" s="1"/>
      <c r="K292" s="1"/>
    </row>
    <row r="293" spans="5:11">
      <c r="E293" s="1"/>
      <c r="F293" s="1"/>
      <c r="G293" s="1"/>
      <c r="H293" s="1"/>
      <c r="I293" s="1"/>
      <c r="J293" s="1"/>
      <c r="K293" s="1"/>
    </row>
    <row r="294" spans="5:11">
      <c r="E294" s="1"/>
      <c r="F294" s="1"/>
      <c r="G294" s="1"/>
      <c r="H294" s="1"/>
      <c r="I294" s="1"/>
      <c r="J294" s="1"/>
      <c r="K294" s="1"/>
    </row>
    <row r="295" spans="5:11">
      <c r="E295" s="1"/>
      <c r="F295" s="1"/>
      <c r="G295" s="1"/>
      <c r="H295" s="1"/>
      <c r="I295" s="1"/>
      <c r="J295" s="1"/>
      <c r="K295" s="1"/>
    </row>
    <row r="296" spans="5:11">
      <c r="E296" s="1"/>
      <c r="F296" s="1"/>
      <c r="G296" s="1"/>
      <c r="H296" s="1"/>
      <c r="I296" s="1"/>
      <c r="J296" s="1"/>
      <c r="K296" s="1"/>
    </row>
    <row r="297" spans="5:11">
      <c r="E297" s="1"/>
      <c r="F297" s="1"/>
      <c r="G297" s="1"/>
      <c r="H297" s="1"/>
      <c r="I297" s="1"/>
      <c r="J297" s="1"/>
      <c r="K297" s="1"/>
    </row>
    <row r="298" spans="5:11">
      <c r="E298" s="1"/>
      <c r="F298" s="1"/>
      <c r="G298" s="1"/>
      <c r="H298" s="1"/>
      <c r="I298" s="1"/>
      <c r="J298" s="1"/>
      <c r="K298" s="1"/>
    </row>
    <row r="299" spans="5:11">
      <c r="E299" s="1"/>
      <c r="F299" s="1"/>
      <c r="G299" s="1"/>
      <c r="H299" s="1"/>
      <c r="I299" s="1"/>
      <c r="J299" s="1"/>
      <c r="K299" s="1"/>
    </row>
    <row r="300" spans="5:11">
      <c r="E300" s="1"/>
      <c r="F300" s="1"/>
      <c r="G300" s="1"/>
      <c r="H300" s="1"/>
      <c r="I300" s="1"/>
      <c r="J300" s="1"/>
      <c r="K300" s="1"/>
    </row>
    <row r="301" spans="5:11">
      <c r="E301" s="1"/>
      <c r="F301" s="1"/>
      <c r="G301" s="1"/>
      <c r="H301" s="1"/>
      <c r="I301" s="1"/>
      <c r="J301" s="1"/>
      <c r="K301" s="1"/>
    </row>
    <row r="302" spans="5:11">
      <c r="E302" s="1"/>
      <c r="F302" s="1"/>
      <c r="G302" s="1"/>
      <c r="H302" s="1"/>
      <c r="I302" s="1"/>
      <c r="J302" s="1"/>
      <c r="K302" s="1"/>
    </row>
    <row r="303" spans="5:11">
      <c r="E303" s="1"/>
      <c r="F303" s="1"/>
      <c r="G303" s="1"/>
      <c r="H303" s="1"/>
      <c r="I303" s="1"/>
      <c r="J303" s="1"/>
      <c r="K303" s="1"/>
    </row>
    <row r="304" spans="5:11">
      <c r="E304" s="1"/>
      <c r="F304" s="1"/>
      <c r="G304" s="1"/>
      <c r="H304" s="1"/>
      <c r="I304" s="1"/>
      <c r="J304" s="1"/>
      <c r="K304" s="1"/>
    </row>
    <row r="305" spans="5:11">
      <c r="E305" s="1"/>
      <c r="F305" s="1"/>
      <c r="G305" s="1"/>
      <c r="H305" s="1"/>
      <c r="I305" s="1"/>
      <c r="J305" s="1"/>
      <c r="K305" s="1"/>
    </row>
    <row r="306" spans="5:11">
      <c r="E306" s="1"/>
      <c r="F306" s="1"/>
      <c r="G306" s="1"/>
      <c r="H306" s="1"/>
      <c r="I306" s="1"/>
      <c r="J306" s="1"/>
      <c r="K306" s="1"/>
    </row>
    <row r="307" spans="5:11">
      <c r="E307" s="1"/>
      <c r="F307" s="1"/>
      <c r="G307" s="1"/>
      <c r="H307" s="1"/>
      <c r="I307" s="1"/>
      <c r="J307" s="1"/>
      <c r="K307" s="1"/>
    </row>
    <row r="308" spans="5:11">
      <c r="E308" s="1"/>
      <c r="F308" s="1"/>
      <c r="G308" s="1"/>
      <c r="H308" s="1"/>
      <c r="I308" s="1"/>
      <c r="J308" s="1"/>
      <c r="K308" s="1"/>
    </row>
    <row r="309" spans="5:11">
      <c r="E309" s="1"/>
      <c r="F309" s="1"/>
      <c r="G309" s="1"/>
      <c r="H309" s="1"/>
      <c r="I309" s="1"/>
      <c r="J309" s="1"/>
      <c r="K309" s="1"/>
    </row>
    <row r="310" spans="5:11">
      <c r="E310" s="1"/>
      <c r="F310" s="1"/>
      <c r="G310" s="1"/>
      <c r="H310" s="1"/>
      <c r="I310" s="1"/>
      <c r="J310" s="1"/>
      <c r="K310" s="1"/>
    </row>
    <row r="311" spans="5:11">
      <c r="E311" s="1"/>
      <c r="F311" s="1"/>
      <c r="G311" s="1"/>
      <c r="H311" s="1"/>
      <c r="I311" s="1"/>
      <c r="J311" s="1"/>
      <c r="K311" s="1"/>
    </row>
    <row r="312" spans="5:11">
      <c r="E312" s="1"/>
      <c r="F312" s="1"/>
      <c r="G312" s="1"/>
      <c r="H312" s="1"/>
      <c r="I312" s="1"/>
      <c r="J312" s="1"/>
      <c r="K312" s="1"/>
    </row>
    <row r="313" spans="5:11">
      <c r="E313" s="1"/>
      <c r="F313" s="1"/>
      <c r="G313" s="1"/>
      <c r="H313" s="1"/>
      <c r="I313" s="1"/>
      <c r="J313" s="1"/>
      <c r="K313" s="1"/>
    </row>
    <row r="314" spans="5:11">
      <c r="E314" s="1"/>
      <c r="F314" s="1"/>
      <c r="G314" s="1"/>
      <c r="H314" s="1"/>
      <c r="I314" s="1"/>
      <c r="J314" s="1"/>
      <c r="K314" s="1"/>
    </row>
    <row r="315" spans="5:11">
      <c r="E315" s="1"/>
      <c r="F315" s="1"/>
      <c r="G315" s="1"/>
      <c r="H315" s="1"/>
      <c r="I315" s="1"/>
      <c r="J315" s="1"/>
      <c r="K315" s="1"/>
    </row>
    <row r="316" spans="5:11">
      <c r="E316" s="1"/>
      <c r="F316" s="1"/>
      <c r="G316" s="1"/>
      <c r="H316" s="1"/>
      <c r="I316" s="1"/>
      <c r="J316" s="1"/>
      <c r="K316" s="1"/>
    </row>
    <row r="317" spans="5:11">
      <c r="E317" s="1"/>
      <c r="F317" s="1"/>
      <c r="G317" s="1"/>
      <c r="H317" s="1"/>
      <c r="I317" s="1"/>
      <c r="J317" s="1"/>
      <c r="K317" s="1"/>
    </row>
    <row r="318" spans="5:11">
      <c r="E318" s="1"/>
      <c r="F318" s="1"/>
      <c r="G318" s="1"/>
      <c r="H318" s="1"/>
      <c r="I318" s="1"/>
      <c r="J318" s="1"/>
      <c r="K318" s="1"/>
    </row>
    <row r="319" spans="5:11">
      <c r="E319" s="1"/>
      <c r="F319" s="1"/>
      <c r="G319" s="1"/>
      <c r="H319" s="1"/>
      <c r="I319" s="1"/>
      <c r="J319" s="1"/>
      <c r="K319" s="1"/>
    </row>
    <row r="320" spans="5:11">
      <c r="E320" s="1"/>
      <c r="F320" s="1"/>
      <c r="G320" s="1"/>
      <c r="H320" s="1"/>
      <c r="I320" s="1"/>
      <c r="J320" s="1"/>
      <c r="K320" s="1"/>
    </row>
    <row r="321" spans="5:11">
      <c r="E321" s="1"/>
      <c r="F321" s="1"/>
      <c r="G321" s="1"/>
      <c r="H321" s="1"/>
      <c r="I321" s="1"/>
      <c r="J321" s="1"/>
      <c r="K321" s="1"/>
    </row>
    <row r="322" spans="5:11">
      <c r="E322" s="1"/>
      <c r="F322" s="1"/>
      <c r="G322" s="1"/>
      <c r="H322" s="1"/>
      <c r="I322" s="1"/>
      <c r="J322" s="1"/>
      <c r="K322" s="1"/>
    </row>
    <row r="323" spans="5:11">
      <c r="E323" s="1"/>
      <c r="F323" s="1"/>
      <c r="G323" s="1"/>
      <c r="H323" s="1"/>
      <c r="I323" s="1"/>
      <c r="J323" s="1"/>
      <c r="K323" s="1"/>
    </row>
    <row r="324" spans="5:11">
      <c r="E324" s="1"/>
      <c r="F324" s="1"/>
      <c r="G324" s="1"/>
      <c r="H324" s="1"/>
      <c r="I324" s="1"/>
      <c r="J324" s="1"/>
      <c r="K324" s="1"/>
    </row>
    <row r="325" spans="5:11">
      <c r="E325" s="1"/>
      <c r="F325" s="1"/>
      <c r="G325" s="1"/>
      <c r="H325" s="1"/>
      <c r="I325" s="1"/>
      <c r="J325" s="1"/>
      <c r="K325" s="1"/>
    </row>
    <row r="326" spans="5:11">
      <c r="E326" s="1"/>
      <c r="F326" s="1"/>
      <c r="G326" s="1"/>
      <c r="H326" s="1"/>
      <c r="I326" s="1"/>
      <c r="J326" s="1"/>
      <c r="K326" s="1"/>
    </row>
    <row r="327" spans="5:11">
      <c r="E327" s="1"/>
      <c r="F327" s="1"/>
      <c r="G327" s="1"/>
      <c r="H327" s="1"/>
      <c r="I327" s="1"/>
      <c r="J327" s="1"/>
      <c r="K327" s="1"/>
    </row>
    <row r="328" spans="5:11">
      <c r="E328" s="1"/>
      <c r="F328" s="1"/>
      <c r="G328" s="1"/>
      <c r="H328" s="1"/>
      <c r="I328" s="1"/>
      <c r="J328" s="1"/>
      <c r="K328" s="1"/>
    </row>
    <row r="329" spans="5:11">
      <c r="E329" s="1"/>
      <c r="F329" s="1"/>
      <c r="G329" s="1"/>
      <c r="H329" s="1"/>
      <c r="I329" s="1"/>
      <c r="J329" s="1"/>
      <c r="K329" s="1"/>
    </row>
    <row r="330" spans="5:11">
      <c r="E330" s="1"/>
      <c r="F330" s="1"/>
      <c r="G330" s="1"/>
      <c r="H330" s="1"/>
      <c r="I330" s="1"/>
      <c r="J330" s="1"/>
      <c r="K330" s="1"/>
    </row>
    <row r="331" spans="5:11">
      <c r="E331" s="1"/>
      <c r="F331" s="1"/>
      <c r="G331" s="1"/>
      <c r="H331" s="1"/>
      <c r="I331" s="1"/>
      <c r="J331" s="1"/>
      <c r="K331" s="1"/>
    </row>
    <row r="332" spans="5:11">
      <c r="E332" s="1"/>
      <c r="F332" s="1"/>
      <c r="G332" s="1"/>
      <c r="H332" s="1"/>
      <c r="I332" s="1"/>
      <c r="J332" s="1"/>
      <c r="K332" s="1"/>
    </row>
    <row r="333" spans="5:11">
      <c r="E333" s="1"/>
      <c r="F333" s="1"/>
      <c r="G333" s="1"/>
      <c r="H333" s="1"/>
      <c r="I333" s="1"/>
      <c r="J333" s="1"/>
      <c r="K333" s="1"/>
    </row>
    <row r="334" spans="5:11">
      <c r="E334" s="1"/>
      <c r="F334" s="1"/>
      <c r="G334" s="1"/>
      <c r="H334" s="1"/>
      <c r="I334" s="1"/>
      <c r="J334" s="1"/>
      <c r="K334" s="1"/>
    </row>
    <row r="335" spans="5:11">
      <c r="E335" s="1"/>
      <c r="F335" s="1"/>
      <c r="G335" s="1"/>
      <c r="H335" s="1"/>
      <c r="I335" s="1"/>
      <c r="J335" s="1"/>
      <c r="K335" s="1"/>
    </row>
    <row r="336" spans="5:11">
      <c r="E336" s="1"/>
      <c r="F336" s="1"/>
      <c r="G336" s="1"/>
      <c r="H336" s="1"/>
      <c r="I336" s="1"/>
      <c r="J336" s="1"/>
      <c r="K336" s="1"/>
    </row>
    <row r="337" spans="5:11">
      <c r="E337" s="1"/>
      <c r="F337" s="1"/>
      <c r="G337" s="1"/>
      <c r="H337" s="1"/>
      <c r="I337" s="1"/>
      <c r="J337" s="1"/>
      <c r="K337" s="1"/>
    </row>
    <row r="338" spans="5:11">
      <c r="E338" s="1"/>
      <c r="F338" s="1"/>
      <c r="G338" s="1"/>
      <c r="H338" s="1"/>
      <c r="I338" s="1"/>
      <c r="J338" s="1"/>
      <c r="K338" s="1"/>
    </row>
    <row r="339" spans="5:11">
      <c r="E339" s="1"/>
      <c r="F339" s="1"/>
      <c r="G339" s="1"/>
      <c r="H339" s="1"/>
      <c r="I339" s="1"/>
      <c r="J339" s="1"/>
      <c r="K339" s="1"/>
    </row>
    <row r="340" spans="5:11">
      <c r="E340" s="1"/>
      <c r="F340" s="1"/>
      <c r="G340" s="1"/>
      <c r="H340" s="1"/>
      <c r="I340" s="1"/>
      <c r="J340" s="1"/>
      <c r="K340" s="1"/>
    </row>
    <row r="341" spans="5:11">
      <c r="E341" s="1"/>
      <c r="F341" s="1"/>
      <c r="G341" s="1"/>
      <c r="H341" s="1"/>
      <c r="I341" s="1"/>
      <c r="J341" s="1"/>
      <c r="K341" s="1"/>
    </row>
    <row r="342" spans="5:11">
      <c r="E342" s="1"/>
      <c r="F342" s="1"/>
      <c r="G342" s="1"/>
      <c r="H342" s="1"/>
      <c r="I342" s="1"/>
      <c r="J342" s="1"/>
      <c r="K342" s="1"/>
    </row>
    <row r="343" spans="5:11">
      <c r="E343" s="1"/>
      <c r="F343" s="1"/>
      <c r="G343" s="1"/>
      <c r="H343" s="1"/>
      <c r="I343" s="1"/>
      <c r="J343" s="1"/>
      <c r="K343" s="1"/>
    </row>
    <row r="344" spans="5:11">
      <c r="E344" s="1"/>
      <c r="F344" s="1"/>
      <c r="G344" s="1"/>
      <c r="H344" s="1"/>
      <c r="I344" s="1"/>
      <c r="J344" s="1"/>
      <c r="K344" s="1"/>
    </row>
    <row r="345" spans="5:11">
      <c r="E345" s="1"/>
      <c r="F345" s="1"/>
      <c r="G345" s="1"/>
      <c r="H345" s="1"/>
      <c r="I345" s="1"/>
      <c r="J345" s="1"/>
      <c r="K345" s="1"/>
    </row>
    <row r="346" spans="5:11">
      <c r="E346" s="1"/>
      <c r="F346" s="1"/>
      <c r="G346" s="1"/>
      <c r="H346" s="1"/>
      <c r="I346" s="1"/>
      <c r="J346" s="1"/>
      <c r="K346" s="1"/>
    </row>
    <row r="347" spans="5:11">
      <c r="E347" s="1"/>
      <c r="F347" s="1"/>
      <c r="G347" s="1"/>
      <c r="H347" s="1"/>
      <c r="I347" s="1"/>
      <c r="J347" s="1"/>
      <c r="K347" s="1"/>
    </row>
    <row r="348" spans="5:11">
      <c r="E348" s="1"/>
      <c r="F348" s="1"/>
      <c r="G348" s="1"/>
      <c r="H348" s="1"/>
      <c r="I348" s="1"/>
      <c r="J348" s="1"/>
      <c r="K348" s="1"/>
    </row>
    <row r="349" spans="5:11">
      <c r="E349" s="1"/>
      <c r="F349" s="1"/>
      <c r="G349" s="1"/>
      <c r="H349" s="1"/>
      <c r="I349" s="1"/>
      <c r="J349" s="1"/>
      <c r="K349" s="1"/>
    </row>
    <row r="350" spans="5:11">
      <c r="E350" s="1"/>
      <c r="F350" s="1"/>
      <c r="G350" s="1"/>
      <c r="H350" s="1"/>
      <c r="I350" s="1"/>
      <c r="J350" s="1"/>
      <c r="K350" s="1"/>
    </row>
    <row r="351" spans="5:11">
      <c r="E351" s="1"/>
      <c r="F351" s="1"/>
      <c r="G351" s="1"/>
      <c r="H351" s="1"/>
      <c r="I351" s="1"/>
      <c r="J351" s="1"/>
      <c r="K351" s="1"/>
    </row>
    <row r="352" spans="5:11">
      <c r="E352" s="1"/>
      <c r="F352" s="1"/>
      <c r="G352" s="1"/>
      <c r="H352" s="1"/>
      <c r="I352" s="1"/>
      <c r="J352" s="1"/>
      <c r="K352" s="1"/>
    </row>
    <row r="353" spans="5:11">
      <c r="E353" s="1"/>
      <c r="F353" s="1"/>
      <c r="G353" s="1"/>
      <c r="H353" s="1"/>
      <c r="I353" s="1"/>
      <c r="J353" s="1"/>
      <c r="K353" s="1"/>
    </row>
    <row r="354" spans="5:11">
      <c r="E354" s="1"/>
      <c r="F354" s="1"/>
      <c r="G354" s="1"/>
      <c r="H354" s="1"/>
      <c r="I354" s="1"/>
      <c r="J354" s="1"/>
      <c r="K354" s="1"/>
    </row>
    <row r="355" spans="5:11">
      <c r="E355" s="1"/>
      <c r="F355" s="1"/>
      <c r="G355" s="1"/>
      <c r="H355" s="1"/>
      <c r="I355" s="1"/>
      <c r="J355" s="1"/>
      <c r="K355" s="1"/>
    </row>
    <row r="356" spans="5:11">
      <c r="E356" s="1"/>
      <c r="F356" s="1"/>
      <c r="G356" s="1"/>
      <c r="H356" s="1"/>
      <c r="I356" s="1"/>
      <c r="J356" s="1"/>
      <c r="K356" s="1"/>
    </row>
    <row r="357" spans="5:11">
      <c r="E357" s="1"/>
      <c r="F357" s="1"/>
      <c r="G357" s="1"/>
      <c r="H357" s="1"/>
      <c r="I357" s="1"/>
      <c r="J357" s="1"/>
      <c r="K357" s="1"/>
    </row>
    <row r="358" spans="5:11">
      <c r="E358" s="1"/>
      <c r="F358" s="1"/>
      <c r="G358" s="1"/>
      <c r="H358" s="1"/>
      <c r="I358" s="1"/>
      <c r="J358" s="1"/>
      <c r="K358" s="1"/>
    </row>
    <row r="359" spans="5:11">
      <c r="E359" s="1"/>
      <c r="F359" s="1"/>
      <c r="G359" s="1"/>
      <c r="H359" s="1"/>
      <c r="I359" s="1"/>
      <c r="J359" s="1"/>
      <c r="K359" s="1"/>
    </row>
    <row r="360" spans="5:11">
      <c r="E360" s="1"/>
      <c r="F360" s="1"/>
      <c r="G360" s="1"/>
      <c r="H360" s="1"/>
      <c r="I360" s="1"/>
      <c r="J360" s="1"/>
      <c r="K360" s="1"/>
    </row>
    <row r="361" spans="5:11">
      <c r="E361" s="1"/>
      <c r="F361" s="1"/>
      <c r="G361" s="1"/>
      <c r="H361" s="1"/>
      <c r="I361" s="1"/>
      <c r="J361" s="1"/>
      <c r="K361" s="1"/>
    </row>
    <row r="362" spans="5:11">
      <c r="E362" s="1"/>
      <c r="F362" s="1"/>
      <c r="G362" s="1"/>
      <c r="H362" s="1"/>
      <c r="I362" s="1"/>
      <c r="J362" s="1"/>
      <c r="K362" s="1"/>
    </row>
    <row r="363" spans="5:11">
      <c r="E363" s="1"/>
      <c r="F363" s="1"/>
      <c r="G363" s="1"/>
      <c r="H363" s="1"/>
      <c r="I363" s="1"/>
      <c r="J363" s="1"/>
      <c r="K363" s="1"/>
    </row>
    <row r="364" spans="5:11">
      <c r="E364" s="1"/>
      <c r="F364" s="1"/>
      <c r="G364" s="1"/>
      <c r="H364" s="1"/>
      <c r="I364" s="1"/>
      <c r="J364" s="1"/>
      <c r="K364" s="1"/>
    </row>
    <row r="365" spans="5:11">
      <c r="E365" s="1"/>
      <c r="F365" s="1"/>
      <c r="G365" s="1"/>
      <c r="H365" s="1"/>
      <c r="I365" s="1"/>
      <c r="J365" s="1"/>
      <c r="K365" s="1"/>
    </row>
    <row r="366" spans="5:11">
      <c r="E366" s="1"/>
      <c r="F366" s="1"/>
      <c r="G366" s="1"/>
      <c r="H366" s="1"/>
      <c r="I366" s="1"/>
      <c r="J366" s="1"/>
      <c r="K366" s="1"/>
    </row>
    <row r="367" spans="5:11">
      <c r="E367" s="1"/>
      <c r="F367" s="1"/>
      <c r="G367" s="1"/>
      <c r="H367" s="1"/>
      <c r="I367" s="1"/>
      <c r="J367" s="1"/>
      <c r="K367" s="1"/>
    </row>
    <row r="368" spans="5:11">
      <c r="E368" s="1"/>
      <c r="F368" s="1"/>
      <c r="G368" s="1"/>
      <c r="H368" s="1"/>
      <c r="I368" s="1"/>
      <c r="J368" s="1"/>
      <c r="K368" s="1"/>
    </row>
    <row r="369" spans="5:11">
      <c r="E369" s="1"/>
      <c r="F369" s="1"/>
      <c r="G369" s="1"/>
      <c r="H369" s="1"/>
      <c r="I369" s="1"/>
      <c r="J369" s="1"/>
      <c r="K369" s="1"/>
    </row>
    <row r="370" spans="5:11">
      <c r="E370" s="1"/>
      <c r="F370" s="1"/>
      <c r="G370" s="1"/>
      <c r="H370" s="1"/>
      <c r="I370" s="1"/>
      <c r="J370" s="1"/>
      <c r="K370" s="1"/>
    </row>
    <row r="371" spans="5:11">
      <c r="E371" s="1"/>
      <c r="F371" s="1"/>
      <c r="G371" s="1"/>
      <c r="H371" s="1"/>
      <c r="I371" s="1"/>
      <c r="J371" s="1"/>
      <c r="K371" s="1"/>
    </row>
    <row r="372" spans="5:11">
      <c r="E372" s="1"/>
      <c r="F372" s="1"/>
      <c r="G372" s="1"/>
      <c r="H372" s="1"/>
      <c r="I372" s="1"/>
      <c r="J372" s="1"/>
      <c r="K372" s="1"/>
    </row>
    <row r="373" spans="5:11">
      <c r="E373" s="1"/>
      <c r="F373" s="1"/>
      <c r="G373" s="1"/>
      <c r="H373" s="1"/>
      <c r="I373" s="1"/>
      <c r="J373" s="1"/>
      <c r="K373" s="1"/>
    </row>
    <row r="374" spans="5:11">
      <c r="E374" s="1"/>
      <c r="F374" s="1"/>
      <c r="G374" s="1"/>
      <c r="H374" s="1"/>
      <c r="I374" s="1"/>
      <c r="J374" s="1"/>
      <c r="K374" s="1"/>
    </row>
    <row r="375" spans="5:11">
      <c r="E375" s="1"/>
      <c r="F375" s="1"/>
      <c r="G375" s="1"/>
      <c r="H375" s="1"/>
      <c r="I375" s="1"/>
      <c r="J375" s="1"/>
      <c r="K375" s="1"/>
    </row>
    <row r="376" spans="5:11">
      <c r="E376" s="1"/>
      <c r="F376" s="1"/>
      <c r="G376" s="1"/>
      <c r="H376" s="1"/>
      <c r="I376" s="1"/>
      <c r="J376" s="1"/>
      <c r="K376" s="1"/>
    </row>
    <row r="377" spans="5:11">
      <c r="E377" s="1"/>
      <c r="F377" s="1"/>
      <c r="G377" s="1"/>
      <c r="H377" s="1"/>
      <c r="I377" s="1"/>
      <c r="J377" s="1"/>
      <c r="K377" s="1"/>
    </row>
    <row r="378" spans="5:11">
      <c r="E378" s="1"/>
      <c r="F378" s="1"/>
      <c r="G378" s="1"/>
      <c r="H378" s="1"/>
      <c r="I378" s="1"/>
      <c r="J378" s="1"/>
      <c r="K378" s="1"/>
    </row>
    <row r="379" spans="5:11">
      <c r="E379" s="1"/>
      <c r="F379" s="1"/>
      <c r="G379" s="1"/>
      <c r="H379" s="1"/>
      <c r="I379" s="1"/>
      <c r="J379" s="1"/>
      <c r="K379" s="1"/>
    </row>
    <row r="380" spans="5:11">
      <c r="E380" s="1"/>
      <c r="F380" s="1"/>
      <c r="G380" s="1"/>
      <c r="H380" s="1"/>
      <c r="I380" s="1"/>
      <c r="J380" s="1"/>
      <c r="K380" s="1"/>
    </row>
    <row r="381" spans="5:11">
      <c r="E381" s="1"/>
      <c r="F381" s="1"/>
      <c r="G381" s="1"/>
      <c r="H381" s="1"/>
      <c r="I381" s="1"/>
      <c r="J381" s="1"/>
      <c r="K381" s="1"/>
    </row>
    <row r="382" spans="5:11">
      <c r="E382" s="1"/>
      <c r="F382" s="1"/>
      <c r="G382" s="1"/>
      <c r="H382" s="1"/>
      <c r="I382" s="1"/>
      <c r="J382" s="1"/>
      <c r="K382" s="1"/>
    </row>
    <row r="383" spans="5:11">
      <c r="E383" s="1"/>
      <c r="F383" s="1"/>
      <c r="G383" s="1"/>
      <c r="H383" s="1"/>
      <c r="I383" s="1"/>
      <c r="J383" s="1"/>
      <c r="K383" s="1"/>
    </row>
    <row r="384" spans="5:11">
      <c r="E384" s="1"/>
      <c r="F384" s="1"/>
      <c r="G384" s="1"/>
      <c r="H384" s="1"/>
      <c r="I384" s="1"/>
      <c r="J384" s="1"/>
      <c r="K384" s="1"/>
    </row>
    <row r="385" spans="5:11">
      <c r="E385" s="1"/>
      <c r="F385" s="1"/>
      <c r="G385" s="1"/>
      <c r="H385" s="1"/>
      <c r="I385" s="1"/>
      <c r="J385" s="1"/>
      <c r="K385" s="1"/>
    </row>
    <row r="386" spans="5:11">
      <c r="E386" s="1"/>
      <c r="F386" s="1"/>
      <c r="G386" s="1"/>
      <c r="H386" s="1"/>
      <c r="I386" s="1"/>
      <c r="J386" s="1"/>
      <c r="K386" s="1"/>
    </row>
    <row r="387" spans="5:11">
      <c r="E387" s="1"/>
      <c r="F387" s="1"/>
      <c r="G387" s="1"/>
      <c r="H387" s="1"/>
      <c r="I387" s="1"/>
      <c r="J387" s="1"/>
      <c r="K387" s="1"/>
    </row>
    <row r="388" spans="5:11">
      <c r="E388" s="1"/>
      <c r="F388" s="1"/>
      <c r="G388" s="1"/>
      <c r="H388" s="1"/>
      <c r="I388" s="1"/>
      <c r="J388" s="1"/>
      <c r="K388" s="1"/>
    </row>
    <row r="389" spans="5:11">
      <c r="E389" s="1"/>
      <c r="F389" s="1"/>
      <c r="G389" s="1"/>
      <c r="H389" s="1"/>
      <c r="I389" s="1"/>
      <c r="J389" s="1"/>
      <c r="K389" s="1"/>
    </row>
    <row r="390" spans="5:11">
      <c r="E390" s="1"/>
      <c r="F390" s="1"/>
      <c r="G390" s="1"/>
      <c r="H390" s="1"/>
      <c r="I390" s="1"/>
      <c r="J390" s="1"/>
      <c r="K390" s="1"/>
    </row>
    <row r="391" spans="5:11">
      <c r="E391" s="1"/>
      <c r="F391" s="1"/>
      <c r="G391" s="1"/>
      <c r="H391" s="1"/>
      <c r="I391" s="1"/>
      <c r="J391" s="1"/>
      <c r="K391" s="1"/>
    </row>
    <row r="392" spans="5:11">
      <c r="E392" s="1"/>
      <c r="F392" s="1"/>
      <c r="G392" s="1"/>
      <c r="H392" s="1"/>
      <c r="I392" s="1"/>
      <c r="J392" s="1"/>
      <c r="K392" s="1"/>
    </row>
    <row r="393" spans="5:11">
      <c r="E393" s="1"/>
      <c r="F393" s="1"/>
      <c r="G393" s="1"/>
      <c r="H393" s="1"/>
      <c r="I393" s="1"/>
      <c r="J393" s="1"/>
      <c r="K393" s="1"/>
    </row>
    <row r="394" spans="5:11">
      <c r="E394" s="1"/>
      <c r="F394" s="1"/>
      <c r="G394" s="1"/>
      <c r="H394" s="1"/>
      <c r="I394" s="1"/>
      <c r="J394" s="1"/>
      <c r="K394" s="1"/>
    </row>
    <row r="395" spans="5:11">
      <c r="E395" s="1"/>
      <c r="F395" s="1"/>
      <c r="G395" s="1"/>
      <c r="H395" s="1"/>
      <c r="I395" s="1"/>
      <c r="J395" s="1"/>
      <c r="K395" s="1"/>
    </row>
    <row r="396" spans="5:11">
      <c r="E396" s="1"/>
      <c r="F396" s="1"/>
      <c r="G396" s="1"/>
      <c r="H396" s="1"/>
      <c r="I396" s="1"/>
      <c r="J396" s="1"/>
      <c r="K396" s="1"/>
    </row>
    <row r="397" spans="5:11">
      <c r="E397" s="1"/>
      <c r="F397" s="1"/>
      <c r="G397" s="1"/>
      <c r="H397" s="1"/>
      <c r="I397" s="1"/>
      <c r="J397" s="1"/>
      <c r="K397" s="1"/>
    </row>
    <row r="398" spans="5:11">
      <c r="E398" s="1"/>
      <c r="F398" s="1"/>
      <c r="G398" s="1"/>
      <c r="H398" s="1"/>
      <c r="I398" s="1"/>
      <c r="J398" s="1"/>
      <c r="K398" s="1"/>
    </row>
    <row r="399" spans="5:11">
      <c r="E399" s="1"/>
      <c r="F399" s="1"/>
      <c r="G399" s="1"/>
      <c r="H399" s="1"/>
      <c r="I399" s="1"/>
      <c r="J399" s="1"/>
      <c r="K399" s="1"/>
    </row>
    <row r="400" spans="5:11">
      <c r="E400" s="1"/>
      <c r="F400" s="1"/>
      <c r="G400" s="1"/>
      <c r="H400" s="1"/>
      <c r="I400" s="1"/>
      <c r="J400" s="1"/>
      <c r="K400" s="1"/>
    </row>
    <row r="401" spans="5:11">
      <c r="E401" s="1"/>
      <c r="F401" s="1"/>
      <c r="G401" s="1"/>
      <c r="H401" s="1"/>
      <c r="I401" s="1"/>
      <c r="J401" s="1"/>
      <c r="K401" s="1"/>
    </row>
    <row r="402" spans="5:11">
      <c r="E402" s="1"/>
      <c r="F402" s="1"/>
      <c r="G402" s="1"/>
      <c r="H402" s="1"/>
      <c r="I402" s="1"/>
      <c r="J402" s="1"/>
      <c r="K402" s="1"/>
    </row>
    <row r="403" spans="5:11">
      <c r="E403" s="1"/>
      <c r="F403" s="1"/>
      <c r="G403" s="1"/>
      <c r="H403" s="1"/>
      <c r="I403" s="1"/>
      <c r="J403" s="1"/>
      <c r="K403" s="1"/>
    </row>
    <row r="404" spans="5:11">
      <c r="E404" s="1"/>
      <c r="F404" s="1"/>
      <c r="G404" s="1"/>
      <c r="H404" s="1"/>
      <c r="I404" s="1"/>
      <c r="J404" s="1"/>
      <c r="K404" s="1"/>
    </row>
    <row r="405" spans="5:11">
      <c r="E405" s="1"/>
      <c r="F405" s="1"/>
      <c r="G405" s="1"/>
      <c r="H405" s="1"/>
      <c r="I405" s="1"/>
      <c r="J405" s="1"/>
      <c r="K405" s="1"/>
    </row>
    <row r="406" spans="5:11">
      <c r="E406" s="1"/>
      <c r="F406" s="1"/>
      <c r="G406" s="1"/>
      <c r="H406" s="1"/>
      <c r="I406" s="1"/>
      <c r="J406" s="1"/>
      <c r="K406" s="1"/>
    </row>
    <row r="407" spans="5:11">
      <c r="E407" s="1"/>
      <c r="F407" s="1"/>
      <c r="G407" s="1"/>
      <c r="H407" s="1"/>
      <c r="I407" s="1"/>
      <c r="J407" s="1"/>
      <c r="K407" s="1"/>
    </row>
    <row r="408" spans="5:11">
      <c r="E408" s="1"/>
      <c r="F408" s="1"/>
      <c r="G408" s="1"/>
      <c r="H408" s="1"/>
      <c r="I408" s="1"/>
      <c r="J408" s="1"/>
      <c r="K408" s="1"/>
    </row>
    <row r="409" spans="5:11">
      <c r="E409" s="1"/>
      <c r="F409" s="1"/>
      <c r="G409" s="1"/>
      <c r="H409" s="1"/>
      <c r="I409" s="1"/>
      <c r="J409" s="1"/>
      <c r="K409" s="1"/>
    </row>
    <row r="410" spans="5:11">
      <c r="E410" s="1"/>
      <c r="F410" s="1"/>
      <c r="G410" s="1"/>
      <c r="H410" s="1"/>
      <c r="I410" s="1"/>
      <c r="J410" s="1"/>
      <c r="K410" s="1"/>
    </row>
    <row r="411" spans="5:11">
      <c r="E411" s="1"/>
      <c r="F411" s="1"/>
      <c r="G411" s="1"/>
      <c r="H411" s="1"/>
      <c r="I411" s="1"/>
      <c r="J411" s="1"/>
      <c r="K411" s="1"/>
    </row>
    <row r="412" spans="5:11">
      <c r="E412" s="1"/>
      <c r="F412" s="1"/>
      <c r="G412" s="1"/>
      <c r="H412" s="1"/>
      <c r="I412" s="1"/>
      <c r="J412" s="1"/>
      <c r="K412" s="1"/>
    </row>
    <row r="413" spans="5:11">
      <c r="E413" s="1"/>
      <c r="F413" s="1"/>
      <c r="G413" s="1"/>
      <c r="H413" s="1"/>
      <c r="I413" s="1"/>
      <c r="J413" s="1"/>
      <c r="K413" s="1"/>
    </row>
    <row r="414" spans="5:11">
      <c r="E414" s="1"/>
      <c r="F414" s="1"/>
      <c r="G414" s="1"/>
      <c r="H414" s="1"/>
      <c r="I414" s="1"/>
      <c r="J414" s="1"/>
      <c r="K414" s="1"/>
    </row>
    <row r="415" spans="5:11">
      <c r="E415" s="1"/>
      <c r="F415" s="1"/>
      <c r="G415" s="1"/>
      <c r="H415" s="1"/>
      <c r="I415" s="1"/>
      <c r="J415" s="1"/>
      <c r="K415" s="1"/>
    </row>
    <row r="416" spans="5:11">
      <c r="E416" s="1"/>
      <c r="F416" s="1"/>
      <c r="G416" s="1"/>
      <c r="H416" s="1"/>
      <c r="I416" s="1"/>
      <c r="J416" s="1"/>
      <c r="K416" s="1"/>
    </row>
    <row r="417" spans="5:11">
      <c r="E417" s="1"/>
      <c r="F417" s="1"/>
      <c r="G417" s="1"/>
      <c r="H417" s="1"/>
      <c r="I417" s="1"/>
      <c r="J417" s="1"/>
      <c r="K417" s="1"/>
    </row>
    <row r="418" spans="5:11">
      <c r="E418" s="1"/>
      <c r="F418" s="1"/>
      <c r="G418" s="1"/>
      <c r="H418" s="1"/>
      <c r="I418" s="1"/>
      <c r="J418" s="1"/>
      <c r="K418" s="1"/>
    </row>
    <row r="419" spans="5:11">
      <c r="E419" s="1"/>
      <c r="F419" s="1"/>
      <c r="G419" s="1"/>
      <c r="H419" s="1"/>
      <c r="I419" s="1"/>
      <c r="J419" s="1"/>
      <c r="K419" s="1"/>
    </row>
    <row r="420" spans="5:11">
      <c r="E420" s="1"/>
      <c r="F420" s="1"/>
      <c r="G420" s="1"/>
      <c r="H420" s="1"/>
      <c r="I420" s="1"/>
      <c r="J420" s="1"/>
      <c r="K420" s="1"/>
    </row>
    <row r="421" spans="5:11">
      <c r="E421" s="1"/>
      <c r="F421" s="1"/>
      <c r="G421" s="1"/>
      <c r="H421" s="1"/>
      <c r="I421" s="1"/>
      <c r="J421" s="1"/>
      <c r="K421" s="1"/>
    </row>
    <row r="422" spans="5:11">
      <c r="E422" s="1"/>
      <c r="F422" s="1"/>
      <c r="G422" s="1"/>
      <c r="H422" s="1"/>
      <c r="I422" s="1"/>
      <c r="J422" s="1"/>
      <c r="K422" s="1"/>
    </row>
    <row r="423" spans="5:11">
      <c r="E423" s="1"/>
      <c r="F423" s="1"/>
      <c r="G423" s="1"/>
      <c r="H423" s="1"/>
      <c r="I423" s="1"/>
      <c r="J423" s="1"/>
      <c r="K423" s="1"/>
    </row>
    <row r="424" spans="5:11">
      <c r="E424" s="1"/>
      <c r="F424" s="1"/>
      <c r="G424" s="1"/>
      <c r="H424" s="1"/>
      <c r="I424" s="1"/>
      <c r="J424" s="1"/>
      <c r="K424" s="1"/>
    </row>
    <row r="425" spans="5:11">
      <c r="E425" s="1"/>
      <c r="F425" s="1"/>
      <c r="G425" s="1"/>
      <c r="H425" s="1"/>
      <c r="I425" s="1"/>
      <c r="J425" s="1"/>
      <c r="K425" s="1"/>
    </row>
    <row r="426" spans="5:11">
      <c r="E426" s="1"/>
      <c r="F426" s="1"/>
      <c r="G426" s="1"/>
      <c r="H426" s="1"/>
      <c r="I426" s="1"/>
      <c r="J426" s="1"/>
      <c r="K426" s="1"/>
    </row>
    <row r="427" spans="5:11">
      <c r="E427" s="1"/>
      <c r="F427" s="1"/>
      <c r="G427" s="1"/>
      <c r="H427" s="1"/>
      <c r="I427" s="1"/>
      <c r="J427" s="1"/>
      <c r="K427" s="1"/>
    </row>
    <row r="428" spans="5:11">
      <c r="E428" s="1"/>
      <c r="F428" s="1"/>
      <c r="G428" s="1"/>
      <c r="H428" s="1"/>
      <c r="I428" s="1"/>
      <c r="J428" s="1"/>
      <c r="K428" s="1"/>
    </row>
    <row r="429" spans="5:11">
      <c r="E429" s="1"/>
      <c r="F429" s="1"/>
      <c r="G429" s="1"/>
      <c r="H429" s="1"/>
      <c r="I429" s="1"/>
      <c r="J429" s="1"/>
      <c r="K429" s="1"/>
    </row>
    <row r="430" spans="5:11">
      <c r="E430" s="1"/>
      <c r="F430" s="1"/>
      <c r="G430" s="1"/>
      <c r="H430" s="1"/>
      <c r="I430" s="1"/>
      <c r="J430" s="1"/>
      <c r="K430" s="1"/>
    </row>
    <row r="431" spans="5:11">
      <c r="E431" s="1"/>
      <c r="F431" s="1"/>
      <c r="G431" s="1"/>
      <c r="H431" s="1"/>
      <c r="I431" s="1"/>
      <c r="J431" s="1"/>
      <c r="K431" s="1"/>
    </row>
    <row r="432" spans="5:11">
      <c r="E432" s="1"/>
      <c r="F432" s="1"/>
      <c r="G432" s="1"/>
      <c r="H432" s="1"/>
      <c r="I432" s="1"/>
      <c r="J432" s="1"/>
      <c r="K432" s="1"/>
    </row>
    <row r="433" spans="5:11">
      <c r="E433" s="1"/>
      <c r="F433" s="1"/>
      <c r="G433" s="1"/>
      <c r="H433" s="1"/>
      <c r="I433" s="1"/>
      <c r="J433" s="1"/>
      <c r="K433" s="1"/>
    </row>
    <row r="434" spans="5:11">
      <c r="E434" s="1"/>
      <c r="F434" s="1"/>
      <c r="G434" s="1"/>
      <c r="H434" s="1"/>
      <c r="I434" s="1"/>
      <c r="J434" s="1"/>
      <c r="K434" s="1"/>
    </row>
    <row r="435" spans="5:11">
      <c r="E435" s="1"/>
      <c r="F435" s="1"/>
      <c r="G435" s="1"/>
      <c r="H435" s="1"/>
      <c r="I435" s="1"/>
      <c r="J435" s="1"/>
      <c r="K435" s="1"/>
    </row>
    <row r="436" spans="5:11">
      <c r="E436" s="1"/>
      <c r="F436" s="1"/>
      <c r="G436" s="1"/>
      <c r="H436" s="1"/>
      <c r="I436" s="1"/>
      <c r="J436" s="1"/>
      <c r="K436" s="1"/>
    </row>
    <row r="437" spans="5:11">
      <c r="E437" s="1"/>
      <c r="F437" s="1"/>
      <c r="G437" s="1"/>
      <c r="H437" s="1"/>
      <c r="I437" s="1"/>
      <c r="J437" s="1"/>
      <c r="K437" s="1"/>
    </row>
    <row r="438" spans="5:11">
      <c r="E438" s="1"/>
      <c r="F438" s="1"/>
      <c r="G438" s="1"/>
      <c r="H438" s="1"/>
      <c r="I438" s="1"/>
      <c r="J438" s="1"/>
      <c r="K438" s="1"/>
    </row>
    <row r="439" spans="5:11">
      <c r="E439" s="1"/>
      <c r="F439" s="1"/>
      <c r="G439" s="1"/>
      <c r="H439" s="1"/>
      <c r="I439" s="1"/>
      <c r="J439" s="1"/>
      <c r="K439" s="1"/>
    </row>
    <row r="440" spans="5:11">
      <c r="E440" s="1"/>
      <c r="F440" s="1"/>
      <c r="G440" s="1"/>
      <c r="H440" s="1"/>
      <c r="I440" s="1"/>
      <c r="J440" s="1"/>
      <c r="K440" s="1"/>
    </row>
    <row r="441" spans="5:11">
      <c r="E441" s="1"/>
      <c r="F441" s="1"/>
      <c r="G441" s="1"/>
      <c r="H441" s="1"/>
      <c r="I441" s="1"/>
      <c r="J441" s="1"/>
      <c r="K441" s="1"/>
    </row>
    <row r="442" spans="5:11">
      <c r="E442" s="1"/>
      <c r="F442" s="1"/>
      <c r="G442" s="1"/>
      <c r="H442" s="1"/>
      <c r="I442" s="1"/>
      <c r="J442" s="1"/>
      <c r="K442" s="1"/>
    </row>
    <row r="443" spans="5:11">
      <c r="E443" s="1"/>
      <c r="F443" s="1"/>
      <c r="G443" s="1"/>
      <c r="H443" s="1"/>
      <c r="I443" s="1"/>
      <c r="J443" s="1"/>
      <c r="K443" s="1"/>
    </row>
    <row r="444" spans="5:11">
      <c r="E444" s="1"/>
      <c r="F444" s="1"/>
      <c r="G444" s="1"/>
      <c r="H444" s="1"/>
      <c r="I444" s="1"/>
      <c r="J444" s="1"/>
      <c r="K444" s="1"/>
    </row>
    <row r="445" spans="5:11">
      <c r="E445" s="1"/>
      <c r="F445" s="1"/>
      <c r="G445" s="1"/>
      <c r="H445" s="1"/>
      <c r="I445" s="1"/>
      <c r="J445" s="1"/>
      <c r="K445" s="1"/>
    </row>
    <row r="446" spans="5:11">
      <c r="E446" s="1"/>
      <c r="F446" s="1"/>
      <c r="G446" s="1"/>
      <c r="H446" s="1"/>
      <c r="I446" s="1"/>
      <c r="J446" s="1"/>
      <c r="K446" s="1"/>
    </row>
    <row r="447" spans="5:11">
      <c r="E447" s="1"/>
      <c r="F447" s="1"/>
      <c r="G447" s="1"/>
      <c r="H447" s="1"/>
      <c r="I447" s="1"/>
      <c r="J447" s="1"/>
      <c r="K447" s="1"/>
    </row>
    <row r="448" spans="5:11">
      <c r="E448" s="1"/>
      <c r="F448" s="1"/>
      <c r="G448" s="1"/>
      <c r="H448" s="1"/>
      <c r="I448" s="1"/>
      <c r="J448" s="1"/>
      <c r="K448" s="1"/>
    </row>
    <row r="449" spans="5:11">
      <c r="E449" s="1"/>
      <c r="F449" s="1"/>
      <c r="G449" s="1"/>
      <c r="H449" s="1"/>
      <c r="I449" s="1"/>
      <c r="J449" s="1"/>
      <c r="K449" s="1"/>
    </row>
    <row r="450" spans="5:11">
      <c r="E450" s="1"/>
      <c r="F450" s="1"/>
      <c r="G450" s="1"/>
      <c r="H450" s="1"/>
      <c r="I450" s="1"/>
      <c r="J450" s="1"/>
      <c r="K450" s="1"/>
    </row>
    <row r="451" spans="5:11">
      <c r="E451" s="1"/>
      <c r="F451" s="1"/>
      <c r="G451" s="1"/>
      <c r="H451" s="1"/>
      <c r="I451" s="1"/>
      <c r="J451" s="1"/>
      <c r="K451" s="1"/>
    </row>
    <row r="452" spans="5:11">
      <c r="E452" s="1"/>
      <c r="F452" s="1"/>
      <c r="G452" s="1"/>
      <c r="H452" s="1"/>
      <c r="I452" s="1"/>
      <c r="J452" s="1"/>
      <c r="K452" s="1"/>
    </row>
    <row r="453" spans="5:11">
      <c r="E453" s="1"/>
      <c r="F453" s="1"/>
      <c r="G453" s="1"/>
      <c r="H453" s="1"/>
      <c r="I453" s="1"/>
      <c r="J453" s="1"/>
      <c r="K453" s="1"/>
    </row>
    <row r="454" spans="5:11">
      <c r="E454" s="1"/>
      <c r="F454" s="1"/>
      <c r="G454" s="1"/>
      <c r="H454" s="1"/>
      <c r="I454" s="1"/>
      <c r="J454" s="1"/>
      <c r="K454" s="1"/>
    </row>
    <row r="455" spans="5:11">
      <c r="E455" s="1"/>
      <c r="F455" s="1"/>
      <c r="G455" s="1"/>
      <c r="H455" s="1"/>
      <c r="I455" s="1"/>
      <c r="J455" s="1"/>
      <c r="K455" s="1"/>
    </row>
    <row r="456" spans="5:11">
      <c r="E456" s="1"/>
      <c r="F456" s="1"/>
      <c r="G456" s="1"/>
      <c r="H456" s="1"/>
      <c r="I456" s="1"/>
      <c r="J456" s="1"/>
      <c r="K456" s="1"/>
    </row>
    <row r="457" spans="5:11">
      <c r="E457" s="1"/>
      <c r="F457" s="1"/>
      <c r="G457" s="1"/>
      <c r="H457" s="1"/>
      <c r="I457" s="1"/>
      <c r="J457" s="1"/>
      <c r="K457" s="1"/>
    </row>
    <row r="458" spans="5:11">
      <c r="E458" s="1"/>
      <c r="F458" s="1"/>
      <c r="G458" s="1"/>
      <c r="H458" s="1"/>
      <c r="I458" s="1"/>
      <c r="J458" s="1"/>
      <c r="K458" s="1"/>
    </row>
    <row r="459" spans="5:11">
      <c r="E459" s="1"/>
      <c r="F459" s="1"/>
      <c r="G459" s="1"/>
      <c r="H459" s="1"/>
      <c r="I459" s="1"/>
      <c r="J459" s="1"/>
      <c r="K459" s="1"/>
    </row>
    <row r="460" spans="5:11">
      <c r="E460" s="1"/>
      <c r="F460" s="1"/>
      <c r="G460" s="1"/>
      <c r="H460" s="1"/>
      <c r="I460" s="1"/>
      <c r="J460" s="1"/>
      <c r="K460" s="1"/>
    </row>
    <row r="461" spans="5:11">
      <c r="E461" s="1"/>
      <c r="F461" s="1"/>
      <c r="G461" s="1"/>
      <c r="H461" s="1"/>
      <c r="I461" s="1"/>
      <c r="J461" s="1"/>
      <c r="K461" s="1"/>
    </row>
    <row r="462" spans="5:11">
      <c r="E462" s="1"/>
      <c r="F462" s="1"/>
      <c r="G462" s="1"/>
      <c r="H462" s="1"/>
      <c r="I462" s="1"/>
      <c r="J462" s="1"/>
      <c r="K462" s="1"/>
    </row>
    <row r="463" spans="5:11">
      <c r="E463" s="1"/>
      <c r="F463" s="1"/>
      <c r="G463" s="1"/>
      <c r="H463" s="1"/>
      <c r="I463" s="1"/>
      <c r="J463" s="1"/>
      <c r="K463" s="1"/>
    </row>
    <row r="464" spans="5:11">
      <c r="E464" s="1"/>
      <c r="F464" s="1"/>
      <c r="G464" s="1"/>
      <c r="H464" s="1"/>
      <c r="I464" s="1"/>
      <c r="J464" s="1"/>
      <c r="K464" s="1"/>
    </row>
    <row r="465" spans="5:11">
      <c r="E465" s="1"/>
      <c r="F465" s="1"/>
      <c r="G465" s="1"/>
      <c r="H465" s="1"/>
      <c r="I465" s="1"/>
      <c r="J465" s="1"/>
      <c r="K465" s="1"/>
    </row>
    <row r="466" spans="5:11">
      <c r="E466" s="1"/>
      <c r="F466" s="1"/>
      <c r="G466" s="1"/>
      <c r="H466" s="1"/>
      <c r="I466" s="1"/>
      <c r="J466" s="1"/>
      <c r="K466" s="1"/>
    </row>
    <row r="467" spans="5:11">
      <c r="E467" s="1"/>
      <c r="F467" s="1"/>
      <c r="G467" s="1"/>
      <c r="H467" s="1"/>
      <c r="I467" s="1"/>
      <c r="J467" s="1"/>
      <c r="K467" s="1"/>
    </row>
    <row r="468" spans="5:11">
      <c r="E468" s="1"/>
      <c r="F468" s="1"/>
      <c r="G468" s="1"/>
      <c r="H468" s="1"/>
      <c r="I468" s="1"/>
      <c r="J468" s="1"/>
      <c r="K468" s="1"/>
    </row>
    <row r="469" spans="5:11">
      <c r="E469" s="1"/>
      <c r="F469" s="1"/>
      <c r="G469" s="1"/>
      <c r="H469" s="1"/>
      <c r="I469" s="1"/>
      <c r="J469" s="1"/>
      <c r="K469" s="1"/>
    </row>
    <row r="470" spans="5:11">
      <c r="E470" s="1"/>
      <c r="F470" s="1"/>
      <c r="G470" s="1"/>
      <c r="H470" s="1"/>
      <c r="I470" s="1"/>
      <c r="J470" s="1"/>
      <c r="K470" s="1"/>
    </row>
    <row r="471" spans="5:11">
      <c r="E471" s="1"/>
      <c r="F471" s="1"/>
      <c r="G471" s="1"/>
      <c r="H471" s="1"/>
      <c r="I471" s="1"/>
      <c r="J471" s="1"/>
      <c r="K471" s="1"/>
    </row>
    <row r="472" spans="5:11">
      <c r="E472" s="1"/>
      <c r="F472" s="1"/>
      <c r="G472" s="1"/>
      <c r="H472" s="1"/>
      <c r="I472" s="1"/>
      <c r="J472" s="1"/>
      <c r="K472" s="1"/>
    </row>
    <row r="473" spans="5:11">
      <c r="E473" s="1"/>
      <c r="F473" s="1"/>
      <c r="G473" s="1"/>
      <c r="H473" s="1"/>
      <c r="I473" s="1"/>
      <c r="J473" s="1"/>
      <c r="K473" s="1"/>
    </row>
    <row r="474" spans="5:11">
      <c r="E474" s="1"/>
      <c r="F474" s="1"/>
      <c r="G474" s="1"/>
      <c r="H474" s="1"/>
      <c r="I474" s="1"/>
      <c r="J474" s="1"/>
      <c r="K474" s="1"/>
    </row>
    <row r="475" spans="5:11">
      <c r="E475" s="1"/>
      <c r="F475" s="1"/>
      <c r="G475" s="1"/>
      <c r="H475" s="1"/>
      <c r="I475" s="1"/>
      <c r="J475" s="1"/>
      <c r="K475" s="1"/>
    </row>
    <row r="476" spans="5:11">
      <c r="E476" s="1"/>
      <c r="F476" s="1"/>
      <c r="G476" s="1"/>
      <c r="H476" s="1"/>
      <c r="I476" s="1"/>
      <c r="J476" s="1"/>
      <c r="K476" s="1"/>
    </row>
    <row r="477" spans="5:11">
      <c r="E477" s="1"/>
      <c r="F477" s="1"/>
      <c r="G477" s="1"/>
      <c r="H477" s="1"/>
      <c r="I477" s="1"/>
      <c r="J477" s="1"/>
      <c r="K477" s="1"/>
    </row>
    <row r="478" spans="5:11">
      <c r="E478" s="1"/>
      <c r="F478" s="1"/>
      <c r="G478" s="1"/>
      <c r="H478" s="1"/>
      <c r="I478" s="1"/>
      <c r="J478" s="1"/>
      <c r="K478" s="1"/>
    </row>
    <row r="479" spans="5:11">
      <c r="E479" s="1"/>
      <c r="F479" s="1"/>
      <c r="G479" s="1"/>
      <c r="H479" s="1"/>
      <c r="I479" s="1"/>
      <c r="J479" s="1"/>
      <c r="K479" s="1"/>
    </row>
    <row r="480" spans="5:11">
      <c r="E480" s="1"/>
      <c r="F480" s="1"/>
      <c r="G480" s="1"/>
      <c r="H480" s="1"/>
      <c r="I480" s="1"/>
      <c r="J480" s="1"/>
      <c r="K480" s="1"/>
    </row>
    <row r="481" spans="5:11">
      <c r="E481" s="1"/>
      <c r="F481" s="1"/>
      <c r="G481" s="1"/>
      <c r="H481" s="1"/>
      <c r="I481" s="1"/>
      <c r="J481" s="1"/>
      <c r="K481" s="1"/>
    </row>
    <row r="482" spans="5:11">
      <c r="E482" s="1"/>
      <c r="F482" s="1"/>
      <c r="G482" s="1"/>
      <c r="H482" s="1"/>
      <c r="I482" s="1"/>
      <c r="J482" s="1"/>
      <c r="K482" s="1"/>
    </row>
    <row r="483" spans="5:11">
      <c r="E483" s="1"/>
      <c r="F483" s="1"/>
      <c r="G483" s="1"/>
      <c r="H483" s="1"/>
      <c r="I483" s="1"/>
      <c r="J483" s="1"/>
      <c r="K483" s="1"/>
    </row>
    <row r="484" spans="5:11">
      <c r="E484" s="1"/>
      <c r="F484" s="1"/>
      <c r="G484" s="1"/>
      <c r="H484" s="1"/>
      <c r="I484" s="1"/>
      <c r="J484" s="1"/>
      <c r="K484" s="1"/>
    </row>
    <row r="485" spans="5:11">
      <c r="E485" s="1"/>
      <c r="F485" s="1"/>
      <c r="G485" s="1"/>
      <c r="H485" s="1"/>
      <c r="I485" s="1"/>
      <c r="J485" s="1"/>
      <c r="K485" s="1"/>
    </row>
    <row r="486" spans="5:11">
      <c r="E486" s="1"/>
      <c r="F486" s="1"/>
      <c r="G486" s="1"/>
      <c r="H486" s="1"/>
      <c r="I486" s="1"/>
      <c r="J486" s="1"/>
      <c r="K486" s="1"/>
    </row>
    <row r="487" spans="5:11">
      <c r="E487" s="1"/>
      <c r="F487" s="1"/>
      <c r="G487" s="1"/>
      <c r="H487" s="1"/>
      <c r="I487" s="1"/>
      <c r="J487" s="1"/>
      <c r="K487" s="1"/>
    </row>
    <row r="488" spans="5:11">
      <c r="E488" s="1"/>
      <c r="F488" s="1"/>
      <c r="G488" s="1"/>
      <c r="H488" s="1"/>
      <c r="I488" s="1"/>
      <c r="J488" s="1"/>
      <c r="K488" s="1"/>
    </row>
    <row r="489" spans="5:11">
      <c r="E489" s="1"/>
      <c r="F489" s="1"/>
      <c r="G489" s="1"/>
      <c r="H489" s="1"/>
      <c r="I489" s="1"/>
      <c r="J489" s="1"/>
      <c r="K489" s="1"/>
    </row>
    <row r="490" spans="5:11">
      <c r="E490" s="1"/>
      <c r="F490" s="1"/>
      <c r="G490" s="1"/>
      <c r="H490" s="1"/>
      <c r="I490" s="1"/>
      <c r="J490" s="1"/>
      <c r="K490" s="1"/>
    </row>
    <row r="491" spans="5:11">
      <c r="E491" s="1"/>
      <c r="F491" s="1"/>
      <c r="G491" s="1"/>
      <c r="H491" s="1"/>
      <c r="I491" s="1"/>
      <c r="J491" s="1"/>
      <c r="K491" s="1"/>
    </row>
    <row r="492" spans="5:11">
      <c r="E492" s="1"/>
      <c r="F492" s="1"/>
      <c r="G492" s="1"/>
      <c r="H492" s="1"/>
      <c r="I492" s="1"/>
      <c r="J492" s="1"/>
      <c r="K492" s="1"/>
    </row>
    <row r="493" spans="5:11">
      <c r="E493" s="1"/>
      <c r="F493" s="1"/>
      <c r="G493" s="1"/>
      <c r="H493" s="1"/>
      <c r="I493" s="1"/>
      <c r="J493" s="1"/>
      <c r="K493" s="1"/>
    </row>
    <row r="494" spans="5:11">
      <c r="E494" s="1"/>
      <c r="F494" s="1"/>
      <c r="G494" s="1"/>
      <c r="H494" s="1"/>
      <c r="I494" s="1"/>
      <c r="J494" s="1"/>
      <c r="K494" s="1"/>
    </row>
    <row r="495" spans="5:11">
      <c r="E495" s="1"/>
      <c r="F495" s="1"/>
      <c r="G495" s="1"/>
      <c r="H495" s="1"/>
      <c r="I495" s="1"/>
      <c r="J495" s="1"/>
      <c r="K495" s="1"/>
    </row>
    <row r="496" spans="5:11">
      <c r="E496" s="1"/>
      <c r="F496" s="1"/>
      <c r="G496" s="1"/>
      <c r="H496" s="1"/>
      <c r="I496" s="1"/>
      <c r="J496" s="1"/>
      <c r="K496" s="1"/>
    </row>
    <row r="497" spans="5:11">
      <c r="E497" s="1"/>
      <c r="F497" s="1"/>
      <c r="G497" s="1"/>
      <c r="H497" s="1"/>
      <c r="I497" s="1"/>
      <c r="J497" s="1"/>
      <c r="K497" s="1"/>
    </row>
    <row r="498" spans="5:11">
      <c r="E498" s="1"/>
      <c r="F498" s="1"/>
      <c r="G498" s="1"/>
      <c r="H498" s="1"/>
      <c r="I498" s="1"/>
      <c r="J498" s="1"/>
      <c r="K498" s="1"/>
    </row>
    <row r="499" spans="5:11">
      <c r="E499" s="1"/>
      <c r="F499" s="1"/>
      <c r="G499" s="1"/>
      <c r="H499" s="1"/>
      <c r="I499" s="1"/>
      <c r="J499" s="1"/>
      <c r="K499" s="1"/>
    </row>
    <row r="500" spans="5:11">
      <c r="E500" s="1"/>
      <c r="F500" s="1"/>
      <c r="G500" s="1"/>
      <c r="H500" s="1"/>
      <c r="I500" s="1"/>
      <c r="J500" s="1"/>
      <c r="K500" s="1"/>
    </row>
    <row r="501" spans="5:11">
      <c r="E501" s="1"/>
      <c r="F501" s="1"/>
      <c r="G501" s="1"/>
      <c r="H501" s="1"/>
      <c r="I501" s="1"/>
      <c r="J501" s="1"/>
      <c r="K501" s="1"/>
    </row>
    <row r="502" spans="5:11">
      <c r="E502" s="1"/>
      <c r="F502" s="1"/>
      <c r="G502" s="1"/>
      <c r="H502" s="1"/>
      <c r="I502" s="1"/>
      <c r="J502" s="1"/>
      <c r="K502" s="1"/>
    </row>
    <row r="503" spans="5:11">
      <c r="E503" s="1"/>
      <c r="F503" s="1"/>
      <c r="G503" s="1"/>
      <c r="H503" s="1"/>
      <c r="I503" s="1"/>
      <c r="J503" s="1"/>
      <c r="K503" s="1"/>
    </row>
    <row r="504" spans="5:11">
      <c r="E504" s="1"/>
      <c r="F504" s="1"/>
      <c r="G504" s="1"/>
      <c r="H504" s="1"/>
      <c r="I504" s="1"/>
      <c r="J504" s="1"/>
      <c r="K504" s="1"/>
    </row>
    <row r="505" spans="5:11">
      <c r="E505" s="1"/>
      <c r="F505" s="1"/>
      <c r="G505" s="1"/>
      <c r="H505" s="1"/>
      <c r="I505" s="1"/>
      <c r="J505" s="1"/>
      <c r="K505" s="1"/>
    </row>
    <row r="506" spans="5:11">
      <c r="E506" s="1"/>
      <c r="F506" s="1"/>
      <c r="G506" s="1"/>
      <c r="H506" s="1"/>
      <c r="I506" s="1"/>
      <c r="J506" s="1"/>
      <c r="K506" s="1"/>
    </row>
    <row r="507" spans="5:11">
      <c r="E507" s="1"/>
      <c r="F507" s="1"/>
      <c r="G507" s="1"/>
      <c r="H507" s="1"/>
      <c r="I507" s="1"/>
      <c r="J507" s="1"/>
      <c r="K507" s="1"/>
    </row>
    <row r="508" spans="5:11">
      <c r="E508" s="1"/>
      <c r="F508" s="1"/>
      <c r="G508" s="1"/>
      <c r="H508" s="1"/>
      <c r="I508" s="1"/>
      <c r="J508" s="1"/>
      <c r="K508" s="1"/>
    </row>
    <row r="509" spans="5:11">
      <c r="E509" s="1"/>
      <c r="F509" s="1"/>
      <c r="G509" s="1"/>
      <c r="H509" s="1"/>
      <c r="I509" s="1"/>
      <c r="J509" s="1"/>
      <c r="K509" s="1"/>
    </row>
    <row r="510" spans="5:11">
      <c r="E510" s="1"/>
      <c r="F510" s="1"/>
      <c r="G510" s="1"/>
      <c r="H510" s="1"/>
      <c r="I510" s="1"/>
      <c r="J510" s="1"/>
      <c r="K510" s="1"/>
    </row>
    <row r="511" spans="5:11">
      <c r="E511" s="1"/>
      <c r="F511" s="1"/>
      <c r="G511" s="1"/>
      <c r="H511" s="1"/>
      <c r="I511" s="1"/>
      <c r="J511" s="1"/>
      <c r="K511" s="1"/>
    </row>
    <row r="512" spans="5:11">
      <c r="E512" s="1"/>
      <c r="F512" s="1"/>
      <c r="G512" s="1"/>
      <c r="H512" s="1"/>
      <c r="I512" s="1"/>
      <c r="J512" s="1"/>
      <c r="K512" s="1"/>
    </row>
    <row r="513" spans="5:11">
      <c r="E513" s="1"/>
      <c r="F513" s="1"/>
      <c r="G513" s="1"/>
      <c r="H513" s="1"/>
      <c r="I513" s="1"/>
      <c r="J513" s="1"/>
      <c r="K513" s="1"/>
    </row>
    <row r="514" spans="5:11">
      <c r="E514" s="1"/>
      <c r="F514" s="1"/>
      <c r="G514" s="1"/>
      <c r="H514" s="1"/>
      <c r="I514" s="1"/>
      <c r="J514" s="1"/>
      <c r="K514" s="1"/>
    </row>
    <row r="515" spans="5:11">
      <c r="E515" s="1"/>
      <c r="F515" s="1"/>
      <c r="G515" s="1"/>
      <c r="H515" s="1"/>
      <c r="I515" s="1"/>
      <c r="J515" s="1"/>
      <c r="K515" s="1"/>
    </row>
    <row r="516" spans="5:11">
      <c r="E516" s="1"/>
      <c r="F516" s="1"/>
      <c r="G516" s="1"/>
      <c r="H516" s="1"/>
      <c r="I516" s="1"/>
      <c r="J516" s="1"/>
      <c r="K516" s="1"/>
    </row>
    <row r="517" spans="5:11">
      <c r="E517" s="1"/>
      <c r="F517" s="1"/>
      <c r="G517" s="1"/>
      <c r="H517" s="1"/>
      <c r="I517" s="1"/>
      <c r="J517" s="1"/>
      <c r="K517" s="1"/>
    </row>
    <row r="518" spans="5:11">
      <c r="E518" s="1"/>
      <c r="F518" s="1"/>
      <c r="G518" s="1"/>
      <c r="H518" s="1"/>
      <c r="I518" s="1"/>
      <c r="J518" s="1"/>
      <c r="K518" s="1"/>
    </row>
    <row r="519" spans="5:11">
      <c r="E519" s="1"/>
      <c r="F519" s="1"/>
      <c r="G519" s="1"/>
      <c r="H519" s="1"/>
      <c r="I519" s="1"/>
      <c r="J519" s="1"/>
      <c r="K519" s="1"/>
    </row>
    <row r="520" spans="5:11">
      <c r="E520" s="1"/>
      <c r="F520" s="1"/>
      <c r="G520" s="1"/>
      <c r="H520" s="1"/>
      <c r="I520" s="1"/>
      <c r="J520" s="1"/>
      <c r="K520" s="1"/>
    </row>
    <row r="521" spans="5:11">
      <c r="E521" s="1"/>
      <c r="F521" s="1"/>
      <c r="G521" s="1"/>
      <c r="H521" s="1"/>
      <c r="I521" s="1"/>
      <c r="J521" s="1"/>
      <c r="K521" s="1"/>
    </row>
    <row r="522" spans="5:11">
      <c r="E522" s="1"/>
      <c r="F522" s="1"/>
      <c r="G522" s="1"/>
      <c r="H522" s="1"/>
      <c r="I522" s="1"/>
      <c r="J522" s="1"/>
      <c r="K522" s="1"/>
    </row>
    <row r="523" spans="5:11">
      <c r="E523" s="1"/>
      <c r="F523" s="1"/>
      <c r="G523" s="1"/>
      <c r="H523" s="1"/>
      <c r="I523" s="1"/>
      <c r="J523" s="1"/>
      <c r="K523" s="1"/>
    </row>
    <row r="524" spans="5:11">
      <c r="E524" s="1"/>
      <c r="F524" s="1"/>
      <c r="G524" s="1"/>
      <c r="H524" s="1"/>
      <c r="I524" s="1"/>
      <c r="J524" s="1"/>
      <c r="K524" s="1"/>
    </row>
    <row r="525" spans="5:11">
      <c r="E525" s="1"/>
      <c r="F525" s="1"/>
      <c r="G525" s="1"/>
      <c r="H525" s="1"/>
      <c r="I525" s="1"/>
      <c r="J525" s="1"/>
      <c r="K525" s="1"/>
    </row>
    <row r="526" spans="5:11">
      <c r="E526" s="1"/>
      <c r="F526" s="1"/>
      <c r="G526" s="1"/>
      <c r="H526" s="1"/>
      <c r="I526" s="1"/>
      <c r="J526" s="1"/>
      <c r="K526" s="1"/>
    </row>
    <row r="527" spans="5:11">
      <c r="E527" s="1"/>
      <c r="F527" s="1"/>
      <c r="G527" s="1"/>
      <c r="H527" s="1"/>
      <c r="I527" s="1"/>
      <c r="J527" s="1"/>
      <c r="K527" s="1"/>
    </row>
    <row r="528" spans="5:11">
      <c r="E528" s="1"/>
      <c r="F528" s="1"/>
      <c r="G528" s="1"/>
      <c r="H528" s="1"/>
      <c r="I528" s="1"/>
      <c r="J528" s="1"/>
      <c r="K528" s="1"/>
    </row>
    <row r="529" spans="5:11">
      <c r="E529" s="1"/>
      <c r="F529" s="1"/>
      <c r="G529" s="1"/>
      <c r="H529" s="1"/>
      <c r="I529" s="1"/>
      <c r="J529" s="1"/>
      <c r="K529" s="1"/>
    </row>
    <row r="530" spans="5:11">
      <c r="E530" s="1"/>
      <c r="F530" s="1"/>
      <c r="G530" s="1"/>
      <c r="H530" s="1"/>
      <c r="I530" s="1"/>
      <c r="J530" s="1"/>
      <c r="K530" s="1"/>
    </row>
    <row r="531" spans="5:11">
      <c r="E531" s="1"/>
      <c r="F531" s="1"/>
      <c r="G531" s="1"/>
      <c r="H531" s="1"/>
      <c r="I531" s="1"/>
      <c r="J531" s="1"/>
      <c r="K531" s="1"/>
    </row>
    <row r="532" spans="5:11">
      <c r="E532" s="1"/>
      <c r="F532" s="1"/>
      <c r="G532" s="1"/>
      <c r="H532" s="1"/>
      <c r="I532" s="1"/>
      <c r="J532" s="1"/>
      <c r="K532" s="1"/>
    </row>
    <row r="533" spans="5:11">
      <c r="E533" s="1"/>
      <c r="F533" s="1"/>
      <c r="G533" s="1"/>
      <c r="H533" s="1"/>
      <c r="I533" s="1"/>
      <c r="J533" s="1"/>
      <c r="K533" s="1"/>
    </row>
    <row r="534" spans="5:11">
      <c r="E534" s="1"/>
      <c r="F534" s="1"/>
      <c r="G534" s="1"/>
      <c r="H534" s="1"/>
      <c r="I534" s="1"/>
      <c r="J534" s="1"/>
      <c r="K534" s="1"/>
    </row>
    <row r="535" spans="5:11">
      <c r="E535" s="1"/>
      <c r="F535" s="1"/>
      <c r="G535" s="1"/>
      <c r="H535" s="1"/>
      <c r="I535" s="1"/>
      <c r="J535" s="1"/>
      <c r="K535" s="1"/>
    </row>
    <row r="536" spans="5:11">
      <c r="E536" s="1"/>
      <c r="F536" s="1"/>
      <c r="G536" s="1"/>
      <c r="H536" s="1"/>
      <c r="I536" s="1"/>
      <c r="J536" s="1"/>
      <c r="K536" s="1"/>
    </row>
    <row r="537" spans="5:11">
      <c r="E537" s="1"/>
      <c r="F537" s="1"/>
      <c r="G537" s="1"/>
      <c r="H537" s="1"/>
      <c r="I537" s="1"/>
      <c r="J537" s="1"/>
      <c r="K537" s="1"/>
    </row>
    <row r="538" spans="5:11">
      <c r="E538" s="1"/>
      <c r="F538" s="1"/>
      <c r="G538" s="1"/>
      <c r="H538" s="1"/>
      <c r="I538" s="1"/>
      <c r="J538" s="1"/>
      <c r="K538" s="1"/>
    </row>
    <row r="539" spans="5:11">
      <c r="E539" s="1"/>
      <c r="F539" s="1"/>
      <c r="G539" s="1"/>
      <c r="H539" s="1"/>
      <c r="I539" s="1"/>
      <c r="J539" s="1"/>
      <c r="K539" s="1"/>
    </row>
    <row r="540" spans="5:11">
      <c r="E540" s="1"/>
      <c r="F540" s="1"/>
      <c r="G540" s="1"/>
      <c r="H540" s="1"/>
      <c r="I540" s="1"/>
      <c r="J540" s="1"/>
      <c r="K540" s="1"/>
    </row>
    <row r="541" spans="5:11">
      <c r="E541" s="1"/>
      <c r="F541" s="1"/>
      <c r="G541" s="1"/>
      <c r="H541" s="1"/>
      <c r="I541" s="1"/>
      <c r="J541" s="1"/>
      <c r="K541" s="1"/>
    </row>
    <row r="542" spans="5:11">
      <c r="E542" s="1"/>
      <c r="F542" s="1"/>
      <c r="G542" s="1"/>
      <c r="H542" s="1"/>
      <c r="I542" s="1"/>
      <c r="J542" s="1"/>
      <c r="K542" s="1"/>
    </row>
    <row r="543" spans="5:11">
      <c r="E543" s="1"/>
      <c r="F543" s="1"/>
      <c r="G543" s="1"/>
      <c r="H543" s="1"/>
      <c r="I543" s="1"/>
      <c r="J543" s="1"/>
      <c r="K543" s="1"/>
    </row>
    <row r="544" spans="5:11">
      <c r="E544" s="1"/>
      <c r="F544" s="1"/>
      <c r="G544" s="1"/>
      <c r="H544" s="1"/>
      <c r="I544" s="1"/>
      <c r="J544" s="1"/>
      <c r="K544" s="1"/>
    </row>
    <row r="545" spans="5:11">
      <c r="E545" s="1"/>
      <c r="F545" s="1"/>
      <c r="G545" s="1"/>
      <c r="H545" s="1"/>
      <c r="I545" s="1"/>
      <c r="J545" s="1"/>
      <c r="K545" s="1"/>
    </row>
    <row r="546" spans="5:11">
      <c r="E546" s="1"/>
      <c r="F546" s="1"/>
      <c r="G546" s="1"/>
      <c r="H546" s="1"/>
      <c r="I546" s="1"/>
      <c r="J546" s="1"/>
      <c r="K546" s="1"/>
    </row>
    <row r="547" spans="5:11">
      <c r="E547" s="1"/>
      <c r="F547" s="1"/>
      <c r="G547" s="1"/>
      <c r="H547" s="1"/>
      <c r="I547" s="1"/>
      <c r="J547" s="1"/>
      <c r="K547" s="1"/>
    </row>
    <row r="548" spans="5:11">
      <c r="E548" s="1"/>
      <c r="F548" s="1"/>
      <c r="G548" s="1"/>
      <c r="H548" s="1"/>
      <c r="I548" s="1"/>
      <c r="J548" s="1"/>
      <c r="K548" s="1"/>
    </row>
    <row r="549" spans="5:11">
      <c r="E549" s="1"/>
      <c r="F549" s="1"/>
      <c r="G549" s="1"/>
      <c r="H549" s="1"/>
      <c r="I549" s="1"/>
      <c r="J549" s="1"/>
      <c r="K549" s="1"/>
    </row>
    <row r="550" spans="5:11">
      <c r="E550" s="1"/>
      <c r="F550" s="1"/>
      <c r="G550" s="1"/>
      <c r="H550" s="1"/>
      <c r="I550" s="1"/>
      <c r="J550" s="1"/>
      <c r="K550" s="1"/>
    </row>
    <row r="551" spans="5:11">
      <c r="E551" s="1"/>
      <c r="F551" s="1"/>
      <c r="G551" s="1"/>
      <c r="H551" s="1"/>
      <c r="I551" s="1"/>
      <c r="J551" s="1"/>
      <c r="K551" s="1"/>
    </row>
    <row r="552" spans="5:11">
      <c r="E552" s="1"/>
      <c r="F552" s="1"/>
      <c r="G552" s="1"/>
      <c r="H552" s="1"/>
      <c r="I552" s="1"/>
      <c r="J552" s="1"/>
      <c r="K552" s="1"/>
    </row>
    <row r="553" spans="5:11">
      <c r="E553" s="1"/>
      <c r="F553" s="1"/>
      <c r="G553" s="1"/>
      <c r="H553" s="1"/>
      <c r="I553" s="1"/>
      <c r="J553" s="1"/>
      <c r="K553" s="1"/>
    </row>
    <row r="554" spans="5:11">
      <c r="E554" s="1"/>
      <c r="F554" s="1"/>
      <c r="G554" s="1"/>
      <c r="H554" s="1"/>
      <c r="I554" s="1"/>
      <c r="J554" s="1"/>
      <c r="K554" s="1"/>
    </row>
    <row r="555" spans="5:11">
      <c r="E555" s="1"/>
      <c r="F555" s="1"/>
      <c r="G555" s="1"/>
      <c r="H555" s="1"/>
      <c r="I555" s="1"/>
      <c r="J555" s="1"/>
      <c r="K555" s="1"/>
    </row>
    <row r="556" spans="5:11">
      <c r="E556" s="1"/>
      <c r="F556" s="1"/>
      <c r="G556" s="1"/>
      <c r="H556" s="1"/>
      <c r="I556" s="1"/>
      <c r="J556" s="1"/>
      <c r="K556" s="1"/>
    </row>
    <row r="557" spans="5:11">
      <c r="E557" s="1"/>
      <c r="F557" s="1"/>
      <c r="G557" s="1"/>
      <c r="H557" s="1"/>
      <c r="I557" s="1"/>
      <c r="J557" s="1"/>
      <c r="K557" s="1"/>
    </row>
    <row r="558" spans="5:11">
      <c r="E558" s="1"/>
      <c r="F558" s="1"/>
      <c r="G558" s="1"/>
      <c r="H558" s="1"/>
      <c r="I558" s="1"/>
      <c r="J558" s="1"/>
      <c r="K558" s="1"/>
    </row>
    <row r="559" spans="5:11">
      <c r="E559" s="1"/>
      <c r="F559" s="1"/>
      <c r="G559" s="1"/>
      <c r="H559" s="1"/>
      <c r="I559" s="1"/>
      <c r="J559" s="1"/>
      <c r="K559" s="1"/>
    </row>
    <row r="560" spans="5:11">
      <c r="E560" s="1"/>
      <c r="F560" s="1"/>
      <c r="G560" s="1"/>
      <c r="H560" s="1"/>
      <c r="I560" s="1"/>
      <c r="J560" s="1"/>
      <c r="K560" s="1"/>
    </row>
    <row r="561" spans="5:11">
      <c r="E561" s="1"/>
      <c r="F561" s="1"/>
      <c r="G561" s="1"/>
      <c r="H561" s="1"/>
      <c r="I561" s="1"/>
      <c r="J561" s="1"/>
      <c r="K561" s="1"/>
    </row>
    <row r="562" spans="5:11">
      <c r="E562" s="1"/>
      <c r="F562" s="1"/>
      <c r="G562" s="1"/>
      <c r="H562" s="1"/>
      <c r="I562" s="1"/>
      <c r="J562" s="1"/>
      <c r="K562" s="1"/>
    </row>
    <row r="563" spans="5:11">
      <c r="E563" s="1"/>
      <c r="F563" s="1"/>
      <c r="G563" s="1"/>
      <c r="H563" s="1"/>
      <c r="I563" s="1"/>
      <c r="J563" s="1"/>
      <c r="K563" s="1"/>
    </row>
    <row r="564" spans="5:11">
      <c r="E564" s="1"/>
      <c r="F564" s="1"/>
      <c r="G564" s="1"/>
      <c r="H564" s="1"/>
      <c r="I564" s="1"/>
      <c r="J564" s="1"/>
      <c r="K564" s="1"/>
    </row>
    <row r="565" spans="5:11">
      <c r="E565" s="1"/>
      <c r="F565" s="1"/>
      <c r="G565" s="1"/>
      <c r="H565" s="1"/>
      <c r="I565" s="1"/>
      <c r="J565" s="1"/>
      <c r="K565" s="1"/>
    </row>
    <row r="566" spans="5:11">
      <c r="E566" s="1"/>
      <c r="F566" s="1"/>
      <c r="G566" s="1"/>
      <c r="H566" s="1"/>
      <c r="I566" s="1"/>
      <c r="J566" s="1"/>
      <c r="K566" s="1"/>
    </row>
    <row r="567" spans="5:11">
      <c r="E567" s="1"/>
      <c r="F567" s="1"/>
      <c r="G567" s="1"/>
      <c r="H567" s="1"/>
      <c r="I567" s="1"/>
      <c r="J567" s="1"/>
      <c r="K567" s="1"/>
    </row>
    <row r="568" spans="5:11">
      <c r="E568" s="1"/>
      <c r="F568" s="1"/>
      <c r="G568" s="1"/>
      <c r="H568" s="1"/>
      <c r="I568" s="1"/>
      <c r="J568" s="1"/>
      <c r="K568" s="1"/>
    </row>
    <row r="569" spans="5:11">
      <c r="E569" s="1"/>
      <c r="F569" s="1"/>
      <c r="G569" s="1"/>
      <c r="H569" s="1"/>
      <c r="I569" s="1"/>
      <c r="J569" s="1"/>
      <c r="K569" s="1"/>
    </row>
    <row r="570" spans="5:11">
      <c r="E570" s="1"/>
      <c r="F570" s="1"/>
      <c r="G570" s="1"/>
      <c r="H570" s="1"/>
      <c r="I570" s="1"/>
      <c r="J570" s="1"/>
      <c r="K570" s="1"/>
    </row>
    <row r="571" spans="5:11">
      <c r="E571" s="1"/>
      <c r="F571" s="1"/>
      <c r="G571" s="1"/>
      <c r="H571" s="1"/>
      <c r="I571" s="1"/>
      <c r="J571" s="1"/>
      <c r="K571" s="1"/>
    </row>
    <row r="572" spans="5:11">
      <c r="E572" s="1"/>
      <c r="F572" s="1"/>
      <c r="G572" s="1"/>
      <c r="H572" s="1"/>
      <c r="I572" s="1"/>
      <c r="J572" s="1"/>
      <c r="K572" s="1"/>
    </row>
    <row r="573" spans="5:11">
      <c r="E573" s="1"/>
      <c r="F573" s="1"/>
      <c r="G573" s="1"/>
      <c r="H573" s="1"/>
      <c r="I573" s="1"/>
      <c r="J573" s="1"/>
      <c r="K573" s="1"/>
    </row>
    <row r="574" spans="5:11">
      <c r="E574" s="1"/>
      <c r="F574" s="1"/>
      <c r="G574" s="1"/>
      <c r="H574" s="1"/>
      <c r="I574" s="1"/>
      <c r="J574" s="1"/>
      <c r="K574" s="1"/>
    </row>
    <row r="575" spans="5:11">
      <c r="E575" s="1"/>
      <c r="F575" s="1"/>
      <c r="G575" s="1"/>
      <c r="H575" s="1"/>
      <c r="I575" s="1"/>
      <c r="J575" s="1"/>
      <c r="K575" s="1"/>
    </row>
    <row r="576" spans="5:11">
      <c r="E576" s="1"/>
      <c r="F576" s="1"/>
      <c r="G576" s="1"/>
      <c r="H576" s="1"/>
      <c r="I576" s="1"/>
      <c r="J576" s="1"/>
      <c r="K576" s="1"/>
    </row>
    <row r="577" spans="5:11">
      <c r="E577" s="1"/>
      <c r="F577" s="1"/>
      <c r="G577" s="1"/>
      <c r="H577" s="1"/>
      <c r="I577" s="1"/>
      <c r="J577" s="1"/>
      <c r="K577" s="1"/>
    </row>
    <row r="578" spans="5:11">
      <c r="E578" s="1"/>
      <c r="F578" s="1"/>
      <c r="G578" s="1"/>
      <c r="H578" s="1"/>
      <c r="I578" s="1"/>
      <c r="J578" s="1"/>
      <c r="K578" s="1"/>
    </row>
    <row r="579" spans="5:11">
      <c r="E579" s="1"/>
      <c r="F579" s="1"/>
      <c r="G579" s="1"/>
      <c r="H579" s="1"/>
      <c r="I579" s="1"/>
      <c r="J579" s="1"/>
      <c r="K579" s="1"/>
    </row>
    <row r="580" spans="5:11">
      <c r="E580" s="1"/>
      <c r="F580" s="1"/>
      <c r="G580" s="1"/>
      <c r="H580" s="1"/>
      <c r="I580" s="1"/>
      <c r="J580" s="1"/>
      <c r="K580" s="1"/>
    </row>
    <row r="581" spans="5:11">
      <c r="E581" s="1"/>
      <c r="F581" s="1"/>
      <c r="G581" s="1"/>
      <c r="H581" s="1"/>
      <c r="I581" s="1"/>
      <c r="J581" s="1"/>
      <c r="K581" s="1"/>
    </row>
    <row r="582" spans="5:11">
      <c r="E582" s="1"/>
      <c r="F582" s="1"/>
      <c r="G582" s="1"/>
      <c r="H582" s="1"/>
      <c r="I582" s="1"/>
      <c r="J582" s="1"/>
      <c r="K582" s="1"/>
    </row>
    <row r="583" spans="5:11">
      <c r="E583" s="1"/>
      <c r="F583" s="1"/>
      <c r="G583" s="1"/>
      <c r="H583" s="1"/>
      <c r="I583" s="1"/>
      <c r="J583" s="1"/>
      <c r="K583" s="1"/>
    </row>
    <row r="584" spans="5:11">
      <c r="E584" s="1"/>
      <c r="F584" s="1"/>
      <c r="G584" s="1"/>
      <c r="H584" s="1"/>
      <c r="I584" s="1"/>
      <c r="J584" s="1"/>
      <c r="K584" s="1"/>
    </row>
    <row r="585" spans="5:11">
      <c r="E585" s="1"/>
      <c r="F585" s="1"/>
      <c r="G585" s="1"/>
      <c r="H585" s="1"/>
      <c r="I585" s="1"/>
      <c r="J585" s="1"/>
      <c r="K585" s="1"/>
    </row>
    <row r="586" spans="5:11">
      <c r="E586" s="1"/>
      <c r="F586" s="1"/>
      <c r="G586" s="1"/>
      <c r="H586" s="1"/>
      <c r="I586" s="1"/>
      <c r="J586" s="1"/>
      <c r="K586" s="1"/>
    </row>
    <row r="587" spans="5:11">
      <c r="E587" s="1"/>
      <c r="F587" s="1"/>
      <c r="G587" s="1"/>
      <c r="H587" s="1"/>
      <c r="I587" s="1"/>
      <c r="J587" s="1"/>
      <c r="K587" s="1"/>
    </row>
    <row r="588" spans="5:11">
      <c r="E588" s="1"/>
      <c r="F588" s="1"/>
      <c r="G588" s="1"/>
      <c r="H588" s="1"/>
      <c r="I588" s="1"/>
      <c r="J588" s="1"/>
      <c r="K588" s="1"/>
    </row>
    <row r="589" spans="5:11">
      <c r="E589" s="1"/>
      <c r="F589" s="1"/>
      <c r="G589" s="1"/>
      <c r="H589" s="1"/>
      <c r="I589" s="1"/>
      <c r="J589" s="1"/>
      <c r="K589" s="1"/>
    </row>
    <row r="590" spans="5:11">
      <c r="E590" s="1"/>
      <c r="F590" s="1"/>
      <c r="G590" s="1"/>
      <c r="H590" s="1"/>
      <c r="I590" s="1"/>
      <c r="J590" s="1"/>
      <c r="K590" s="1"/>
    </row>
    <row r="591" spans="5:11">
      <c r="E591" s="1"/>
      <c r="F591" s="1"/>
      <c r="G591" s="1"/>
      <c r="H591" s="1"/>
      <c r="I591" s="1"/>
      <c r="J591" s="1"/>
      <c r="K591" s="1"/>
    </row>
    <row r="592" spans="5:11">
      <c r="E592" s="1"/>
      <c r="F592" s="1"/>
      <c r="G592" s="1"/>
      <c r="H592" s="1"/>
      <c r="I592" s="1"/>
      <c r="J592" s="1"/>
      <c r="K592" s="1"/>
    </row>
    <row r="593" spans="5:11">
      <c r="E593" s="1"/>
      <c r="F593" s="1"/>
      <c r="G593" s="1"/>
      <c r="H593" s="1"/>
      <c r="I593" s="1"/>
      <c r="J593" s="1"/>
      <c r="K593" s="1"/>
    </row>
    <row r="594" spans="5:11">
      <c r="E594" s="1"/>
      <c r="F594" s="1"/>
      <c r="G594" s="1"/>
      <c r="H594" s="1"/>
      <c r="I594" s="1"/>
      <c r="J594" s="1"/>
      <c r="K594" s="1"/>
    </row>
    <row r="595" spans="5:11">
      <c r="E595" s="1"/>
      <c r="F595" s="1"/>
      <c r="G595" s="1"/>
      <c r="H595" s="1"/>
      <c r="I595" s="1"/>
      <c r="J595" s="1"/>
      <c r="K595" s="1"/>
    </row>
    <row r="596" spans="5:11">
      <c r="E596" s="1"/>
      <c r="F596" s="1"/>
      <c r="G596" s="1"/>
      <c r="H596" s="1"/>
      <c r="I596" s="1"/>
      <c r="J596" s="1"/>
      <c r="K596" s="1"/>
    </row>
    <row r="597" spans="5:11">
      <c r="E597" s="1"/>
      <c r="F597" s="1"/>
      <c r="G597" s="1"/>
      <c r="H597" s="1"/>
      <c r="I597" s="1"/>
      <c r="J597" s="1"/>
      <c r="K597" s="1"/>
    </row>
    <row r="598" spans="5:11">
      <c r="E598" s="1"/>
      <c r="F598" s="1"/>
      <c r="G598" s="1"/>
      <c r="H598" s="1"/>
      <c r="I598" s="1"/>
      <c r="J598" s="1"/>
      <c r="K598" s="1"/>
    </row>
    <row r="599" spans="5:11">
      <c r="E599" s="1"/>
      <c r="F599" s="1"/>
      <c r="G599" s="1"/>
      <c r="H599" s="1"/>
      <c r="I599" s="1"/>
      <c r="J599" s="1"/>
      <c r="K599" s="1"/>
    </row>
    <row r="600" spans="5:11">
      <c r="E600" s="1"/>
      <c r="F600" s="1"/>
      <c r="G600" s="1"/>
      <c r="H600" s="1"/>
      <c r="I600" s="1"/>
      <c r="J600" s="1"/>
      <c r="K600" s="1"/>
    </row>
    <row r="601" spans="5:11">
      <c r="E601" s="1"/>
      <c r="F601" s="1"/>
      <c r="G601" s="1"/>
      <c r="H601" s="1"/>
      <c r="I601" s="1"/>
      <c r="J601" s="1"/>
      <c r="K601" s="1"/>
    </row>
    <row r="602" spans="5:11">
      <c r="E602" s="1"/>
      <c r="F602" s="1"/>
      <c r="G602" s="1"/>
      <c r="H602" s="1"/>
      <c r="I602" s="1"/>
      <c r="J602" s="1"/>
      <c r="K602" s="1"/>
    </row>
    <row r="603" spans="5:11">
      <c r="E603" s="1"/>
      <c r="F603" s="1"/>
      <c r="G603" s="1"/>
      <c r="H603" s="1"/>
      <c r="I603" s="1"/>
      <c r="J603" s="1"/>
      <c r="K603" s="1"/>
    </row>
    <row r="604" spans="5:11">
      <c r="E604" s="1"/>
      <c r="F604" s="1"/>
      <c r="G604" s="1"/>
      <c r="H604" s="1"/>
      <c r="I604" s="1"/>
      <c r="J604" s="1"/>
      <c r="K604" s="1"/>
    </row>
    <row r="605" spans="5:11">
      <c r="E605" s="1"/>
      <c r="F605" s="1"/>
      <c r="G605" s="1"/>
      <c r="H605" s="1"/>
      <c r="I605" s="1"/>
      <c r="J605" s="1"/>
      <c r="K605" s="1"/>
    </row>
    <row r="606" spans="5:11">
      <c r="E606" s="1"/>
      <c r="F606" s="1"/>
      <c r="G606" s="1"/>
      <c r="H606" s="1"/>
      <c r="I606" s="1"/>
      <c r="J606" s="1"/>
      <c r="K606" s="1"/>
    </row>
    <row r="607" spans="5:11">
      <c r="E607" s="1"/>
      <c r="F607" s="1"/>
      <c r="G607" s="1"/>
      <c r="H607" s="1"/>
      <c r="I607" s="1"/>
      <c r="J607" s="1"/>
      <c r="K607" s="1"/>
    </row>
    <row r="608" spans="5:11">
      <c r="E608" s="1"/>
      <c r="F608" s="1"/>
      <c r="G608" s="1"/>
      <c r="H608" s="1"/>
      <c r="I608" s="1"/>
      <c r="J608" s="1"/>
      <c r="K608" s="1"/>
    </row>
    <row r="609" spans="5:11">
      <c r="E609" s="1"/>
      <c r="F609" s="1"/>
      <c r="G609" s="1"/>
      <c r="H609" s="1"/>
      <c r="I609" s="1"/>
      <c r="J609" s="1"/>
      <c r="K609" s="1"/>
    </row>
    <row r="610" spans="5:11">
      <c r="E610" s="1"/>
      <c r="F610" s="1"/>
      <c r="G610" s="1"/>
      <c r="H610" s="1"/>
      <c r="I610" s="1"/>
      <c r="J610" s="1"/>
      <c r="K610" s="1"/>
    </row>
    <row r="611" spans="5:11">
      <c r="E611" s="1"/>
      <c r="F611" s="1"/>
      <c r="G611" s="1"/>
      <c r="H611" s="1"/>
      <c r="I611" s="1"/>
      <c r="J611" s="1"/>
      <c r="K611" s="1"/>
    </row>
    <row r="612" spans="5:11">
      <c r="E612" s="1"/>
      <c r="F612" s="1"/>
      <c r="G612" s="1"/>
      <c r="H612" s="1"/>
      <c r="I612" s="1"/>
      <c r="J612" s="1"/>
      <c r="K612" s="1"/>
    </row>
    <row r="613" spans="5:11">
      <c r="E613" s="1"/>
      <c r="F613" s="1"/>
      <c r="G613" s="1"/>
      <c r="H613" s="1"/>
      <c r="I613" s="1"/>
      <c r="J613" s="1"/>
      <c r="K613" s="1"/>
    </row>
    <row r="614" spans="5:11">
      <c r="E614" s="1"/>
      <c r="F614" s="1"/>
      <c r="G614" s="1"/>
      <c r="H614" s="1"/>
      <c r="I614" s="1"/>
      <c r="J614" s="1"/>
      <c r="K614" s="1"/>
    </row>
    <row r="615" spans="5:11">
      <c r="E615" s="1"/>
      <c r="F615" s="1"/>
      <c r="G615" s="1"/>
      <c r="H615" s="1"/>
      <c r="I615" s="1"/>
      <c r="J615" s="1"/>
      <c r="K615" s="1"/>
    </row>
    <row r="616" spans="5:11">
      <c r="E616" s="1"/>
      <c r="F616" s="1"/>
      <c r="G616" s="1"/>
      <c r="H616" s="1"/>
      <c r="I616" s="1"/>
      <c r="J616" s="1"/>
      <c r="K616" s="1"/>
    </row>
    <row r="617" spans="5:11">
      <c r="E617" s="1"/>
      <c r="F617" s="1"/>
      <c r="G617" s="1"/>
      <c r="H617" s="1"/>
      <c r="I617" s="1"/>
      <c r="J617" s="1"/>
      <c r="K617" s="1"/>
    </row>
    <row r="618" spans="5:11">
      <c r="E618" s="1"/>
      <c r="F618" s="1"/>
      <c r="G618" s="1"/>
      <c r="H618" s="1"/>
      <c r="I618" s="1"/>
      <c r="J618" s="1"/>
      <c r="K618" s="1"/>
    </row>
    <row r="619" spans="5:11">
      <c r="E619" s="1"/>
      <c r="F619" s="1"/>
      <c r="G619" s="1"/>
      <c r="H619" s="1"/>
      <c r="I619" s="1"/>
      <c r="J619" s="1"/>
      <c r="K619" s="1"/>
    </row>
    <row r="620" spans="5:11">
      <c r="E620" s="1"/>
      <c r="F620" s="1"/>
      <c r="G620" s="1"/>
      <c r="H620" s="1"/>
      <c r="I620" s="1"/>
      <c r="J620" s="1"/>
      <c r="K620" s="1"/>
    </row>
    <row r="621" spans="5:11">
      <c r="E621" s="1"/>
      <c r="F621" s="1"/>
      <c r="G621" s="1"/>
      <c r="H621" s="1"/>
      <c r="I621" s="1"/>
      <c r="J621" s="1"/>
      <c r="K621" s="1"/>
    </row>
    <row r="622" spans="5:11">
      <c r="E622" s="1"/>
      <c r="F622" s="1"/>
      <c r="G622" s="1"/>
      <c r="H622" s="1"/>
      <c r="I622" s="1"/>
      <c r="J622" s="1"/>
      <c r="K622" s="1"/>
    </row>
    <row r="623" spans="5:11">
      <c r="E623" s="1"/>
      <c r="F623" s="1"/>
      <c r="G623" s="1"/>
      <c r="H623" s="1"/>
      <c r="I623" s="1"/>
      <c r="J623" s="1"/>
      <c r="K623" s="1"/>
    </row>
    <row r="624" spans="5:11">
      <c r="E624" s="1"/>
      <c r="F624" s="1"/>
      <c r="G624" s="1"/>
      <c r="H624" s="1"/>
      <c r="I624" s="1"/>
      <c r="J624" s="1"/>
      <c r="K624" s="1"/>
    </row>
    <row r="625" spans="5:11">
      <c r="E625" s="1"/>
      <c r="F625" s="1"/>
      <c r="G625" s="1"/>
      <c r="H625" s="1"/>
      <c r="I625" s="1"/>
      <c r="J625" s="1"/>
      <c r="K625" s="1"/>
    </row>
    <row r="626" spans="5:11">
      <c r="E626" s="1"/>
      <c r="F626" s="1"/>
      <c r="G626" s="1"/>
      <c r="H626" s="1"/>
      <c r="I626" s="1"/>
      <c r="J626" s="1"/>
      <c r="K626" s="1"/>
    </row>
    <row r="627" spans="5:11">
      <c r="E627" s="1"/>
      <c r="F627" s="1"/>
      <c r="G627" s="1"/>
      <c r="H627" s="1"/>
      <c r="I627" s="1"/>
      <c r="J627" s="1"/>
      <c r="K627" s="1"/>
    </row>
    <row r="628" spans="5:11">
      <c r="E628" s="1"/>
      <c r="F628" s="1"/>
      <c r="G628" s="1"/>
      <c r="H628" s="1"/>
      <c r="I628" s="1"/>
      <c r="J628" s="1"/>
      <c r="K628" s="1"/>
    </row>
    <row r="629" spans="5:11">
      <c r="E629" s="1"/>
      <c r="F629" s="1"/>
      <c r="G629" s="1"/>
      <c r="H629" s="1"/>
      <c r="I629" s="1"/>
      <c r="J629" s="1"/>
      <c r="K629" s="1"/>
    </row>
    <row r="630" spans="5:11">
      <c r="E630" s="1"/>
      <c r="F630" s="1"/>
      <c r="G630" s="1"/>
      <c r="H630" s="1"/>
      <c r="I630" s="1"/>
      <c r="J630" s="1"/>
      <c r="K630" s="1"/>
    </row>
    <row r="631" spans="5:11">
      <c r="E631" s="1"/>
      <c r="F631" s="1"/>
      <c r="G631" s="1"/>
      <c r="H631" s="1"/>
      <c r="I631" s="1"/>
      <c r="J631" s="1"/>
      <c r="K631" s="1"/>
    </row>
    <row r="632" spans="5:11">
      <c r="E632" s="1"/>
      <c r="F632" s="1"/>
      <c r="G632" s="1"/>
      <c r="H632" s="1"/>
      <c r="I632" s="1"/>
      <c r="J632" s="1"/>
      <c r="K632" s="1"/>
    </row>
    <row r="633" spans="5:11">
      <c r="E633" s="1"/>
      <c r="F633" s="1"/>
      <c r="G633" s="1"/>
      <c r="H633" s="1"/>
      <c r="I633" s="1"/>
      <c r="J633" s="1"/>
      <c r="K633" s="1"/>
    </row>
    <row r="634" spans="5:11">
      <c r="E634" s="1"/>
      <c r="F634" s="1"/>
      <c r="G634" s="1"/>
      <c r="H634" s="1"/>
      <c r="I634" s="1"/>
      <c r="J634" s="1"/>
      <c r="K634" s="1"/>
    </row>
    <row r="635" spans="5:11">
      <c r="E635" s="1"/>
      <c r="F635" s="1"/>
      <c r="G635" s="1"/>
      <c r="H635" s="1"/>
      <c r="I635" s="1"/>
      <c r="J635" s="1"/>
      <c r="K635" s="1"/>
    </row>
    <row r="636" spans="5:11">
      <c r="E636" s="1"/>
      <c r="F636" s="1"/>
      <c r="G636" s="1"/>
      <c r="H636" s="1"/>
      <c r="I636" s="1"/>
      <c r="J636" s="1"/>
      <c r="K636" s="1"/>
    </row>
    <row r="637" spans="5:11">
      <c r="E637" s="1"/>
      <c r="F637" s="1"/>
      <c r="G637" s="1"/>
      <c r="H637" s="1"/>
      <c r="I637" s="1"/>
      <c r="J637" s="1"/>
      <c r="K637" s="1"/>
    </row>
    <row r="638" spans="5:11">
      <c r="E638" s="1"/>
      <c r="F638" s="1"/>
      <c r="G638" s="1"/>
      <c r="H638" s="1"/>
      <c r="I638" s="1"/>
      <c r="J638" s="1"/>
      <c r="K638" s="1"/>
    </row>
    <row r="639" spans="5:11">
      <c r="E639" s="1"/>
      <c r="F639" s="1"/>
      <c r="G639" s="1"/>
      <c r="H639" s="1"/>
      <c r="I639" s="1"/>
      <c r="J639" s="1"/>
      <c r="K639" s="1"/>
    </row>
    <row r="640" spans="5:11">
      <c r="E640" s="1"/>
      <c r="F640" s="1"/>
      <c r="G640" s="1"/>
      <c r="H640" s="1"/>
      <c r="I640" s="1"/>
      <c r="J640" s="1"/>
      <c r="K640" s="1"/>
    </row>
    <row r="641" spans="5:11">
      <c r="E641" s="1"/>
      <c r="F641" s="1"/>
      <c r="G641" s="1"/>
      <c r="H641" s="1"/>
      <c r="I641" s="1"/>
      <c r="J641" s="1"/>
      <c r="K641" s="1"/>
    </row>
    <row r="642" spans="5:11">
      <c r="E642" s="1"/>
      <c r="F642" s="1"/>
      <c r="G642" s="1"/>
      <c r="H642" s="1"/>
      <c r="I642" s="1"/>
      <c r="J642" s="1"/>
      <c r="K642" s="1"/>
    </row>
    <row r="643" spans="5:11">
      <c r="E643" s="1"/>
      <c r="F643" s="1"/>
      <c r="G643" s="1"/>
      <c r="H643" s="1"/>
      <c r="I643" s="1"/>
      <c r="J643" s="1"/>
      <c r="K643" s="1"/>
    </row>
    <row r="644" spans="5:11">
      <c r="E644" s="1"/>
      <c r="F644" s="1"/>
      <c r="G644" s="1"/>
      <c r="H644" s="1"/>
      <c r="I644" s="1"/>
      <c r="J644" s="1"/>
      <c r="K644" s="1"/>
    </row>
    <row r="645" spans="5:11">
      <c r="E645" s="1"/>
      <c r="F645" s="1"/>
      <c r="G645" s="1"/>
      <c r="H645" s="1"/>
      <c r="I645" s="1"/>
      <c r="J645" s="1"/>
      <c r="K645" s="1"/>
    </row>
    <row r="646" spans="5:11">
      <c r="E646" s="1"/>
      <c r="F646" s="1"/>
      <c r="G646" s="1"/>
      <c r="H646" s="1"/>
      <c r="I646" s="1"/>
      <c r="J646" s="1"/>
      <c r="K646" s="1"/>
    </row>
    <row r="647" spans="5:11">
      <c r="E647" s="1"/>
      <c r="F647" s="1"/>
      <c r="G647" s="1"/>
      <c r="H647" s="1"/>
      <c r="I647" s="1"/>
      <c r="J647" s="1"/>
      <c r="K647" s="1"/>
    </row>
    <row r="648" spans="5:11">
      <c r="E648" s="1"/>
      <c r="F648" s="1"/>
      <c r="G648" s="1"/>
      <c r="H648" s="1"/>
      <c r="I648" s="1"/>
      <c r="J648" s="1"/>
      <c r="K648" s="1"/>
    </row>
    <row r="649" spans="5:11">
      <c r="E649" s="1"/>
      <c r="F649" s="1"/>
      <c r="G649" s="1"/>
      <c r="H649" s="1"/>
      <c r="I649" s="1"/>
      <c r="J649" s="1"/>
      <c r="K649" s="1"/>
    </row>
    <row r="650" spans="5:11">
      <c r="E650" s="1"/>
      <c r="F650" s="1"/>
      <c r="G650" s="1"/>
      <c r="H650" s="1"/>
      <c r="I650" s="1"/>
      <c r="J650" s="1"/>
      <c r="K650" s="1"/>
    </row>
    <row r="651" spans="5:11">
      <c r="E651" s="1"/>
      <c r="F651" s="1"/>
      <c r="G651" s="1"/>
      <c r="H651" s="1"/>
      <c r="I651" s="1"/>
      <c r="J651" s="1"/>
      <c r="K651" s="1"/>
    </row>
    <row r="652" spans="5:11">
      <c r="E652" s="1"/>
      <c r="F652" s="1"/>
      <c r="G652" s="1"/>
      <c r="H652" s="1"/>
      <c r="I652" s="1"/>
      <c r="J652" s="1"/>
      <c r="K652" s="1"/>
    </row>
    <row r="653" spans="5:11">
      <c r="E653" s="1"/>
      <c r="F653" s="1"/>
      <c r="G653" s="1"/>
      <c r="H653" s="1"/>
      <c r="I653" s="1"/>
      <c r="J653" s="1"/>
      <c r="K653" s="1"/>
    </row>
    <row r="654" spans="5:11">
      <c r="E654" s="1"/>
      <c r="F654" s="1"/>
      <c r="G654" s="1"/>
      <c r="H654" s="1"/>
      <c r="I654" s="1"/>
      <c r="J654" s="1"/>
      <c r="K654" s="1"/>
    </row>
    <row r="655" spans="5:11">
      <c r="E655" s="1"/>
      <c r="F655" s="1"/>
      <c r="G655" s="1"/>
      <c r="H655" s="1"/>
      <c r="I655" s="1"/>
      <c r="J655" s="1"/>
      <c r="K655" s="1"/>
    </row>
    <row r="656" spans="5:11">
      <c r="E656" s="1"/>
      <c r="F656" s="1"/>
      <c r="G656" s="1"/>
      <c r="H656" s="1"/>
      <c r="I656" s="1"/>
      <c r="J656" s="1"/>
      <c r="K656" s="1"/>
    </row>
    <row r="657" spans="5:11">
      <c r="E657" s="1"/>
      <c r="F657" s="1"/>
      <c r="G657" s="1"/>
      <c r="H657" s="1"/>
      <c r="I657" s="1"/>
      <c r="J657" s="1"/>
      <c r="K657" s="1"/>
    </row>
    <row r="658" spans="5:11">
      <c r="E658" s="1"/>
      <c r="F658" s="1"/>
      <c r="G658" s="1"/>
      <c r="H658" s="1"/>
      <c r="I658" s="1"/>
      <c r="J658" s="1"/>
      <c r="K658" s="1"/>
    </row>
    <row r="659" spans="5:11">
      <c r="E659" s="1"/>
      <c r="F659" s="1"/>
      <c r="G659" s="1"/>
      <c r="H659" s="1"/>
      <c r="I659" s="1"/>
      <c r="J659" s="1"/>
      <c r="K659" s="1"/>
    </row>
    <row r="660" spans="5:11">
      <c r="E660" s="1"/>
      <c r="F660" s="1"/>
      <c r="G660" s="1"/>
      <c r="H660" s="1"/>
      <c r="I660" s="1"/>
      <c r="J660" s="1"/>
      <c r="K660" s="1"/>
    </row>
    <row r="661" spans="5:11">
      <c r="E661" s="1"/>
      <c r="F661" s="1"/>
      <c r="G661" s="1"/>
      <c r="H661" s="1"/>
      <c r="I661" s="1"/>
      <c r="J661" s="1"/>
      <c r="K661" s="1"/>
    </row>
    <row r="662" spans="5:11">
      <c r="E662" s="1"/>
      <c r="F662" s="1"/>
      <c r="G662" s="1"/>
      <c r="H662" s="1"/>
      <c r="I662" s="1"/>
      <c r="J662" s="1"/>
      <c r="K662" s="1"/>
    </row>
    <row r="663" spans="5:11">
      <c r="E663" s="1"/>
      <c r="F663" s="1"/>
      <c r="G663" s="1"/>
      <c r="H663" s="1"/>
      <c r="I663" s="1"/>
      <c r="J663" s="1"/>
      <c r="K663" s="1"/>
    </row>
    <row r="664" spans="5:11">
      <c r="E664" s="1"/>
      <c r="F664" s="1"/>
      <c r="G664" s="1"/>
      <c r="H664" s="1"/>
      <c r="I664" s="1"/>
      <c r="J664" s="1"/>
      <c r="K664" s="1"/>
    </row>
    <row r="665" spans="5:11">
      <c r="E665" s="1"/>
      <c r="F665" s="1"/>
      <c r="G665" s="1"/>
      <c r="H665" s="1"/>
      <c r="I665" s="1"/>
      <c r="J665" s="1"/>
      <c r="K665" s="1"/>
    </row>
    <row r="666" spans="5:11">
      <c r="E666" s="1"/>
      <c r="F666" s="1"/>
      <c r="G666" s="1"/>
      <c r="H666" s="1"/>
      <c r="I666" s="1"/>
      <c r="J666" s="1"/>
      <c r="K666" s="1"/>
    </row>
    <row r="667" spans="5:11">
      <c r="E667" s="1"/>
      <c r="F667" s="1"/>
      <c r="G667" s="1"/>
      <c r="H667" s="1"/>
      <c r="I667" s="1"/>
      <c r="J667" s="1"/>
      <c r="K667" s="1"/>
    </row>
    <row r="668" spans="5:11">
      <c r="E668" s="1"/>
      <c r="F668" s="1"/>
      <c r="G668" s="1"/>
      <c r="H668" s="1"/>
      <c r="I668" s="1"/>
      <c r="J668" s="1"/>
      <c r="K668" s="1"/>
    </row>
    <row r="669" spans="5:11">
      <c r="E669" s="1"/>
      <c r="F669" s="1"/>
      <c r="G669" s="1"/>
      <c r="H669" s="1"/>
      <c r="I669" s="1"/>
      <c r="J669" s="1"/>
      <c r="K669" s="1"/>
    </row>
    <row r="670" spans="5:11">
      <c r="E670" s="1"/>
      <c r="F670" s="1"/>
      <c r="G670" s="1"/>
      <c r="H670" s="1"/>
      <c r="I670" s="1"/>
      <c r="J670" s="1"/>
      <c r="K670" s="1"/>
    </row>
    <row r="671" spans="5:11">
      <c r="E671" s="1"/>
      <c r="F671" s="1"/>
      <c r="G671" s="1"/>
      <c r="H671" s="1"/>
      <c r="I671" s="1"/>
      <c r="J671" s="1"/>
      <c r="K671" s="1"/>
    </row>
    <row r="672" spans="5:11">
      <c r="E672" s="1"/>
      <c r="F672" s="1"/>
      <c r="G672" s="1"/>
      <c r="H672" s="1"/>
      <c r="I672" s="1"/>
      <c r="J672" s="1"/>
      <c r="K672" s="1"/>
    </row>
    <row r="673" spans="5:11">
      <c r="E673" s="1"/>
      <c r="F673" s="1"/>
      <c r="G673" s="1"/>
      <c r="H673" s="1"/>
      <c r="I673" s="1"/>
      <c r="J673" s="1"/>
      <c r="K673" s="1"/>
    </row>
    <row r="674" spans="5:11">
      <c r="E674" s="1"/>
      <c r="F674" s="1"/>
      <c r="G674" s="1"/>
      <c r="H674" s="1"/>
      <c r="I674" s="1"/>
      <c r="J674" s="1"/>
      <c r="K674" s="1"/>
    </row>
    <row r="675" spans="5:11">
      <c r="E675" s="1"/>
      <c r="F675" s="1"/>
      <c r="G675" s="1"/>
      <c r="H675" s="1"/>
      <c r="I675" s="1"/>
      <c r="J675" s="1"/>
      <c r="K675" s="1"/>
    </row>
    <row r="676" spans="5:11">
      <c r="E676" s="1"/>
      <c r="F676" s="1"/>
      <c r="G676" s="1"/>
      <c r="H676" s="1"/>
      <c r="I676" s="1"/>
      <c r="J676" s="1"/>
      <c r="K676" s="1"/>
    </row>
    <row r="677" spans="5:11">
      <c r="E677" s="1"/>
      <c r="F677" s="1"/>
      <c r="G677" s="1"/>
      <c r="H677" s="1"/>
      <c r="I677" s="1"/>
      <c r="J677" s="1"/>
      <c r="K677" s="1"/>
    </row>
    <row r="678" spans="5:11">
      <c r="E678" s="1"/>
      <c r="F678" s="1"/>
      <c r="G678" s="1"/>
      <c r="H678" s="1"/>
      <c r="I678" s="1"/>
      <c r="J678" s="1"/>
      <c r="K678" s="1"/>
    </row>
    <row r="679" spans="5:11">
      <c r="E679" s="1"/>
      <c r="F679" s="1"/>
      <c r="G679" s="1"/>
      <c r="H679" s="1"/>
      <c r="I679" s="1"/>
      <c r="J679" s="1"/>
      <c r="K679" s="1"/>
    </row>
    <row r="680" spans="5:11">
      <c r="E680" s="1"/>
      <c r="F680" s="1"/>
      <c r="G680" s="1"/>
      <c r="H680" s="1"/>
      <c r="I680" s="1"/>
      <c r="J680" s="1"/>
      <c r="K680" s="1"/>
    </row>
    <row r="681" spans="5:11">
      <c r="E681" s="1"/>
      <c r="F681" s="1"/>
      <c r="G681" s="1"/>
      <c r="H681" s="1"/>
      <c r="I681" s="1"/>
      <c r="J681" s="1"/>
      <c r="K681" s="1"/>
    </row>
    <row r="682" spans="5:11">
      <c r="E682" s="1"/>
      <c r="F682" s="1"/>
      <c r="G682" s="1"/>
      <c r="H682" s="1"/>
      <c r="I682" s="1"/>
      <c r="J682" s="1"/>
      <c r="K682" s="1"/>
    </row>
    <row r="683" spans="5:11">
      <c r="E683" s="1"/>
      <c r="F683" s="1"/>
      <c r="G683" s="1"/>
      <c r="H683" s="1"/>
      <c r="I683" s="1"/>
      <c r="J683" s="1"/>
      <c r="K683" s="1"/>
    </row>
    <row r="684" spans="5:11">
      <c r="E684" s="1"/>
      <c r="F684" s="1"/>
      <c r="G684" s="1"/>
      <c r="H684" s="1"/>
      <c r="I684" s="1"/>
      <c r="J684" s="1"/>
      <c r="K684" s="1"/>
    </row>
    <row r="685" spans="5:11">
      <c r="E685" s="1"/>
      <c r="F685" s="1"/>
      <c r="G685" s="1"/>
      <c r="H685" s="1"/>
      <c r="I685" s="1"/>
      <c r="J685" s="1"/>
      <c r="K685" s="1"/>
    </row>
    <row r="686" spans="5:11">
      <c r="E686" s="1"/>
      <c r="F686" s="1"/>
      <c r="G686" s="1"/>
      <c r="H686" s="1"/>
      <c r="I686" s="1"/>
      <c r="J686" s="1"/>
      <c r="K686" s="1"/>
    </row>
    <row r="687" spans="5:11">
      <c r="E687" s="1"/>
      <c r="F687" s="1"/>
      <c r="G687" s="1"/>
      <c r="H687" s="1"/>
      <c r="I687" s="1"/>
      <c r="J687" s="1"/>
      <c r="K687" s="1"/>
    </row>
    <row r="688" spans="5:11">
      <c r="E688" s="1"/>
      <c r="F688" s="1"/>
      <c r="G688" s="1"/>
      <c r="H688" s="1"/>
      <c r="I688" s="1"/>
      <c r="J688" s="1"/>
      <c r="K688" s="1"/>
    </row>
    <row r="689" spans="5:11">
      <c r="E689" s="1"/>
      <c r="F689" s="1"/>
      <c r="G689" s="1"/>
      <c r="H689" s="1"/>
      <c r="I689" s="1"/>
      <c r="J689" s="1"/>
      <c r="K689" s="1"/>
    </row>
    <row r="690" spans="5:11">
      <c r="E690" s="1"/>
      <c r="F690" s="1"/>
      <c r="G690" s="1"/>
      <c r="H690" s="1"/>
      <c r="I690" s="1"/>
      <c r="J690" s="1"/>
      <c r="K690" s="1"/>
    </row>
    <row r="691" spans="5:11">
      <c r="E691" s="1"/>
      <c r="F691" s="1"/>
      <c r="G691" s="1"/>
      <c r="H691" s="1"/>
      <c r="I691" s="1"/>
      <c r="J691" s="1"/>
      <c r="K691" s="1"/>
    </row>
    <row r="692" spans="5:11">
      <c r="E692" s="1"/>
      <c r="F692" s="1"/>
      <c r="G692" s="1"/>
      <c r="H692" s="1"/>
      <c r="I692" s="1"/>
      <c r="J692" s="1"/>
      <c r="K692" s="1"/>
    </row>
    <row r="693" spans="5:11">
      <c r="E693" s="1"/>
      <c r="F693" s="1"/>
      <c r="G693" s="1"/>
      <c r="H693" s="1"/>
      <c r="I693" s="1"/>
      <c r="J693" s="1"/>
      <c r="K693" s="1"/>
    </row>
    <row r="694" spans="5:11">
      <c r="E694" s="1"/>
      <c r="F694" s="1"/>
      <c r="G694" s="1"/>
      <c r="H694" s="1"/>
      <c r="I694" s="1"/>
      <c r="J694" s="1"/>
      <c r="K694" s="1"/>
    </row>
    <row r="695" spans="5:11">
      <c r="E695" s="1"/>
      <c r="F695" s="1"/>
      <c r="G695" s="1"/>
      <c r="H695" s="1"/>
      <c r="I695" s="1"/>
      <c r="J695" s="1"/>
      <c r="K695" s="1"/>
    </row>
    <row r="696" spans="5:11">
      <c r="E696" s="1"/>
      <c r="F696" s="1"/>
      <c r="G696" s="1"/>
      <c r="H696" s="1"/>
      <c r="I696" s="1"/>
      <c r="J696" s="1"/>
      <c r="K696" s="1"/>
    </row>
    <row r="697" spans="5:11">
      <c r="E697" s="1"/>
      <c r="F697" s="1"/>
      <c r="G697" s="1"/>
      <c r="H697" s="1"/>
      <c r="I697" s="1"/>
      <c r="J697" s="1"/>
      <c r="K697" s="1"/>
    </row>
    <row r="698" spans="5:11">
      <c r="E698" s="1"/>
      <c r="F698" s="1"/>
      <c r="G698" s="1"/>
      <c r="H698" s="1"/>
      <c r="I698" s="1"/>
      <c r="J698" s="1"/>
      <c r="K698" s="1"/>
    </row>
    <row r="699" spans="5:11">
      <c r="E699" s="1"/>
      <c r="F699" s="1"/>
      <c r="G699" s="1"/>
      <c r="H699" s="1"/>
      <c r="I699" s="1"/>
      <c r="J699" s="1"/>
      <c r="K699" s="1"/>
    </row>
    <row r="700" spans="5:11">
      <c r="E700" s="1"/>
      <c r="F700" s="1"/>
      <c r="G700" s="1"/>
      <c r="H700" s="1"/>
      <c r="I700" s="1"/>
      <c r="J700" s="1"/>
      <c r="K700" s="1"/>
    </row>
    <row r="701" spans="5:11">
      <c r="E701" s="1"/>
      <c r="F701" s="1"/>
      <c r="G701" s="1"/>
      <c r="H701" s="1"/>
      <c r="I701" s="1"/>
      <c r="J701" s="1"/>
      <c r="K701" s="1"/>
    </row>
    <row r="702" spans="5:11">
      <c r="E702" s="1"/>
      <c r="F702" s="1"/>
      <c r="G702" s="1"/>
      <c r="H702" s="1"/>
      <c r="I702" s="1"/>
      <c r="J702" s="1"/>
      <c r="K702" s="1"/>
    </row>
    <row r="703" spans="5:11">
      <c r="E703" s="1"/>
      <c r="F703" s="1"/>
      <c r="G703" s="1"/>
      <c r="H703" s="1"/>
      <c r="I703" s="1"/>
      <c r="J703" s="1"/>
      <c r="K703" s="1"/>
    </row>
    <row r="704" spans="5:11">
      <c r="E704" s="1"/>
      <c r="F704" s="1"/>
      <c r="G704" s="1"/>
      <c r="H704" s="1"/>
      <c r="I704" s="1"/>
      <c r="J704" s="1"/>
      <c r="K704" s="1"/>
    </row>
    <row r="705" spans="5:11">
      <c r="E705" s="1"/>
      <c r="F705" s="1"/>
      <c r="G705" s="1"/>
      <c r="H705" s="1"/>
      <c r="I705" s="1"/>
      <c r="J705" s="1"/>
      <c r="K705" s="1"/>
    </row>
    <row r="706" spans="5:11">
      <c r="E706" s="1"/>
      <c r="F706" s="1"/>
      <c r="G706" s="1"/>
      <c r="H706" s="1"/>
      <c r="I706" s="1"/>
      <c r="J706" s="1"/>
      <c r="K706" s="1"/>
    </row>
    <row r="707" spans="5:11">
      <c r="E707" s="1"/>
      <c r="F707" s="1"/>
      <c r="G707" s="1"/>
      <c r="H707" s="1"/>
      <c r="I707" s="1"/>
      <c r="J707" s="1"/>
      <c r="K707" s="1"/>
    </row>
    <row r="708" spans="5:11">
      <c r="E708" s="1"/>
      <c r="F708" s="1"/>
      <c r="G708" s="1"/>
      <c r="H708" s="1"/>
      <c r="I708" s="1"/>
      <c r="J708" s="1"/>
      <c r="K708" s="1"/>
    </row>
    <row r="709" spans="5:11">
      <c r="E709" s="1"/>
      <c r="F709" s="1"/>
      <c r="G709" s="1"/>
      <c r="H709" s="1"/>
      <c r="I709" s="1"/>
      <c r="J709" s="1"/>
      <c r="K709" s="1"/>
    </row>
    <row r="710" spans="5:11">
      <c r="E710" s="1"/>
      <c r="F710" s="1"/>
      <c r="G710" s="1"/>
      <c r="H710" s="1"/>
      <c r="I710" s="1"/>
      <c r="J710" s="1"/>
      <c r="K710" s="1"/>
    </row>
    <row r="711" spans="5:11">
      <c r="E711" s="1"/>
      <c r="F711" s="1"/>
      <c r="G711" s="1"/>
      <c r="H711" s="1"/>
      <c r="I711" s="1"/>
      <c r="J711" s="1"/>
      <c r="K711" s="1"/>
    </row>
    <row r="712" spans="5:11">
      <c r="E712" s="1"/>
      <c r="F712" s="1"/>
      <c r="G712" s="1"/>
      <c r="H712" s="1"/>
      <c r="I712" s="1"/>
      <c r="J712" s="1"/>
      <c r="K712" s="1"/>
    </row>
    <row r="713" spans="5:11">
      <c r="E713" s="1"/>
      <c r="F713" s="1"/>
      <c r="G713" s="1"/>
      <c r="H713" s="1"/>
      <c r="I713" s="1"/>
      <c r="J713" s="1"/>
      <c r="K713" s="1"/>
    </row>
    <row r="714" spans="5:11">
      <c r="E714" s="1"/>
      <c r="F714" s="1"/>
      <c r="G714" s="1"/>
      <c r="H714" s="1"/>
      <c r="I714" s="1"/>
      <c r="J714" s="1"/>
      <c r="K714" s="1"/>
    </row>
    <row r="715" spans="5:11">
      <c r="E715" s="1"/>
      <c r="F715" s="1"/>
      <c r="G715" s="1"/>
      <c r="H715" s="1"/>
      <c r="I715" s="1"/>
      <c r="J715" s="1"/>
      <c r="K715" s="1"/>
    </row>
    <row r="716" spans="5:11">
      <c r="E716" s="1"/>
      <c r="F716" s="1"/>
      <c r="G716" s="1"/>
      <c r="H716" s="1"/>
      <c r="I716" s="1"/>
      <c r="J716" s="1"/>
      <c r="K716" s="1"/>
    </row>
    <row r="717" spans="5:11">
      <c r="E717" s="1"/>
      <c r="F717" s="1"/>
      <c r="G717" s="1"/>
      <c r="H717" s="1"/>
      <c r="I717" s="1"/>
      <c r="J717" s="1"/>
      <c r="K717" s="1"/>
    </row>
    <row r="718" spans="5:11">
      <c r="E718" s="1"/>
      <c r="F718" s="1"/>
      <c r="G718" s="1"/>
      <c r="H718" s="1"/>
      <c r="I718" s="1"/>
      <c r="J718" s="1"/>
      <c r="K718" s="1"/>
    </row>
    <row r="719" spans="5:11">
      <c r="E719" s="1"/>
      <c r="F719" s="1"/>
      <c r="G719" s="1"/>
      <c r="H719" s="1"/>
      <c r="I719" s="1"/>
      <c r="J719" s="1"/>
      <c r="K719" s="1"/>
    </row>
    <row r="720" spans="5:11">
      <c r="E720" s="1"/>
      <c r="F720" s="1"/>
      <c r="G720" s="1"/>
      <c r="H720" s="1"/>
      <c r="I720" s="1"/>
      <c r="J720" s="1"/>
      <c r="K720" s="1"/>
    </row>
    <row r="721" spans="5:11">
      <c r="E721" s="1"/>
      <c r="F721" s="1"/>
      <c r="G721" s="1"/>
      <c r="H721" s="1"/>
      <c r="I721" s="1"/>
      <c r="J721" s="1"/>
      <c r="K721" s="1"/>
    </row>
    <row r="722" spans="5:11">
      <c r="E722" s="1"/>
      <c r="F722" s="1"/>
      <c r="G722" s="1"/>
      <c r="H722" s="1"/>
      <c r="I722" s="1"/>
      <c r="J722" s="1"/>
      <c r="K722" s="1"/>
    </row>
    <row r="723" spans="5:11">
      <c r="E723" s="1"/>
      <c r="F723" s="1"/>
      <c r="G723" s="1"/>
      <c r="H723" s="1"/>
      <c r="I723" s="1"/>
      <c r="J723" s="1"/>
      <c r="K723" s="1"/>
    </row>
    <row r="724" spans="5:11">
      <c r="E724" s="1"/>
      <c r="F724" s="1"/>
      <c r="G724" s="1"/>
      <c r="H724" s="1"/>
      <c r="I724" s="1"/>
      <c r="J724" s="1"/>
      <c r="K724" s="1"/>
    </row>
    <row r="725" spans="5:11">
      <c r="E725" s="1"/>
      <c r="F725" s="1"/>
      <c r="G725" s="1"/>
      <c r="H725" s="1"/>
      <c r="I725" s="1"/>
      <c r="J725" s="1"/>
      <c r="K725" s="1"/>
    </row>
    <row r="726" spans="5:11">
      <c r="E726" s="1"/>
      <c r="F726" s="1"/>
      <c r="G726" s="1"/>
      <c r="H726" s="1"/>
      <c r="I726" s="1"/>
      <c r="J726" s="1"/>
      <c r="K726" s="1"/>
    </row>
    <row r="727" spans="5:11">
      <c r="E727" s="1"/>
      <c r="F727" s="1"/>
      <c r="G727" s="1"/>
      <c r="H727" s="1"/>
      <c r="I727" s="1"/>
      <c r="J727" s="1"/>
      <c r="K727" s="1"/>
    </row>
    <row r="728" spans="5:11">
      <c r="E728" s="1"/>
      <c r="F728" s="1"/>
      <c r="G728" s="1"/>
      <c r="H728" s="1"/>
      <c r="I728" s="1"/>
      <c r="J728" s="1"/>
      <c r="K728" s="1"/>
    </row>
    <row r="729" spans="5:11">
      <c r="E729" s="1"/>
      <c r="F729" s="1"/>
      <c r="G729" s="1"/>
      <c r="H729" s="1"/>
      <c r="I729" s="1"/>
      <c r="J729" s="1"/>
      <c r="K729" s="1"/>
    </row>
    <row r="730" spans="5:11">
      <c r="E730" s="1"/>
      <c r="F730" s="1"/>
      <c r="G730" s="1"/>
      <c r="H730" s="1"/>
      <c r="I730" s="1"/>
      <c r="J730" s="1"/>
      <c r="K730" s="1"/>
    </row>
    <row r="731" spans="5:11">
      <c r="E731" s="1"/>
      <c r="F731" s="1"/>
      <c r="G731" s="1"/>
      <c r="H731" s="1"/>
      <c r="I731" s="1"/>
      <c r="J731" s="1"/>
      <c r="K731" s="1"/>
    </row>
    <row r="732" spans="5:11">
      <c r="E732" s="1"/>
      <c r="F732" s="1"/>
      <c r="G732" s="1"/>
      <c r="H732" s="1"/>
      <c r="I732" s="1"/>
      <c r="J732" s="1"/>
      <c r="K732" s="1"/>
    </row>
    <row r="733" spans="5:11">
      <c r="E733" s="1"/>
      <c r="F733" s="1"/>
      <c r="G733" s="1"/>
      <c r="H733" s="1"/>
      <c r="I733" s="1"/>
      <c r="J733" s="1"/>
      <c r="K733" s="1"/>
    </row>
    <row r="734" spans="5:11">
      <c r="E734" s="1"/>
      <c r="F734" s="1"/>
      <c r="G734" s="1"/>
      <c r="H734" s="1"/>
      <c r="I734" s="1"/>
      <c r="J734" s="1"/>
      <c r="K734" s="1"/>
    </row>
    <row r="735" spans="5:11">
      <c r="E735" s="1"/>
      <c r="F735" s="1"/>
      <c r="G735" s="1"/>
      <c r="H735" s="1"/>
      <c r="I735" s="1"/>
      <c r="J735" s="1"/>
      <c r="K735" s="1"/>
    </row>
    <row r="736" spans="5:11">
      <c r="E736" s="1"/>
      <c r="F736" s="1"/>
      <c r="G736" s="1"/>
      <c r="H736" s="1"/>
      <c r="I736" s="1"/>
      <c r="J736" s="1"/>
      <c r="K736" s="1"/>
    </row>
    <row r="737" spans="5:11">
      <c r="E737" s="1"/>
      <c r="F737" s="1"/>
      <c r="G737" s="1"/>
      <c r="H737" s="1"/>
      <c r="I737" s="1"/>
      <c r="J737" s="1"/>
      <c r="K737" s="1"/>
    </row>
    <row r="738" spans="5:11">
      <c r="E738" s="1"/>
      <c r="F738" s="1"/>
      <c r="G738" s="1"/>
      <c r="H738" s="1"/>
      <c r="I738" s="1"/>
      <c r="J738" s="1"/>
      <c r="K738" s="1"/>
    </row>
    <row r="739" spans="5:11">
      <c r="E739" s="1"/>
      <c r="F739" s="1"/>
      <c r="G739" s="1"/>
      <c r="H739" s="1"/>
      <c r="I739" s="1"/>
      <c r="J739" s="1"/>
      <c r="K739" s="1"/>
    </row>
    <row r="740" spans="5:11">
      <c r="E740" s="1"/>
      <c r="F740" s="1"/>
      <c r="G740" s="1"/>
      <c r="H740" s="1"/>
      <c r="I740" s="1"/>
      <c r="J740" s="1"/>
      <c r="K740" s="1"/>
    </row>
    <row r="741" spans="5:11">
      <c r="E741" s="1"/>
      <c r="F741" s="1"/>
      <c r="G741" s="1"/>
      <c r="H741" s="1"/>
      <c r="I741" s="1"/>
      <c r="J741" s="1"/>
      <c r="K741" s="1"/>
    </row>
    <row r="742" spans="5:11">
      <c r="E742" s="1"/>
      <c r="F742" s="1"/>
      <c r="G742" s="1"/>
      <c r="H742" s="1"/>
      <c r="I742" s="1"/>
      <c r="J742" s="1"/>
      <c r="K742" s="1"/>
    </row>
    <row r="743" spans="5:11">
      <c r="E743" s="1"/>
      <c r="F743" s="1"/>
      <c r="G743" s="1"/>
      <c r="H743" s="1"/>
      <c r="I743" s="1"/>
      <c r="J743" s="1"/>
      <c r="K743" s="1"/>
    </row>
    <row r="744" spans="5:11">
      <c r="E744" s="1"/>
      <c r="F744" s="1"/>
      <c r="G744" s="1"/>
      <c r="H744" s="1"/>
      <c r="I744" s="1"/>
      <c r="J744" s="1"/>
      <c r="K744" s="1"/>
    </row>
    <row r="745" spans="5:11">
      <c r="E745" s="1"/>
      <c r="F745" s="1"/>
      <c r="G745" s="1"/>
      <c r="H745" s="1"/>
      <c r="I745" s="1"/>
      <c r="J745" s="1"/>
      <c r="K745" s="1"/>
    </row>
    <row r="746" spans="5:11">
      <c r="E746" s="1"/>
      <c r="F746" s="1"/>
      <c r="G746" s="1"/>
      <c r="H746" s="1"/>
      <c r="I746" s="1"/>
      <c r="J746" s="1"/>
      <c r="K746" s="1"/>
    </row>
    <row r="747" spans="5:11">
      <c r="E747" s="1"/>
      <c r="F747" s="1"/>
      <c r="G747" s="1"/>
      <c r="H747" s="1"/>
      <c r="I747" s="1"/>
      <c r="J747" s="1"/>
      <c r="K747" s="1"/>
    </row>
    <row r="748" spans="5:11">
      <c r="E748" s="1"/>
      <c r="F748" s="1"/>
      <c r="G748" s="1"/>
      <c r="H748" s="1"/>
      <c r="I748" s="1"/>
      <c r="J748" s="1"/>
      <c r="K748" s="1"/>
    </row>
    <row r="749" spans="5:11">
      <c r="E749" s="1"/>
      <c r="F749" s="1"/>
      <c r="G749" s="1"/>
      <c r="H749" s="1"/>
      <c r="I749" s="1"/>
      <c r="J749" s="1"/>
      <c r="K749" s="1"/>
    </row>
    <row r="750" spans="5:11">
      <c r="E750" s="1"/>
      <c r="F750" s="1"/>
      <c r="G750" s="1"/>
      <c r="H750" s="1"/>
      <c r="I750" s="1"/>
      <c r="J750" s="1"/>
      <c r="K750" s="1"/>
    </row>
    <row r="751" spans="5:11">
      <c r="E751" s="1"/>
      <c r="F751" s="1"/>
      <c r="G751" s="1"/>
      <c r="H751" s="1"/>
      <c r="I751" s="1"/>
      <c r="J751" s="1"/>
      <c r="K751" s="1"/>
    </row>
    <row r="752" spans="5:11">
      <c r="E752" s="1"/>
      <c r="F752" s="1"/>
      <c r="G752" s="1"/>
      <c r="H752" s="1"/>
      <c r="I752" s="1"/>
      <c r="J752" s="1"/>
      <c r="K752" s="1"/>
    </row>
    <row r="753" spans="5:11">
      <c r="E753" s="1"/>
      <c r="F753" s="1"/>
      <c r="G753" s="1"/>
      <c r="H753" s="1"/>
      <c r="I753" s="1"/>
      <c r="J753" s="1"/>
      <c r="K753" s="1"/>
    </row>
    <row r="754" spans="5:11">
      <c r="E754" s="1"/>
      <c r="F754" s="1"/>
      <c r="G754" s="1"/>
      <c r="H754" s="1"/>
      <c r="I754" s="1"/>
      <c r="J754" s="1"/>
      <c r="K754" s="1"/>
    </row>
    <row r="755" spans="5:11">
      <c r="E755" s="1"/>
      <c r="F755" s="1"/>
      <c r="G755" s="1"/>
      <c r="H755" s="1"/>
      <c r="I755" s="1"/>
      <c r="J755" s="1"/>
      <c r="K755" s="1"/>
    </row>
    <row r="756" spans="5:11">
      <c r="E756" s="1"/>
      <c r="F756" s="1"/>
      <c r="G756" s="1"/>
      <c r="H756" s="1"/>
      <c r="I756" s="1"/>
      <c r="J756" s="1"/>
      <c r="K756" s="1"/>
    </row>
    <row r="757" spans="5:11">
      <c r="E757" s="1"/>
      <c r="F757" s="1"/>
      <c r="G757" s="1"/>
      <c r="H757" s="1"/>
      <c r="I757" s="1"/>
      <c r="J757" s="1"/>
      <c r="K757" s="1"/>
    </row>
    <row r="758" spans="5:11">
      <c r="E758" s="1"/>
      <c r="F758" s="1"/>
      <c r="G758" s="1"/>
      <c r="H758" s="1"/>
      <c r="I758" s="1"/>
      <c r="J758" s="1"/>
      <c r="K758" s="1"/>
    </row>
    <row r="759" spans="5:11">
      <c r="E759" s="1"/>
      <c r="F759" s="1"/>
      <c r="G759" s="1"/>
      <c r="H759" s="1"/>
      <c r="I759" s="1"/>
      <c r="J759" s="1"/>
      <c r="K759" s="1"/>
    </row>
    <row r="760" spans="5:11">
      <c r="E760" s="1"/>
      <c r="F760" s="1"/>
      <c r="G760" s="1"/>
      <c r="H760" s="1"/>
      <c r="I760" s="1"/>
      <c r="J760" s="1"/>
      <c r="K760" s="1"/>
    </row>
    <row r="761" spans="5:11">
      <c r="E761" s="1"/>
      <c r="F761" s="1"/>
      <c r="G761" s="1"/>
      <c r="H761" s="1"/>
      <c r="I761" s="1"/>
      <c r="J761" s="1"/>
      <c r="K761" s="1"/>
    </row>
    <row r="762" spans="5:11">
      <c r="E762" s="1"/>
      <c r="F762" s="1"/>
      <c r="G762" s="1"/>
      <c r="H762" s="1"/>
      <c r="I762" s="1"/>
      <c r="J762" s="1"/>
      <c r="K762" s="1"/>
    </row>
    <row r="763" spans="5:11">
      <c r="E763" s="1"/>
      <c r="F763" s="1"/>
      <c r="G763" s="1"/>
      <c r="H763" s="1"/>
      <c r="I763" s="1"/>
      <c r="J763" s="1"/>
      <c r="K763" s="1"/>
    </row>
    <row r="764" spans="5:11">
      <c r="E764" s="1"/>
      <c r="F764" s="1"/>
      <c r="G764" s="1"/>
      <c r="H764" s="1"/>
      <c r="I764" s="1"/>
      <c r="J764" s="1"/>
      <c r="K764" s="1"/>
    </row>
    <row r="765" spans="5:11">
      <c r="E765" s="1"/>
      <c r="F765" s="1"/>
      <c r="G765" s="1"/>
      <c r="H765" s="1"/>
      <c r="I765" s="1"/>
      <c r="J765" s="1"/>
      <c r="K765" s="1"/>
    </row>
    <row r="766" spans="5:11">
      <c r="E766" s="1"/>
      <c r="F766" s="1"/>
      <c r="G766" s="1"/>
      <c r="H766" s="1"/>
      <c r="I766" s="1"/>
      <c r="J766" s="1"/>
      <c r="K766" s="1"/>
    </row>
    <row r="767" spans="5:11">
      <c r="E767" s="1"/>
      <c r="F767" s="1"/>
      <c r="G767" s="1"/>
      <c r="H767" s="1"/>
      <c r="I767" s="1"/>
      <c r="J767" s="1"/>
      <c r="K767" s="1"/>
    </row>
    <row r="768" spans="5:11">
      <c r="E768" s="1"/>
      <c r="F768" s="1"/>
      <c r="G768" s="1"/>
      <c r="H768" s="1"/>
      <c r="I768" s="1"/>
      <c r="J768" s="1"/>
      <c r="K768" s="1"/>
    </row>
    <row r="769" spans="5:11">
      <c r="E769" s="1"/>
      <c r="F769" s="1"/>
      <c r="G769" s="1"/>
      <c r="H769" s="1"/>
      <c r="I769" s="1"/>
      <c r="J769" s="1"/>
      <c r="K769" s="1"/>
    </row>
    <row r="770" spans="5:11">
      <c r="E770" s="1"/>
      <c r="F770" s="1"/>
      <c r="G770" s="1"/>
      <c r="H770" s="1"/>
      <c r="I770" s="1"/>
      <c r="J770" s="1"/>
      <c r="K770" s="1"/>
    </row>
    <row r="771" spans="5:11">
      <c r="E771" s="1"/>
      <c r="F771" s="1"/>
      <c r="G771" s="1"/>
      <c r="H771" s="1"/>
      <c r="I771" s="1"/>
      <c r="J771" s="1"/>
      <c r="K771" s="1"/>
    </row>
    <row r="772" spans="5:11">
      <c r="E772" s="1"/>
      <c r="F772" s="1"/>
      <c r="G772" s="1"/>
      <c r="H772" s="1"/>
      <c r="I772" s="1"/>
      <c r="J772" s="1"/>
      <c r="K772" s="1"/>
    </row>
    <row r="773" spans="5:11">
      <c r="E773" s="1"/>
      <c r="F773" s="1"/>
      <c r="G773" s="1"/>
      <c r="H773" s="1"/>
      <c r="I773" s="1"/>
      <c r="J773" s="1"/>
      <c r="K773" s="1"/>
    </row>
    <row r="774" spans="5:11">
      <c r="E774" s="1"/>
      <c r="F774" s="1"/>
      <c r="G774" s="1"/>
      <c r="H774" s="1"/>
      <c r="I774" s="1"/>
      <c r="J774" s="1"/>
      <c r="K774" s="1"/>
    </row>
    <row r="775" spans="5:11">
      <c r="E775" s="1"/>
      <c r="F775" s="1"/>
      <c r="G775" s="1"/>
      <c r="H775" s="1"/>
      <c r="I775" s="1"/>
      <c r="J775" s="1"/>
      <c r="K775" s="1"/>
    </row>
    <row r="776" spans="5:11">
      <c r="E776" s="1"/>
      <c r="F776" s="1"/>
      <c r="G776" s="1"/>
      <c r="H776" s="1"/>
      <c r="I776" s="1"/>
      <c r="J776" s="1"/>
      <c r="K776" s="1"/>
    </row>
    <row r="777" spans="5:11">
      <c r="E777" s="1"/>
      <c r="F777" s="1"/>
      <c r="G777" s="1"/>
      <c r="H777" s="1"/>
      <c r="I777" s="1"/>
      <c r="J777" s="1"/>
      <c r="K777" s="1"/>
    </row>
    <row r="778" spans="5:11">
      <c r="E778" s="1"/>
      <c r="F778" s="1"/>
      <c r="G778" s="1"/>
      <c r="H778" s="1"/>
      <c r="I778" s="1"/>
      <c r="J778" s="1"/>
      <c r="K778" s="1"/>
    </row>
    <row r="779" spans="5:11">
      <c r="E779" s="1"/>
      <c r="F779" s="1"/>
      <c r="G779" s="1"/>
      <c r="H779" s="1"/>
      <c r="I779" s="1"/>
      <c r="J779" s="1"/>
      <c r="K779" s="1"/>
    </row>
    <row r="780" spans="5:11">
      <c r="E780" s="1"/>
      <c r="F780" s="1"/>
      <c r="G780" s="1"/>
      <c r="H780" s="1"/>
      <c r="I780" s="1"/>
      <c r="J780" s="1"/>
      <c r="K780" s="1"/>
    </row>
    <row r="781" spans="5:11">
      <c r="E781" s="1"/>
      <c r="F781" s="1"/>
      <c r="G781" s="1"/>
      <c r="H781" s="1"/>
      <c r="I781" s="1"/>
      <c r="J781" s="1"/>
      <c r="K781" s="1"/>
    </row>
    <row r="782" spans="5:11">
      <c r="E782" s="1"/>
      <c r="F782" s="1"/>
      <c r="G782" s="1"/>
      <c r="H782" s="1"/>
      <c r="I782" s="1"/>
      <c r="J782" s="1"/>
      <c r="K782" s="1"/>
    </row>
    <row r="783" spans="5:11">
      <c r="E783" s="1"/>
      <c r="F783" s="1"/>
      <c r="G783" s="1"/>
      <c r="H783" s="1"/>
      <c r="I783" s="1"/>
      <c r="J783" s="1"/>
      <c r="K783" s="1"/>
    </row>
    <row r="784" spans="5:11">
      <c r="E784" s="1"/>
      <c r="F784" s="1"/>
      <c r="G784" s="1"/>
      <c r="H784" s="1"/>
      <c r="I784" s="1"/>
      <c r="J784" s="1"/>
      <c r="K784" s="1"/>
    </row>
    <row r="785" spans="5:11">
      <c r="E785" s="1"/>
      <c r="F785" s="1"/>
      <c r="G785" s="1"/>
      <c r="H785" s="1"/>
      <c r="I785" s="1"/>
      <c r="J785" s="1"/>
      <c r="K785" s="1"/>
    </row>
    <row r="786" spans="5:11">
      <c r="E786" s="1"/>
      <c r="F786" s="1"/>
      <c r="G786" s="1"/>
      <c r="H786" s="1"/>
      <c r="I786" s="1"/>
      <c r="J786" s="1"/>
      <c r="K786" s="1"/>
    </row>
    <row r="787" spans="5:11">
      <c r="E787" s="1"/>
      <c r="F787" s="1"/>
      <c r="G787" s="1"/>
      <c r="H787" s="1"/>
      <c r="I787" s="1"/>
      <c r="J787" s="1"/>
      <c r="K787" s="1"/>
    </row>
    <row r="788" spans="5:11">
      <c r="E788" s="1"/>
      <c r="F788" s="1"/>
      <c r="G788" s="1"/>
      <c r="H788" s="1"/>
      <c r="I788" s="1"/>
      <c r="J788" s="1"/>
      <c r="K788" s="1"/>
    </row>
    <row r="789" spans="5:11">
      <c r="E789" s="1"/>
      <c r="F789" s="1"/>
      <c r="G789" s="1"/>
      <c r="H789" s="1"/>
      <c r="I789" s="1"/>
      <c r="J789" s="1"/>
      <c r="K789" s="1"/>
    </row>
    <row r="790" spans="5:11">
      <c r="E790" s="1"/>
      <c r="F790" s="1"/>
      <c r="G790" s="1"/>
      <c r="H790" s="1"/>
      <c r="I790" s="1"/>
      <c r="J790" s="1"/>
      <c r="K790" s="1"/>
    </row>
    <row r="791" spans="5:11">
      <c r="E791" s="1"/>
      <c r="F791" s="1"/>
      <c r="G791" s="1"/>
      <c r="H791" s="1"/>
      <c r="I791" s="1"/>
      <c r="J791" s="1"/>
      <c r="K791" s="1"/>
    </row>
    <row r="792" spans="5:11">
      <c r="E792" s="1"/>
      <c r="F792" s="1"/>
      <c r="G792" s="1"/>
      <c r="H792" s="1"/>
      <c r="I792" s="1"/>
      <c r="J792" s="1"/>
      <c r="K792" s="1"/>
    </row>
    <row r="793" spans="5:11">
      <c r="E793" s="1"/>
      <c r="F793" s="1"/>
      <c r="G793" s="1"/>
      <c r="H793" s="1"/>
      <c r="I793" s="1"/>
      <c r="J793" s="1"/>
      <c r="K793" s="1"/>
    </row>
    <row r="794" spans="5:11">
      <c r="E794" s="1"/>
      <c r="F794" s="1"/>
      <c r="G794" s="1"/>
      <c r="H794" s="1"/>
      <c r="I794" s="1"/>
      <c r="J794" s="1"/>
      <c r="K794" s="1"/>
    </row>
    <row r="795" spans="5:11">
      <c r="E795" s="1"/>
      <c r="F795" s="1"/>
      <c r="G795" s="1"/>
      <c r="H795" s="1"/>
      <c r="I795" s="1"/>
      <c r="J795" s="1"/>
      <c r="K795" s="1"/>
    </row>
    <row r="796" spans="5:11">
      <c r="E796" s="1"/>
      <c r="F796" s="1"/>
      <c r="G796" s="1"/>
      <c r="H796" s="1"/>
      <c r="I796" s="1"/>
      <c r="J796" s="1"/>
      <c r="K796" s="1"/>
    </row>
    <row r="797" spans="5:11">
      <c r="E797" s="1"/>
      <c r="F797" s="1"/>
      <c r="G797" s="1"/>
      <c r="H797" s="1"/>
      <c r="I797" s="1"/>
      <c r="J797" s="1"/>
      <c r="K797" s="1"/>
    </row>
    <row r="798" spans="5:11">
      <c r="E798" s="1"/>
      <c r="F798" s="1"/>
      <c r="G798" s="1"/>
      <c r="H798" s="1"/>
      <c r="I798" s="1"/>
      <c r="J798" s="1"/>
      <c r="K798" s="1"/>
    </row>
    <row r="799" spans="5:11">
      <c r="E799" s="1"/>
      <c r="F799" s="1"/>
      <c r="G799" s="1"/>
      <c r="H799" s="1"/>
      <c r="I799" s="1"/>
      <c r="J799" s="1"/>
      <c r="K799" s="1"/>
    </row>
    <row r="800" spans="5:11">
      <c r="E800" s="1"/>
      <c r="F800" s="1"/>
      <c r="G800" s="1"/>
      <c r="H800" s="1"/>
      <c r="I800" s="1"/>
      <c r="J800" s="1"/>
      <c r="K800" s="1"/>
    </row>
    <row r="801" spans="5:11">
      <c r="E801" s="1"/>
      <c r="F801" s="1"/>
      <c r="G801" s="1"/>
      <c r="H801" s="1"/>
      <c r="I801" s="1"/>
      <c r="J801" s="1"/>
      <c r="K801" s="1"/>
    </row>
    <row r="802" spans="5:11">
      <c r="E802" s="1"/>
      <c r="F802" s="1"/>
      <c r="G802" s="1"/>
      <c r="H802" s="1"/>
      <c r="I802" s="1"/>
      <c r="J802" s="1"/>
      <c r="K802" s="1"/>
    </row>
    <row r="803" spans="5:11">
      <c r="E803" s="1"/>
      <c r="F803" s="1"/>
      <c r="G803" s="1"/>
      <c r="H803" s="1"/>
      <c r="I803" s="1"/>
      <c r="J803" s="1"/>
      <c r="K803" s="1"/>
    </row>
    <row r="804" spans="5:11">
      <c r="E804" s="1"/>
      <c r="F804" s="1"/>
      <c r="G804" s="1"/>
      <c r="H804" s="1"/>
      <c r="I804" s="1"/>
      <c r="J804" s="1"/>
      <c r="K804" s="1"/>
    </row>
    <row r="805" spans="5:11">
      <c r="E805" s="1"/>
      <c r="F805" s="1"/>
      <c r="G805" s="1"/>
      <c r="H805" s="1"/>
      <c r="I805" s="1"/>
      <c r="J805" s="1"/>
      <c r="K805" s="1"/>
    </row>
    <row r="806" spans="5:11">
      <c r="E806" s="1"/>
      <c r="F806" s="1"/>
      <c r="G806" s="1"/>
      <c r="H806" s="1"/>
      <c r="I806" s="1"/>
      <c r="J806" s="1"/>
      <c r="K806" s="1"/>
    </row>
    <row r="807" spans="5:11">
      <c r="E807" s="1"/>
      <c r="F807" s="1"/>
      <c r="G807" s="1"/>
      <c r="H807" s="1"/>
      <c r="I807" s="1"/>
      <c r="J807" s="1"/>
      <c r="K807" s="1"/>
    </row>
    <row r="808" spans="5:11">
      <c r="E808" s="1"/>
      <c r="F808" s="1"/>
      <c r="G808" s="1"/>
      <c r="H808" s="1"/>
      <c r="I808" s="1"/>
      <c r="J808" s="1"/>
      <c r="K808" s="1"/>
    </row>
    <row r="809" spans="5:11">
      <c r="E809" s="1"/>
      <c r="F809" s="1"/>
      <c r="G809" s="1"/>
      <c r="H809" s="1"/>
      <c r="I809" s="1"/>
      <c r="J809" s="1"/>
      <c r="K809" s="1"/>
    </row>
    <row r="810" spans="5:11">
      <c r="E810" s="1"/>
      <c r="F810" s="1"/>
      <c r="G810" s="1"/>
      <c r="H810" s="1"/>
      <c r="I810" s="1"/>
      <c r="J810" s="1"/>
      <c r="K810" s="1"/>
    </row>
    <row r="811" spans="5:11">
      <c r="E811" s="1"/>
      <c r="F811" s="1"/>
      <c r="G811" s="1"/>
      <c r="H811" s="1"/>
      <c r="I811" s="1"/>
      <c r="J811" s="1"/>
      <c r="K811" s="1"/>
    </row>
    <row r="812" spans="5:11">
      <c r="E812" s="1"/>
      <c r="F812" s="1"/>
      <c r="G812" s="1"/>
      <c r="H812" s="1"/>
      <c r="I812" s="1"/>
      <c r="J812" s="1"/>
      <c r="K812" s="1"/>
    </row>
    <row r="813" spans="5:11">
      <c r="E813" s="1"/>
      <c r="F813" s="1"/>
      <c r="G813" s="1"/>
      <c r="H813" s="1"/>
      <c r="I813" s="1"/>
      <c r="J813" s="1"/>
      <c r="K813" s="1"/>
    </row>
    <row r="814" spans="5:11">
      <c r="E814" s="1"/>
      <c r="F814" s="1"/>
      <c r="G814" s="1"/>
      <c r="H814" s="1"/>
      <c r="I814" s="1"/>
      <c r="J814" s="1"/>
      <c r="K814" s="1"/>
    </row>
    <row r="815" spans="5:11">
      <c r="E815" s="1"/>
      <c r="F815" s="1"/>
      <c r="G815" s="1"/>
      <c r="H815" s="1"/>
      <c r="I815" s="1"/>
      <c r="J815" s="1"/>
      <c r="K815" s="1"/>
    </row>
    <row r="816" spans="5:11">
      <c r="E816" s="1"/>
      <c r="F816" s="1"/>
      <c r="G816" s="1"/>
      <c r="H816" s="1"/>
      <c r="I816" s="1"/>
      <c r="J816" s="1"/>
      <c r="K816" s="1"/>
    </row>
    <row r="817" spans="5:11">
      <c r="E817" s="1"/>
      <c r="F817" s="1"/>
      <c r="G817" s="1"/>
      <c r="H817" s="1"/>
      <c r="I817" s="1"/>
      <c r="J817" s="1"/>
      <c r="K817" s="1"/>
    </row>
    <row r="818" spans="5:11">
      <c r="E818" s="1"/>
      <c r="F818" s="1"/>
      <c r="G818" s="1"/>
      <c r="H818" s="1"/>
      <c r="I818" s="1"/>
      <c r="J818" s="1"/>
      <c r="K818" s="1"/>
    </row>
    <row r="819" spans="5:11">
      <c r="E819" s="1"/>
      <c r="F819" s="1"/>
      <c r="G819" s="1"/>
      <c r="H819" s="1"/>
      <c r="I819" s="1"/>
      <c r="J819" s="1"/>
      <c r="K819" s="1"/>
    </row>
    <row r="820" spans="5:11">
      <c r="E820" s="1"/>
      <c r="F820" s="1"/>
      <c r="G820" s="1"/>
      <c r="H820" s="1"/>
      <c r="I820" s="1"/>
      <c r="J820" s="1"/>
      <c r="K820" s="1"/>
    </row>
    <row r="821" spans="5:11">
      <c r="E821" s="1"/>
      <c r="F821" s="1"/>
      <c r="G821" s="1"/>
      <c r="H821" s="1"/>
      <c r="I821" s="1"/>
      <c r="J821" s="1"/>
      <c r="K821" s="1"/>
    </row>
    <row r="822" spans="5:11">
      <c r="E822" s="1"/>
      <c r="F822" s="1"/>
      <c r="G822" s="1"/>
      <c r="H822" s="1"/>
      <c r="I822" s="1"/>
      <c r="J822" s="1"/>
      <c r="K822" s="1"/>
    </row>
    <row r="823" spans="5:11">
      <c r="E823" s="1"/>
      <c r="F823" s="1"/>
      <c r="G823" s="1"/>
      <c r="H823" s="1"/>
      <c r="I823" s="1"/>
      <c r="J823" s="1"/>
      <c r="K823" s="1"/>
    </row>
    <row r="824" spans="5:11">
      <c r="E824" s="1"/>
      <c r="F824" s="1"/>
      <c r="G824" s="1"/>
      <c r="H824" s="1"/>
      <c r="I824" s="1"/>
      <c r="J824" s="1"/>
      <c r="K824" s="1"/>
    </row>
    <row r="825" spans="5:11">
      <c r="E825" s="1"/>
      <c r="F825" s="1"/>
      <c r="G825" s="1"/>
      <c r="H825" s="1"/>
      <c r="I825" s="1"/>
      <c r="J825" s="1"/>
      <c r="K825" s="1"/>
    </row>
    <row r="826" spans="5:11">
      <c r="E826" s="1"/>
      <c r="F826" s="1"/>
      <c r="G826" s="1"/>
      <c r="H826" s="1"/>
      <c r="I826" s="1"/>
      <c r="J826" s="1"/>
      <c r="K826" s="1"/>
    </row>
    <row r="827" spans="5:11">
      <c r="E827" s="1"/>
      <c r="F827" s="1"/>
      <c r="G827" s="1"/>
      <c r="H827" s="1"/>
      <c r="I827" s="1"/>
      <c r="J827" s="1"/>
      <c r="K827" s="1"/>
    </row>
    <row r="828" spans="5:11">
      <c r="E828" s="1"/>
      <c r="F828" s="1"/>
      <c r="G828" s="1"/>
      <c r="H828" s="1"/>
      <c r="I828" s="1"/>
      <c r="J828" s="1"/>
      <c r="K828" s="1"/>
    </row>
    <row r="829" spans="5:11">
      <c r="E829" s="1"/>
      <c r="F829" s="1"/>
      <c r="G829" s="1"/>
      <c r="H829" s="1"/>
      <c r="I829" s="1"/>
      <c r="J829" s="1"/>
      <c r="K829" s="1"/>
    </row>
    <row r="830" spans="5:11">
      <c r="E830" s="1"/>
      <c r="F830" s="1"/>
      <c r="G830" s="1"/>
      <c r="H830" s="1"/>
      <c r="I830" s="1"/>
      <c r="J830" s="1"/>
      <c r="K830" s="1"/>
    </row>
    <row r="831" spans="5:11">
      <c r="E831" s="1"/>
      <c r="F831" s="1"/>
      <c r="G831" s="1"/>
      <c r="H831" s="1"/>
      <c r="I831" s="1"/>
      <c r="J831" s="1"/>
      <c r="K831" s="1"/>
    </row>
    <row r="832" spans="5:11">
      <c r="E832" s="1"/>
      <c r="F832" s="1"/>
      <c r="G832" s="1"/>
      <c r="H832" s="1"/>
      <c r="I832" s="1"/>
      <c r="J832" s="1"/>
      <c r="K832" s="1"/>
    </row>
    <row r="833" spans="5:11">
      <c r="E833" s="1"/>
      <c r="F833" s="1"/>
      <c r="G833" s="1"/>
      <c r="H833" s="1"/>
      <c r="I833" s="1"/>
      <c r="J833" s="1"/>
      <c r="K833" s="1"/>
    </row>
    <row r="834" spans="5:11">
      <c r="E834" s="1"/>
      <c r="F834" s="1"/>
      <c r="G834" s="1"/>
      <c r="H834" s="1"/>
      <c r="I834" s="1"/>
      <c r="J834" s="1"/>
      <c r="K834" s="1"/>
    </row>
    <row r="835" spans="5:11">
      <c r="E835" s="1"/>
      <c r="F835" s="1"/>
      <c r="G835" s="1"/>
      <c r="H835" s="1"/>
      <c r="I835" s="1"/>
      <c r="J835" s="1"/>
      <c r="K835" s="1"/>
    </row>
    <row r="836" spans="5:11">
      <c r="E836" s="1"/>
      <c r="F836" s="1"/>
      <c r="G836" s="1"/>
      <c r="H836" s="1"/>
      <c r="I836" s="1"/>
      <c r="J836" s="1"/>
      <c r="K836" s="1"/>
    </row>
    <row r="837" spans="5:11">
      <c r="E837" s="1"/>
      <c r="F837" s="1"/>
      <c r="G837" s="1"/>
      <c r="H837" s="1"/>
      <c r="I837" s="1"/>
      <c r="J837" s="1"/>
      <c r="K837" s="1"/>
    </row>
    <row r="838" spans="5:11">
      <c r="E838" s="1"/>
      <c r="F838" s="1"/>
      <c r="G838" s="1"/>
      <c r="H838" s="1"/>
      <c r="I838" s="1"/>
      <c r="J838" s="1"/>
      <c r="K838" s="1"/>
    </row>
    <row r="839" spans="5:11">
      <c r="E839" s="1"/>
      <c r="F839" s="1"/>
      <c r="G839" s="1"/>
      <c r="H839" s="1"/>
      <c r="I839" s="1"/>
      <c r="J839" s="1"/>
      <c r="K839" s="1"/>
    </row>
    <row r="840" spans="5:11">
      <c r="E840" s="1"/>
      <c r="F840" s="1"/>
      <c r="G840" s="1"/>
      <c r="H840" s="1"/>
      <c r="I840" s="1"/>
      <c r="J840" s="1"/>
      <c r="K840" s="1"/>
    </row>
    <row r="841" spans="5:11">
      <c r="E841" s="1"/>
      <c r="F841" s="1"/>
      <c r="G841" s="1"/>
      <c r="H841" s="1"/>
      <c r="I841" s="1"/>
      <c r="J841" s="1"/>
      <c r="K841" s="1"/>
    </row>
    <row r="842" spans="5:11">
      <c r="E842" s="1"/>
      <c r="F842" s="1"/>
      <c r="G842" s="1"/>
      <c r="H842" s="1"/>
      <c r="I842" s="1"/>
      <c r="J842" s="1"/>
      <c r="K842" s="1"/>
    </row>
    <row r="843" spans="5:11">
      <c r="E843" s="1"/>
      <c r="F843" s="1"/>
      <c r="G843" s="1"/>
      <c r="H843" s="1"/>
      <c r="I843" s="1"/>
      <c r="J843" s="1"/>
      <c r="K843" s="1"/>
    </row>
    <row r="844" spans="5:11">
      <c r="E844" s="1"/>
      <c r="F844" s="1"/>
      <c r="G844" s="1"/>
      <c r="H844" s="1"/>
      <c r="I844" s="1"/>
      <c r="J844" s="1"/>
      <c r="K844" s="1"/>
    </row>
    <row r="845" spans="5:11">
      <c r="E845" s="1"/>
      <c r="F845" s="1"/>
      <c r="G845" s="1"/>
      <c r="H845" s="1"/>
      <c r="I845" s="1"/>
      <c r="J845" s="1"/>
      <c r="K845" s="1"/>
    </row>
    <row r="846" spans="5:11">
      <c r="E846" s="1"/>
      <c r="F846" s="1"/>
      <c r="G846" s="1"/>
      <c r="H846" s="1"/>
      <c r="I846" s="1"/>
      <c r="J846" s="1"/>
      <c r="K846" s="1"/>
    </row>
    <row r="847" spans="5:11">
      <c r="E847" s="1"/>
      <c r="F847" s="1"/>
      <c r="G847" s="1"/>
      <c r="H847" s="1"/>
      <c r="I847" s="1"/>
      <c r="J847" s="1"/>
      <c r="K847" s="1"/>
    </row>
    <row r="848" spans="5:11">
      <c r="E848" s="1"/>
      <c r="F848" s="1"/>
      <c r="G848" s="1"/>
      <c r="H848" s="1"/>
      <c r="I848" s="1"/>
      <c r="J848" s="1"/>
      <c r="K848" s="1"/>
    </row>
    <row r="849" spans="5:11">
      <c r="E849" s="1"/>
      <c r="F849" s="1"/>
      <c r="G849" s="1"/>
      <c r="H849" s="1"/>
      <c r="I849" s="1"/>
      <c r="J849" s="1"/>
      <c r="K849" s="1"/>
    </row>
    <row r="850" spans="5:11">
      <c r="E850" s="1"/>
      <c r="F850" s="1"/>
      <c r="G850" s="1"/>
      <c r="H850" s="1"/>
      <c r="I850" s="1"/>
      <c r="J850" s="1"/>
      <c r="K850" s="1"/>
    </row>
    <row r="851" spans="5:11">
      <c r="E851" s="1"/>
      <c r="F851" s="1"/>
      <c r="G851" s="1"/>
      <c r="H851" s="1"/>
      <c r="I851" s="1"/>
      <c r="J851" s="1"/>
      <c r="K851" s="1"/>
    </row>
    <row r="852" spans="5:11">
      <c r="E852" s="1"/>
      <c r="F852" s="1"/>
      <c r="G852" s="1"/>
      <c r="H852" s="1"/>
      <c r="I852" s="1"/>
      <c r="J852" s="1"/>
      <c r="K852" s="1"/>
    </row>
    <row r="853" spans="5:11">
      <c r="E853" s="1"/>
      <c r="F853" s="1"/>
      <c r="G853" s="1"/>
      <c r="H853" s="1"/>
      <c r="I853" s="1"/>
      <c r="J853" s="1"/>
      <c r="K853" s="1"/>
    </row>
    <row r="854" spans="5:11">
      <c r="E854" s="1"/>
      <c r="F854" s="1"/>
      <c r="G854" s="1"/>
      <c r="H854" s="1"/>
      <c r="I854" s="1"/>
      <c r="J854" s="1"/>
      <c r="K854" s="1"/>
    </row>
    <row r="855" spans="5:11">
      <c r="E855" s="1"/>
      <c r="F855" s="1"/>
      <c r="G855" s="1"/>
      <c r="H855" s="1"/>
      <c r="I855" s="1"/>
      <c r="J855" s="1"/>
      <c r="K855" s="1"/>
    </row>
    <row r="856" spans="5:11">
      <c r="E856" s="1"/>
      <c r="F856" s="1"/>
      <c r="G856" s="1"/>
      <c r="H856" s="1"/>
      <c r="I856" s="1"/>
      <c r="J856" s="1"/>
      <c r="K856" s="1"/>
    </row>
    <row r="857" spans="5:11">
      <c r="E857" s="1"/>
      <c r="F857" s="1"/>
      <c r="G857" s="1"/>
      <c r="H857" s="1"/>
      <c r="I857" s="1"/>
      <c r="J857" s="1"/>
      <c r="K857" s="1"/>
    </row>
    <row r="858" spans="5:11">
      <c r="E858" s="1"/>
      <c r="F858" s="1"/>
      <c r="G858" s="1"/>
      <c r="H858" s="1"/>
      <c r="I858" s="1"/>
      <c r="J858" s="1"/>
      <c r="K858" s="1"/>
    </row>
    <row r="859" spans="5:11">
      <c r="E859" s="1"/>
      <c r="F859" s="1"/>
      <c r="G859" s="1"/>
      <c r="H859" s="1"/>
      <c r="I859" s="1"/>
      <c r="J859" s="1"/>
      <c r="K859" s="1"/>
    </row>
    <row r="860" spans="5:11">
      <c r="E860" s="1"/>
      <c r="F860" s="1"/>
      <c r="G860" s="1"/>
      <c r="H860" s="1"/>
      <c r="I860" s="1"/>
      <c r="J860" s="1"/>
      <c r="K860" s="1"/>
    </row>
    <row r="861" spans="5:11">
      <c r="E861" s="1"/>
      <c r="F861" s="1"/>
      <c r="G861" s="1"/>
      <c r="H861" s="1"/>
      <c r="I861" s="1"/>
      <c r="J861" s="1"/>
      <c r="K861" s="1"/>
    </row>
    <row r="862" spans="5:11">
      <c r="E862" s="1"/>
      <c r="F862" s="1"/>
      <c r="G862" s="1"/>
      <c r="H862" s="1"/>
      <c r="I862" s="1"/>
      <c r="J862" s="1"/>
      <c r="K862" s="1"/>
    </row>
    <row r="863" spans="5:11">
      <c r="E863" s="1"/>
      <c r="F863" s="1"/>
      <c r="G863" s="1"/>
      <c r="H863" s="1"/>
      <c r="I863" s="1"/>
      <c r="J863" s="1"/>
      <c r="K863" s="1"/>
    </row>
    <row r="864" spans="5:11">
      <c r="E864" s="1"/>
      <c r="F864" s="1"/>
      <c r="G864" s="1"/>
      <c r="H864" s="1"/>
      <c r="I864" s="1"/>
      <c r="J864" s="1"/>
      <c r="K864" s="1"/>
    </row>
    <row r="865" spans="5:11">
      <c r="E865" s="1"/>
      <c r="F865" s="1"/>
      <c r="G865" s="1"/>
      <c r="H865" s="1"/>
      <c r="I865" s="1"/>
      <c r="J865" s="1"/>
      <c r="K865" s="1"/>
    </row>
    <row r="866" spans="5:11">
      <c r="E866" s="1"/>
      <c r="F866" s="1"/>
      <c r="G866" s="1"/>
      <c r="H866" s="1"/>
      <c r="I866" s="1"/>
      <c r="J866" s="1"/>
      <c r="K866" s="1"/>
    </row>
    <row r="867" spans="5:11">
      <c r="E867" s="1"/>
      <c r="F867" s="1"/>
      <c r="G867" s="1"/>
      <c r="H867" s="1"/>
      <c r="I867" s="1"/>
      <c r="J867" s="1"/>
      <c r="K867" s="1"/>
    </row>
    <row r="868" spans="5:11">
      <c r="E868" s="1"/>
      <c r="F868" s="1"/>
      <c r="G868" s="1"/>
      <c r="H868" s="1"/>
      <c r="I868" s="1"/>
      <c r="J868" s="1"/>
      <c r="K868" s="1"/>
    </row>
    <row r="869" spans="5:11">
      <c r="E869" s="1"/>
      <c r="F869" s="1"/>
      <c r="G869" s="1"/>
      <c r="H869" s="1"/>
      <c r="I869" s="1"/>
      <c r="J869" s="1"/>
      <c r="K869" s="1"/>
    </row>
    <row r="870" spans="5:11">
      <c r="E870" s="1"/>
      <c r="F870" s="1"/>
      <c r="G870" s="1"/>
      <c r="H870" s="1"/>
      <c r="I870" s="1"/>
      <c r="J870" s="1"/>
      <c r="K870" s="1"/>
    </row>
    <row r="871" spans="5:11">
      <c r="E871" s="1"/>
      <c r="F871" s="1"/>
      <c r="G871" s="1"/>
      <c r="H871" s="1"/>
      <c r="I871" s="1"/>
      <c r="J871" s="1"/>
      <c r="K871" s="1"/>
    </row>
    <row r="872" spans="5:11">
      <c r="E872" s="1"/>
      <c r="F872" s="1"/>
      <c r="G872" s="1"/>
      <c r="H872" s="1"/>
      <c r="I872" s="1"/>
      <c r="J872" s="1"/>
      <c r="K872" s="1"/>
    </row>
    <row r="873" spans="5:11">
      <c r="E873" s="1"/>
      <c r="F873" s="1"/>
      <c r="G873" s="1"/>
      <c r="H873" s="1"/>
      <c r="I873" s="1"/>
      <c r="J873" s="1"/>
      <c r="K873" s="1"/>
    </row>
    <row r="874" spans="5:11">
      <c r="E874" s="1"/>
      <c r="F874" s="1"/>
      <c r="G874" s="1"/>
      <c r="H874" s="1"/>
      <c r="I874" s="1"/>
      <c r="J874" s="1"/>
      <c r="K874" s="1"/>
    </row>
    <row r="875" spans="5:11">
      <c r="E875" s="1"/>
      <c r="F875" s="1"/>
      <c r="G875" s="1"/>
      <c r="H875" s="1"/>
      <c r="I875" s="1"/>
      <c r="J875" s="1"/>
      <c r="K875" s="1"/>
    </row>
    <row r="876" spans="5:11">
      <c r="E876" s="1"/>
      <c r="F876" s="1"/>
      <c r="G876" s="1"/>
      <c r="H876" s="1"/>
      <c r="I876" s="1"/>
      <c r="J876" s="1"/>
      <c r="K876" s="1"/>
    </row>
    <row r="877" spans="5:11">
      <c r="E877" s="1"/>
      <c r="F877" s="1"/>
      <c r="G877" s="1"/>
      <c r="H877" s="1"/>
      <c r="I877" s="1"/>
      <c r="J877" s="1"/>
      <c r="K877" s="1"/>
    </row>
    <row r="878" spans="5:11">
      <c r="E878" s="1"/>
      <c r="F878" s="1"/>
      <c r="G878" s="1"/>
      <c r="H878" s="1"/>
      <c r="I878" s="1"/>
      <c r="J878" s="1"/>
      <c r="K878" s="1"/>
    </row>
    <row r="879" spans="5:11">
      <c r="E879" s="1"/>
      <c r="F879" s="1"/>
      <c r="G879" s="1"/>
      <c r="H879" s="1"/>
      <c r="I879" s="1"/>
      <c r="J879" s="1"/>
      <c r="K879" s="1"/>
    </row>
    <row r="880" spans="5:11">
      <c r="E880" s="1"/>
      <c r="F880" s="1"/>
      <c r="G880" s="1"/>
      <c r="H880" s="1"/>
      <c r="I880" s="1"/>
      <c r="J880" s="1"/>
      <c r="K880" s="1"/>
    </row>
    <row r="881" spans="5:11">
      <c r="E881" s="1"/>
      <c r="F881" s="1"/>
      <c r="G881" s="1"/>
      <c r="H881" s="1"/>
      <c r="I881" s="1"/>
      <c r="J881" s="1"/>
      <c r="K881" s="1"/>
    </row>
    <row r="882" spans="5:11">
      <c r="E882" s="1"/>
      <c r="F882" s="1"/>
      <c r="G882" s="1"/>
      <c r="H882" s="1"/>
      <c r="I882" s="1"/>
      <c r="J882" s="1"/>
      <c r="K882" s="1"/>
    </row>
    <row r="883" spans="5:11">
      <c r="E883" s="1"/>
      <c r="F883" s="1"/>
      <c r="G883" s="1"/>
      <c r="H883" s="1"/>
      <c r="I883" s="1"/>
      <c r="J883" s="1"/>
      <c r="K883" s="1"/>
    </row>
    <row r="884" spans="5:11">
      <c r="E884" s="1"/>
      <c r="F884" s="1"/>
      <c r="G884" s="1"/>
      <c r="H884" s="1"/>
      <c r="I884" s="1"/>
      <c r="J884" s="1"/>
      <c r="K884" s="1"/>
    </row>
    <row r="885" spans="5:11">
      <c r="E885" s="1"/>
      <c r="F885" s="1"/>
      <c r="G885" s="1"/>
      <c r="H885" s="1"/>
      <c r="I885" s="1"/>
      <c r="J885" s="1"/>
      <c r="K885" s="1"/>
    </row>
    <row r="886" spans="5:11">
      <c r="E886" s="1"/>
      <c r="F886" s="1"/>
      <c r="G886" s="1"/>
      <c r="H886" s="1"/>
      <c r="I886" s="1"/>
      <c r="J886" s="1"/>
      <c r="K886" s="1"/>
    </row>
    <row r="887" spans="5:11">
      <c r="E887" s="1"/>
      <c r="F887" s="1"/>
      <c r="G887" s="1"/>
      <c r="H887" s="1"/>
      <c r="I887" s="1"/>
      <c r="J887" s="1"/>
      <c r="K887" s="1"/>
    </row>
    <row r="888" spans="5:11">
      <c r="E888" s="1"/>
      <c r="F888" s="1"/>
      <c r="G888" s="1"/>
      <c r="H888" s="1"/>
      <c r="I888" s="1"/>
      <c r="J888" s="1"/>
      <c r="K888" s="1"/>
    </row>
    <row r="889" spans="5:11">
      <c r="E889" s="1"/>
      <c r="F889" s="1"/>
      <c r="G889" s="1"/>
      <c r="H889" s="1"/>
      <c r="I889" s="1"/>
      <c r="J889" s="1"/>
      <c r="K889" s="1"/>
    </row>
    <row r="890" spans="5:11">
      <c r="E890" s="1"/>
      <c r="F890" s="1"/>
      <c r="G890" s="1"/>
      <c r="H890" s="1"/>
      <c r="I890" s="1"/>
      <c r="J890" s="1"/>
      <c r="K890" s="1"/>
    </row>
    <row r="891" spans="5:11">
      <c r="E891" s="1"/>
      <c r="F891" s="1"/>
      <c r="G891" s="1"/>
      <c r="H891" s="1"/>
      <c r="I891" s="1"/>
      <c r="J891" s="1"/>
      <c r="K891" s="1"/>
    </row>
    <row r="892" spans="5:11">
      <c r="E892" s="1"/>
      <c r="F892" s="1"/>
      <c r="G892" s="1"/>
      <c r="H892" s="1"/>
      <c r="I892" s="1"/>
      <c r="J892" s="1"/>
      <c r="K892" s="1"/>
    </row>
    <row r="893" spans="5:11">
      <c r="E893" s="1"/>
      <c r="F893" s="1"/>
      <c r="G893" s="1"/>
      <c r="H893" s="1"/>
      <c r="I893" s="1"/>
      <c r="J893" s="1"/>
      <c r="K893" s="1"/>
    </row>
    <row r="894" spans="5:11">
      <c r="E894" s="1"/>
      <c r="F894" s="1"/>
      <c r="G894" s="1"/>
      <c r="H894" s="1"/>
      <c r="I894" s="1"/>
      <c r="J894" s="1"/>
      <c r="K894" s="1"/>
    </row>
    <row r="895" spans="5:11">
      <c r="E895" s="1"/>
      <c r="F895" s="1"/>
      <c r="G895" s="1"/>
      <c r="H895" s="1"/>
      <c r="I895" s="1"/>
      <c r="J895" s="1"/>
      <c r="K895" s="1"/>
    </row>
    <row r="896" spans="5:11">
      <c r="E896" s="1"/>
      <c r="F896" s="1"/>
      <c r="G896" s="1"/>
      <c r="H896" s="1"/>
      <c r="I896" s="1"/>
      <c r="J896" s="1"/>
      <c r="K896" s="1"/>
    </row>
    <row r="897" spans="5:11">
      <c r="E897" s="1"/>
      <c r="F897" s="1"/>
      <c r="G897" s="1"/>
      <c r="H897" s="1"/>
      <c r="I897" s="1"/>
      <c r="J897" s="1"/>
      <c r="K897" s="1"/>
    </row>
    <row r="898" spans="5:11">
      <c r="E898" s="1"/>
      <c r="F898" s="1"/>
      <c r="G898" s="1"/>
      <c r="H898" s="1"/>
      <c r="I898" s="1"/>
      <c r="J898" s="1"/>
      <c r="K898" s="1"/>
    </row>
    <row r="899" spans="5:11">
      <c r="E899" s="1"/>
      <c r="F899" s="1"/>
      <c r="G899" s="1"/>
      <c r="H899" s="1"/>
      <c r="I899" s="1"/>
      <c r="J899" s="1"/>
      <c r="K899" s="1"/>
    </row>
    <row r="900" spans="5:11">
      <c r="E900" s="1"/>
      <c r="F900" s="1"/>
      <c r="G900" s="1"/>
      <c r="H900" s="1"/>
      <c r="I900" s="1"/>
      <c r="J900" s="1"/>
      <c r="K900" s="1"/>
    </row>
    <row r="901" spans="5:11">
      <c r="E901" s="1"/>
      <c r="F901" s="1"/>
      <c r="G901" s="1"/>
      <c r="H901" s="1"/>
      <c r="I901" s="1"/>
      <c r="J901" s="1"/>
      <c r="K901" s="1"/>
    </row>
    <row r="902" spans="5:11">
      <c r="E902" s="1"/>
      <c r="F902" s="1"/>
      <c r="G902" s="1"/>
      <c r="H902" s="1"/>
      <c r="I902" s="1"/>
      <c r="J902" s="1"/>
      <c r="K902" s="1"/>
    </row>
    <row r="903" spans="5:11">
      <c r="E903" s="1"/>
      <c r="F903" s="1"/>
      <c r="G903" s="1"/>
      <c r="H903" s="1"/>
      <c r="I903" s="1"/>
      <c r="J903" s="1"/>
      <c r="K903" s="1"/>
    </row>
    <row r="904" spans="5:11">
      <c r="E904" s="1"/>
      <c r="F904" s="1"/>
      <c r="G904" s="1"/>
      <c r="H904" s="1"/>
      <c r="I904" s="1"/>
      <c r="J904" s="1"/>
      <c r="K904" s="1"/>
    </row>
    <row r="905" spans="5:11">
      <c r="E905" s="1"/>
      <c r="F905" s="1"/>
      <c r="G905" s="1"/>
      <c r="H905" s="1"/>
      <c r="I905" s="1"/>
      <c r="J905" s="1"/>
      <c r="K905" s="1"/>
    </row>
    <row r="906" spans="5:11">
      <c r="E906" s="1"/>
      <c r="F906" s="1"/>
      <c r="G906" s="1"/>
      <c r="H906" s="1"/>
      <c r="I906" s="1"/>
      <c r="J906" s="1"/>
      <c r="K906" s="1"/>
    </row>
    <row r="907" spans="5:11">
      <c r="E907" s="1"/>
      <c r="F907" s="1"/>
      <c r="G907" s="1"/>
      <c r="H907" s="1"/>
      <c r="I907" s="1"/>
      <c r="J907" s="1"/>
      <c r="K907" s="1"/>
    </row>
    <row r="908" spans="5:11">
      <c r="E908" s="1"/>
      <c r="F908" s="1"/>
      <c r="G908" s="1"/>
      <c r="H908" s="1"/>
      <c r="I908" s="1"/>
      <c r="J908" s="1"/>
      <c r="K908" s="1"/>
    </row>
    <row r="909" spans="5:11">
      <c r="E909" s="1"/>
      <c r="F909" s="1"/>
      <c r="G909" s="1"/>
      <c r="H909" s="1"/>
      <c r="I909" s="1"/>
      <c r="J909" s="1"/>
      <c r="K909" s="1"/>
    </row>
    <row r="910" spans="5:11">
      <c r="E910" s="1"/>
      <c r="F910" s="1"/>
      <c r="G910" s="1"/>
      <c r="H910" s="1"/>
      <c r="I910" s="1"/>
      <c r="J910" s="1"/>
      <c r="K910" s="1"/>
    </row>
    <row r="911" spans="5:11">
      <c r="E911" s="1"/>
      <c r="F911" s="1"/>
      <c r="G911" s="1"/>
      <c r="H911" s="1"/>
      <c r="I911" s="1"/>
      <c r="J911" s="1"/>
      <c r="K911" s="1"/>
    </row>
    <row r="912" spans="5:11">
      <c r="E912" s="1"/>
      <c r="F912" s="1"/>
      <c r="G912" s="1"/>
      <c r="H912" s="1"/>
      <c r="I912" s="1"/>
      <c r="J912" s="1"/>
      <c r="K912" s="1"/>
    </row>
    <row r="913" spans="5:11">
      <c r="E913" s="1"/>
      <c r="F913" s="1"/>
      <c r="G913" s="1"/>
      <c r="H913" s="1"/>
      <c r="I913" s="1"/>
      <c r="J913" s="1"/>
      <c r="K913" s="1"/>
    </row>
    <row r="914" spans="5:11">
      <c r="E914" s="1"/>
      <c r="F914" s="1"/>
      <c r="G914" s="1"/>
      <c r="H914" s="1"/>
      <c r="I914" s="1"/>
      <c r="J914" s="1"/>
      <c r="K914" s="1"/>
    </row>
    <row r="915" spans="5:11">
      <c r="E915" s="1"/>
      <c r="F915" s="1"/>
      <c r="G915" s="1"/>
      <c r="H915" s="1"/>
      <c r="I915" s="1"/>
      <c r="J915" s="1"/>
      <c r="K915" s="1"/>
    </row>
    <row r="916" spans="5:11">
      <c r="E916" s="1"/>
      <c r="F916" s="1"/>
      <c r="G916" s="1"/>
      <c r="H916" s="1"/>
      <c r="I916" s="1"/>
      <c r="J916" s="1"/>
      <c r="K916" s="1"/>
    </row>
    <row r="917" spans="5:11">
      <c r="E917" s="1"/>
      <c r="F917" s="1"/>
      <c r="G917" s="1"/>
      <c r="H917" s="1"/>
      <c r="I917" s="1"/>
      <c r="J917" s="1"/>
      <c r="K917" s="1"/>
    </row>
    <row r="918" spans="5:11">
      <c r="E918" s="1"/>
      <c r="F918" s="1"/>
      <c r="G918" s="1"/>
      <c r="H918" s="1"/>
      <c r="I918" s="1"/>
      <c r="J918" s="1"/>
      <c r="K918" s="1"/>
    </row>
    <row r="919" spans="5:11">
      <c r="E919" s="1"/>
      <c r="F919" s="1"/>
      <c r="G919" s="1"/>
      <c r="H919" s="1"/>
      <c r="I919" s="1"/>
      <c r="J919" s="1"/>
      <c r="K919" s="1"/>
    </row>
    <row r="920" spans="5:11">
      <c r="E920" s="1"/>
      <c r="F920" s="1"/>
      <c r="G920" s="1"/>
      <c r="H920" s="1"/>
      <c r="I920" s="1"/>
      <c r="J920" s="1"/>
      <c r="K920" s="1"/>
    </row>
    <row r="921" spans="5:11">
      <c r="E921" s="1"/>
      <c r="F921" s="1"/>
      <c r="G921" s="1"/>
      <c r="H921" s="1"/>
      <c r="I921" s="1"/>
      <c r="J921" s="1"/>
      <c r="K921" s="1"/>
    </row>
    <row r="922" spans="5:11">
      <c r="E922" s="1"/>
      <c r="F922" s="1"/>
      <c r="G922" s="1"/>
      <c r="H922" s="1"/>
      <c r="I922" s="1"/>
      <c r="J922" s="1"/>
      <c r="K922" s="1"/>
    </row>
    <row r="923" spans="5:11">
      <c r="E923" s="1"/>
      <c r="F923" s="1"/>
      <c r="G923" s="1"/>
      <c r="H923" s="1"/>
      <c r="I923" s="1"/>
      <c r="J923" s="1"/>
      <c r="K923" s="1"/>
    </row>
    <row r="924" spans="5:11">
      <c r="E924" s="1"/>
      <c r="F924" s="1"/>
      <c r="G924" s="1"/>
      <c r="H924" s="1"/>
      <c r="I924" s="1"/>
      <c r="J924" s="1"/>
      <c r="K924" s="1"/>
    </row>
    <row r="925" spans="5:11">
      <c r="E925" s="1"/>
      <c r="F925" s="1"/>
      <c r="G925" s="1"/>
      <c r="H925" s="1"/>
      <c r="I925" s="1"/>
      <c r="J925" s="1"/>
      <c r="K925" s="1"/>
    </row>
    <row r="926" spans="5:11">
      <c r="E926" s="1"/>
      <c r="F926" s="1"/>
      <c r="G926" s="1"/>
      <c r="H926" s="1"/>
      <c r="I926" s="1"/>
      <c r="J926" s="1"/>
      <c r="K926" s="1"/>
    </row>
    <row r="927" spans="5:11">
      <c r="E927" s="1"/>
      <c r="F927" s="1"/>
      <c r="G927" s="1"/>
      <c r="H927" s="1"/>
      <c r="I927" s="1"/>
      <c r="J927" s="1"/>
      <c r="K927" s="1"/>
    </row>
    <row r="928" spans="5:11">
      <c r="E928" s="1"/>
      <c r="F928" s="1"/>
      <c r="G928" s="1"/>
      <c r="H928" s="1"/>
      <c r="I928" s="1"/>
      <c r="J928" s="1"/>
      <c r="K928" s="1"/>
    </row>
    <row r="929" spans="5:11">
      <c r="E929" s="1"/>
      <c r="F929" s="1"/>
      <c r="G929" s="1"/>
      <c r="H929" s="1"/>
      <c r="I929" s="1"/>
      <c r="J929" s="1"/>
      <c r="K929" s="1"/>
    </row>
    <row r="930" spans="5:11">
      <c r="E930" s="1"/>
      <c r="F930" s="1"/>
      <c r="G930" s="1"/>
      <c r="H930" s="1"/>
      <c r="I930" s="1"/>
      <c r="J930" s="1"/>
      <c r="K930" s="1"/>
    </row>
    <row r="931" spans="5:11">
      <c r="E931" s="1"/>
      <c r="F931" s="1"/>
      <c r="G931" s="1"/>
      <c r="H931" s="1"/>
      <c r="I931" s="1"/>
      <c r="J931" s="1"/>
      <c r="K931" s="1"/>
    </row>
    <row r="932" spans="5:11">
      <c r="E932" s="1"/>
      <c r="F932" s="1"/>
      <c r="G932" s="1"/>
      <c r="H932" s="1"/>
      <c r="I932" s="1"/>
      <c r="J932" s="1"/>
      <c r="K932" s="1"/>
    </row>
    <row r="933" spans="5:11">
      <c r="E933" s="1"/>
      <c r="F933" s="1"/>
      <c r="G933" s="1"/>
      <c r="H933" s="1"/>
      <c r="I933" s="1"/>
      <c r="J933" s="1"/>
      <c r="K933" s="1"/>
    </row>
    <row r="934" spans="5:11">
      <c r="E934" s="1"/>
      <c r="F934" s="1"/>
      <c r="G934" s="1"/>
      <c r="H934" s="1"/>
      <c r="I934" s="1"/>
      <c r="J934" s="1"/>
      <c r="K934" s="1"/>
    </row>
    <row r="935" spans="5:11">
      <c r="E935" s="1"/>
      <c r="F935" s="1"/>
      <c r="G935" s="1"/>
      <c r="H935" s="1"/>
      <c r="I935" s="1"/>
      <c r="J935" s="1"/>
      <c r="K935" s="1"/>
    </row>
    <row r="936" spans="5:11">
      <c r="E936" s="1"/>
      <c r="F936" s="1"/>
      <c r="G936" s="1"/>
      <c r="H936" s="1"/>
      <c r="I936" s="1"/>
      <c r="J936" s="1"/>
      <c r="K936" s="1"/>
    </row>
    <row r="937" spans="5:11">
      <c r="E937" s="1"/>
      <c r="F937" s="1"/>
      <c r="G937" s="1"/>
      <c r="H937" s="1"/>
      <c r="I937" s="1"/>
      <c r="J937" s="1"/>
      <c r="K937" s="1"/>
    </row>
    <row r="938" spans="5:11">
      <c r="E938" s="1"/>
      <c r="F938" s="1"/>
      <c r="G938" s="1"/>
      <c r="H938" s="1"/>
      <c r="I938" s="1"/>
      <c r="J938" s="1"/>
      <c r="K938" s="1"/>
    </row>
    <row r="939" spans="5:11">
      <c r="E939" s="1"/>
      <c r="F939" s="1"/>
      <c r="G939" s="1"/>
      <c r="H939" s="1"/>
      <c r="I939" s="1"/>
      <c r="J939" s="1"/>
      <c r="K939" s="1"/>
    </row>
    <row r="940" spans="5:11">
      <c r="E940" s="1"/>
      <c r="F940" s="1"/>
      <c r="G940" s="1"/>
      <c r="H940" s="1"/>
      <c r="I940" s="1"/>
      <c r="J940" s="1"/>
      <c r="K940" s="1"/>
    </row>
    <row r="941" spans="5:11">
      <c r="E941" s="1"/>
      <c r="F941" s="1"/>
      <c r="G941" s="1"/>
      <c r="H941" s="1"/>
      <c r="I941" s="1"/>
      <c r="J941" s="1"/>
      <c r="K941" s="1"/>
    </row>
    <row r="942" spans="5:11">
      <c r="E942" s="1"/>
      <c r="F942" s="1"/>
      <c r="G942" s="1"/>
      <c r="H942" s="1"/>
      <c r="I942" s="1"/>
      <c r="J942" s="1"/>
      <c r="K942" s="1"/>
    </row>
    <row r="943" spans="5:11">
      <c r="E943" s="1"/>
      <c r="F943" s="1"/>
      <c r="G943" s="1"/>
      <c r="H943" s="1"/>
      <c r="I943" s="1"/>
      <c r="J943" s="1"/>
      <c r="K943" s="1"/>
    </row>
    <row r="944" spans="5:11">
      <c r="E944" s="1"/>
      <c r="F944" s="1"/>
      <c r="G944" s="1"/>
      <c r="H944" s="1"/>
      <c r="I944" s="1"/>
      <c r="J944" s="1"/>
      <c r="K944" s="1"/>
    </row>
    <row r="945" spans="5:11">
      <c r="E945" s="1"/>
      <c r="F945" s="1"/>
      <c r="G945" s="1"/>
      <c r="H945" s="1"/>
      <c r="I945" s="1"/>
      <c r="J945" s="1"/>
      <c r="K945" s="1"/>
    </row>
    <row r="946" spans="5:11">
      <c r="E946" s="1"/>
      <c r="F946" s="1"/>
      <c r="G946" s="1"/>
      <c r="H946" s="1"/>
      <c r="I946" s="1"/>
      <c r="J946" s="1"/>
      <c r="K946" s="1"/>
    </row>
    <row r="947" spans="5:11">
      <c r="E947" s="1"/>
      <c r="F947" s="1"/>
      <c r="G947" s="1"/>
      <c r="H947" s="1"/>
      <c r="I947" s="1"/>
      <c r="J947" s="1"/>
      <c r="K947" s="1"/>
    </row>
    <row r="948" spans="5:11">
      <c r="E948" s="1"/>
      <c r="F948" s="1"/>
      <c r="G948" s="1"/>
      <c r="H948" s="1"/>
      <c r="I948" s="1"/>
      <c r="J948" s="1"/>
      <c r="K948" s="1"/>
    </row>
    <row r="949" spans="5:11">
      <c r="E949" s="1"/>
      <c r="F949" s="1"/>
      <c r="G949" s="1"/>
      <c r="H949" s="1"/>
      <c r="I949" s="1"/>
      <c r="J949" s="1"/>
      <c r="K949" s="1"/>
    </row>
    <row r="950" spans="5:11">
      <c r="E950" s="1"/>
      <c r="F950" s="1"/>
      <c r="G950" s="1"/>
      <c r="H950" s="1"/>
      <c r="I950" s="1"/>
      <c r="J950" s="1"/>
      <c r="K950" s="1"/>
    </row>
    <row r="951" spans="5:11">
      <c r="E951" s="1"/>
      <c r="F951" s="1"/>
      <c r="G951" s="1"/>
      <c r="H951" s="1"/>
      <c r="I951" s="1"/>
      <c r="J951" s="1"/>
      <c r="K951" s="1"/>
    </row>
    <row r="952" spans="5:11">
      <c r="E952" s="1"/>
      <c r="F952" s="1"/>
      <c r="G952" s="1"/>
      <c r="H952" s="1"/>
      <c r="I952" s="1"/>
      <c r="J952" s="1"/>
      <c r="K952" s="1"/>
    </row>
    <row r="953" spans="5:11">
      <c r="E953" s="1"/>
      <c r="F953" s="1"/>
      <c r="G953" s="1"/>
      <c r="H953" s="1"/>
      <c r="I953" s="1"/>
      <c r="J953" s="1"/>
      <c r="K953" s="1"/>
    </row>
    <row r="954" spans="5:11">
      <c r="E954" s="1"/>
      <c r="F954" s="1"/>
      <c r="G954" s="1"/>
      <c r="H954" s="1"/>
      <c r="I954" s="1"/>
      <c r="J954" s="1"/>
      <c r="K954" s="1"/>
    </row>
    <row r="955" spans="5:11">
      <c r="E955" s="1"/>
      <c r="F955" s="1"/>
      <c r="G955" s="1"/>
      <c r="H955" s="1"/>
      <c r="I955" s="1"/>
      <c r="J955" s="1"/>
      <c r="K955" s="1"/>
    </row>
    <row r="956" spans="5:11">
      <c r="E956" s="1"/>
      <c r="F956" s="1"/>
      <c r="G956" s="1"/>
      <c r="H956" s="1"/>
      <c r="I956" s="1"/>
      <c r="J956" s="1"/>
      <c r="K956" s="1"/>
    </row>
    <row r="957" spans="5:11">
      <c r="E957" s="1"/>
      <c r="F957" s="1"/>
      <c r="G957" s="1"/>
      <c r="H957" s="1"/>
      <c r="I957" s="1"/>
      <c r="J957" s="1"/>
      <c r="K957" s="1"/>
    </row>
    <row r="958" spans="5:11">
      <c r="E958" s="1"/>
      <c r="F958" s="1"/>
      <c r="G958" s="1"/>
      <c r="H958" s="1"/>
      <c r="I958" s="1"/>
      <c r="J958" s="1"/>
      <c r="K958" s="1"/>
    </row>
    <row r="959" spans="5:11">
      <c r="E959" s="1"/>
      <c r="F959" s="1"/>
      <c r="G959" s="1"/>
      <c r="H959" s="1"/>
      <c r="I959" s="1"/>
      <c r="J959" s="1"/>
      <c r="K959" s="1"/>
    </row>
    <row r="960" spans="5:11">
      <c r="E960" s="1"/>
      <c r="F960" s="1"/>
      <c r="G960" s="1"/>
      <c r="H960" s="1"/>
      <c r="I960" s="1"/>
      <c r="J960" s="1"/>
      <c r="K960" s="1"/>
    </row>
    <row r="961" spans="5:11">
      <c r="E961" s="1"/>
      <c r="F961" s="1"/>
      <c r="G961" s="1"/>
      <c r="H961" s="1"/>
      <c r="I961" s="1"/>
      <c r="J961" s="1"/>
      <c r="K961" s="1"/>
    </row>
    <row r="962" spans="5:11">
      <c r="E962" s="1"/>
      <c r="F962" s="1"/>
      <c r="G962" s="1"/>
      <c r="H962" s="1"/>
      <c r="I962" s="1"/>
      <c r="J962" s="1"/>
      <c r="K962" s="1"/>
    </row>
    <row r="963" spans="5:11">
      <c r="E963" s="1"/>
      <c r="F963" s="1"/>
      <c r="G963" s="1"/>
      <c r="H963" s="1"/>
      <c r="I963" s="1"/>
      <c r="J963" s="1"/>
      <c r="K963" s="1"/>
    </row>
    <row r="964" spans="5:11">
      <c r="E964" s="1"/>
      <c r="F964" s="1"/>
      <c r="G964" s="1"/>
      <c r="H964" s="1"/>
      <c r="I964" s="1"/>
      <c r="J964" s="1"/>
      <c r="K964" s="1"/>
    </row>
    <row r="965" spans="5:11">
      <c r="E965" s="1"/>
      <c r="F965" s="1"/>
      <c r="G965" s="1"/>
      <c r="H965" s="1"/>
      <c r="I965" s="1"/>
      <c r="J965" s="1"/>
      <c r="K965" s="1"/>
    </row>
    <row r="966" spans="5:11">
      <c r="E966" s="1"/>
      <c r="F966" s="1"/>
      <c r="G966" s="1"/>
      <c r="H966" s="1"/>
      <c r="I966" s="1"/>
      <c r="J966" s="1"/>
      <c r="K966" s="1"/>
    </row>
    <row r="967" spans="5:11">
      <c r="E967" s="1"/>
      <c r="F967" s="1"/>
      <c r="G967" s="1"/>
      <c r="H967" s="1"/>
      <c r="I967" s="1"/>
      <c r="J967" s="1"/>
      <c r="K967" s="1"/>
    </row>
    <row r="968" spans="5:11">
      <c r="E968" s="1"/>
      <c r="F968" s="1"/>
      <c r="G968" s="1"/>
      <c r="H968" s="1"/>
      <c r="I968" s="1"/>
      <c r="J968" s="1"/>
      <c r="K968" s="1"/>
    </row>
    <row r="969" spans="5:11">
      <c r="E969" s="1"/>
      <c r="F969" s="1"/>
      <c r="G969" s="1"/>
      <c r="H969" s="1"/>
      <c r="I969" s="1"/>
      <c r="J969" s="1"/>
      <c r="K969" s="1"/>
    </row>
    <row r="970" spans="5:11">
      <c r="E970" s="1"/>
      <c r="F970" s="1"/>
      <c r="G970" s="1"/>
      <c r="H970" s="1"/>
      <c r="I970" s="1"/>
      <c r="J970" s="1"/>
      <c r="K970" s="1"/>
    </row>
    <row r="971" spans="5:11">
      <c r="E971" s="1"/>
      <c r="F971" s="1"/>
      <c r="G971" s="1"/>
      <c r="H971" s="1"/>
      <c r="I971" s="1"/>
      <c r="J971" s="1"/>
      <c r="K971" s="1"/>
    </row>
    <row r="972" spans="5:11">
      <c r="E972" s="1"/>
      <c r="F972" s="1"/>
      <c r="G972" s="1"/>
      <c r="H972" s="1"/>
      <c r="I972" s="1"/>
      <c r="J972" s="1"/>
      <c r="K972" s="1"/>
    </row>
    <row r="973" spans="5:11">
      <c r="E973" s="1"/>
      <c r="F973" s="1"/>
      <c r="G973" s="1"/>
      <c r="H973" s="1"/>
      <c r="I973" s="1"/>
      <c r="J973" s="1"/>
      <c r="K973" s="1"/>
    </row>
    <row r="974" spans="5:11">
      <c r="E974" s="1"/>
      <c r="F974" s="1"/>
      <c r="G974" s="1"/>
      <c r="H974" s="1"/>
      <c r="I974" s="1"/>
      <c r="J974" s="1"/>
      <c r="K974" s="1"/>
    </row>
    <row r="975" spans="5:11">
      <c r="E975" s="1"/>
      <c r="F975" s="1"/>
      <c r="G975" s="1"/>
      <c r="H975" s="1"/>
      <c r="I975" s="1"/>
      <c r="J975" s="1"/>
      <c r="K975" s="1"/>
    </row>
    <row r="976" spans="5:11">
      <c r="E976" s="1"/>
      <c r="F976" s="1"/>
      <c r="G976" s="1"/>
      <c r="H976" s="1"/>
      <c r="I976" s="1"/>
      <c r="J976" s="1"/>
      <c r="K976" s="1"/>
    </row>
    <row r="977" spans="5:11">
      <c r="E977" s="1"/>
      <c r="F977" s="1"/>
      <c r="G977" s="1"/>
      <c r="H977" s="1"/>
      <c r="I977" s="1"/>
      <c r="J977" s="1"/>
      <c r="K977" s="1"/>
    </row>
    <row r="978" spans="5:11">
      <c r="E978" s="1"/>
      <c r="F978" s="1"/>
      <c r="G978" s="1"/>
      <c r="H978" s="1"/>
      <c r="I978" s="1"/>
      <c r="J978" s="1"/>
      <c r="K978" s="1"/>
    </row>
    <row r="979" spans="5:11">
      <c r="E979" s="1"/>
      <c r="F979" s="1"/>
      <c r="G979" s="1"/>
      <c r="H979" s="1"/>
      <c r="I979" s="1"/>
      <c r="J979" s="1"/>
      <c r="K979" s="1"/>
    </row>
    <row r="980" spans="5:11">
      <c r="E980" s="1"/>
      <c r="F980" s="1"/>
      <c r="G980" s="1"/>
      <c r="H980" s="1"/>
      <c r="I980" s="1"/>
      <c r="J980" s="1"/>
      <c r="K980" s="1"/>
    </row>
    <row r="981" spans="5:11">
      <c r="E981" s="1"/>
      <c r="F981" s="1"/>
      <c r="G981" s="1"/>
      <c r="H981" s="1"/>
      <c r="I981" s="1"/>
      <c r="J981" s="1"/>
      <c r="K981" s="1"/>
    </row>
    <row r="982" spans="5:11">
      <c r="E982" s="1"/>
      <c r="F982" s="1"/>
      <c r="G982" s="1"/>
      <c r="H982" s="1"/>
      <c r="I982" s="1"/>
      <c r="J982" s="1"/>
      <c r="K982" s="1"/>
    </row>
    <row r="983" spans="5:11">
      <c r="E983" s="1"/>
      <c r="F983" s="1"/>
      <c r="G983" s="1"/>
      <c r="H983" s="1"/>
      <c r="I983" s="1"/>
      <c r="J983" s="1"/>
      <c r="K983" s="1"/>
    </row>
    <row r="984" spans="5:11">
      <c r="E984" s="1"/>
      <c r="F984" s="1"/>
      <c r="G984" s="1"/>
      <c r="H984" s="1"/>
      <c r="I984" s="1"/>
      <c r="J984" s="1"/>
      <c r="K984" s="1"/>
    </row>
    <row r="985" spans="5:11">
      <c r="E985" s="1"/>
      <c r="F985" s="1"/>
      <c r="G985" s="1"/>
      <c r="H985" s="1"/>
      <c r="I985" s="1"/>
      <c r="J985" s="1"/>
      <c r="K985" s="1"/>
    </row>
    <row r="986" spans="5:11">
      <c r="E986" s="1"/>
      <c r="F986" s="1"/>
      <c r="G986" s="1"/>
      <c r="H986" s="1"/>
      <c r="I986" s="1"/>
      <c r="J986" s="1"/>
      <c r="K986" s="1"/>
    </row>
    <row r="987" spans="5:11">
      <c r="E987" s="1"/>
      <c r="F987" s="1"/>
      <c r="G987" s="1"/>
      <c r="H987" s="1"/>
      <c r="I987" s="1"/>
      <c r="J987" s="1"/>
      <c r="K987" s="1"/>
    </row>
    <row r="988" spans="5:11">
      <c r="E988" s="1"/>
      <c r="F988" s="1"/>
      <c r="G988" s="1"/>
      <c r="H988" s="1"/>
      <c r="I988" s="1"/>
      <c r="J988" s="1"/>
      <c r="K988" s="1"/>
    </row>
    <row r="989" spans="5:11">
      <c r="E989" s="1"/>
      <c r="F989" s="1"/>
      <c r="G989" s="1"/>
      <c r="H989" s="1"/>
      <c r="I989" s="1"/>
      <c r="J989" s="1"/>
      <c r="K989" s="1"/>
    </row>
    <row r="990" spans="5:11">
      <c r="E990" s="1"/>
      <c r="F990" s="1"/>
      <c r="G990" s="1"/>
      <c r="H990" s="1"/>
      <c r="I990" s="1"/>
      <c r="J990" s="1"/>
      <c r="K990" s="1"/>
    </row>
    <row r="991" spans="5:11">
      <c r="E991" s="1"/>
      <c r="F991" s="1"/>
      <c r="G991" s="1"/>
      <c r="H991" s="1"/>
      <c r="I991" s="1"/>
      <c r="J991" s="1"/>
      <c r="K991" s="1"/>
    </row>
    <row r="992" spans="5:11">
      <c r="E992" s="1"/>
      <c r="F992" s="1"/>
      <c r="G992" s="1"/>
      <c r="H992" s="1"/>
      <c r="I992" s="1"/>
      <c r="J992" s="1"/>
      <c r="K992" s="1"/>
    </row>
    <row r="993" spans="5:11">
      <c r="E993" s="1"/>
      <c r="F993" s="1"/>
      <c r="G993" s="1"/>
      <c r="H993" s="1"/>
      <c r="I993" s="1"/>
      <c r="J993" s="1"/>
      <c r="K993" s="1"/>
    </row>
    <row r="994" spans="5:11">
      <c r="E994" s="1"/>
      <c r="F994" s="1"/>
      <c r="G994" s="1"/>
      <c r="H994" s="1"/>
      <c r="I994" s="1"/>
      <c r="J994" s="1"/>
      <c r="K994" s="1"/>
    </row>
    <row r="995" spans="5:11">
      <c r="E995" s="1"/>
      <c r="F995" s="1"/>
      <c r="G995" s="1"/>
      <c r="H995" s="1"/>
      <c r="I995" s="1"/>
      <c r="J995" s="1"/>
      <c r="K995" s="1"/>
    </row>
    <row r="996" spans="5:11">
      <c r="E996" s="1"/>
      <c r="F996" s="1"/>
      <c r="G996" s="1"/>
      <c r="H996" s="1"/>
      <c r="I996" s="1"/>
      <c r="J996" s="1"/>
      <c r="K996" s="1"/>
    </row>
  </sheetData>
  <mergeCells count="14">
    <mergeCell ref="T24:T27"/>
    <mergeCell ref="D2:L2"/>
    <mergeCell ref="D4:L4"/>
    <mergeCell ref="E18:F18"/>
    <mergeCell ref="D21:L21"/>
    <mergeCell ref="S21:U21"/>
    <mergeCell ref="D79:L79"/>
    <mergeCell ref="E86:F86"/>
    <mergeCell ref="T28:T30"/>
    <mergeCell ref="T31:T33"/>
    <mergeCell ref="E45:F45"/>
    <mergeCell ref="D47:L47"/>
    <mergeCell ref="E76:F76"/>
    <mergeCell ref="E77:F77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AG63"/>
  <sheetViews>
    <sheetView showGridLines="0" zoomScale="60" zoomScaleNormal="60" workbookViewId="0">
      <pane xSplit="2" ySplit="4" topLeftCell="C23" activePane="bottomRight" state="frozen"/>
      <selection pane="bottomRight" activeCell="J41" sqref="J41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2.77734375" customWidth="1"/>
    <col min="3" max="3" width="15.109375" customWidth="1"/>
    <col min="4" max="4" width="14.21875" customWidth="1"/>
    <col min="5" max="5" width="10.5546875" customWidth="1"/>
    <col min="6" max="6" width="11.44140625" customWidth="1"/>
    <col min="7" max="7" width="11.33203125" customWidth="1"/>
    <col min="8" max="8" width="11.6640625" customWidth="1"/>
    <col min="9" max="9" width="12.6640625" customWidth="1"/>
    <col min="10" max="10" width="12.332031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10.6640625" style="1" customWidth="1"/>
    <col min="18" max="18" width="14.6640625" customWidth="1"/>
    <col min="19" max="20" width="14.77734375" customWidth="1"/>
    <col min="21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7" t="s">
        <v>6</v>
      </c>
      <c r="H4" s="128" t="s">
        <v>7</v>
      </c>
      <c r="I4" s="128" t="s">
        <v>8</v>
      </c>
      <c r="J4" s="129" t="s">
        <v>9</v>
      </c>
      <c r="K4" s="274" t="s">
        <v>182</v>
      </c>
      <c r="L4" s="127" t="s">
        <v>10</v>
      </c>
      <c r="M4" s="128" t="s">
        <v>11</v>
      </c>
      <c r="N4" s="128" t="s">
        <v>12</v>
      </c>
      <c r="O4" s="146" t="s">
        <v>13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3.15">
      <c r="B5" s="130">
        <v>44105</v>
      </c>
      <c r="C5" s="131">
        <v>9200</v>
      </c>
      <c r="D5" s="135">
        <v>22400</v>
      </c>
      <c r="E5" s="135">
        <v>4190</v>
      </c>
      <c r="F5" s="136">
        <v>15000</v>
      </c>
      <c r="G5" s="131">
        <v>1566</v>
      </c>
      <c r="H5" s="137">
        <v>16686</v>
      </c>
      <c r="I5" s="132">
        <v>4066</v>
      </c>
      <c r="J5" s="134">
        <v>13798</v>
      </c>
      <c r="K5" s="276">
        <f>SUM(Table25234678[[#This Row],[Batan Daily Prod (bopd)]:[Odidi prod (bopd)]])</f>
        <v>36116</v>
      </c>
      <c r="L5" s="131">
        <f>Table25234678[[#This Row],[Batan Target (bopd)]]-Table25234678[[#This Row],[Batan Daily Prod (bopd)]]</f>
        <v>7634</v>
      </c>
      <c r="M5" s="132">
        <f>Table25234678[[#This Row],[Jones Creek Target (bopd)]]-Table25234678[[#This Row],[Jones Creek Prod (bopd)]]</f>
        <v>5714</v>
      </c>
      <c r="N5" s="132">
        <f>Table25234678[[#This Row],[Egwa Target (bopd)]]-Table25234678[[#This Row],[Egwa Prod (bopd)]]</f>
        <v>124</v>
      </c>
      <c r="O5" s="134">
        <f>Table25234678[[#This Row],[Odidi Target (bopd)]]-Table25234678[[#This Row],[Odidi prod (bopd)]]</f>
        <v>1202</v>
      </c>
      <c r="R5" s="144"/>
      <c r="S5" s="148" t="s">
        <v>148</v>
      </c>
      <c r="T5" s="152">
        <f>B37</f>
        <v>44137</v>
      </c>
      <c r="U5" s="152">
        <f>T5+1</f>
        <v>44138</v>
      </c>
      <c r="V5" s="152">
        <f>U5+1</f>
        <v>44139</v>
      </c>
      <c r="W5" s="152">
        <f>V5+1</f>
        <v>44140</v>
      </c>
      <c r="X5" s="152">
        <f>W5+1</f>
        <v>44141</v>
      </c>
    </row>
    <row r="6" spans="2:33" ht="21.6">
      <c r="B6" s="130">
        <v>44106</v>
      </c>
      <c r="C6" s="131">
        <v>9200</v>
      </c>
      <c r="D6" s="135">
        <v>22400</v>
      </c>
      <c r="E6" s="135">
        <v>4190</v>
      </c>
      <c r="F6" s="136">
        <v>15000</v>
      </c>
      <c r="G6" s="131">
        <v>0</v>
      </c>
      <c r="H6" s="137">
        <v>20767</v>
      </c>
      <c r="I6" s="137">
        <v>4059</v>
      </c>
      <c r="J6" s="138">
        <v>13766</v>
      </c>
      <c r="K6" s="276">
        <f>SUM(Table25234678[[#This Row],[Batan Daily Prod (bopd)]:[Odidi prod (bopd)]])</f>
        <v>38592</v>
      </c>
      <c r="L6" s="131">
        <f>Table25234678[[#This Row],[Batan Target (bopd)]]-Table25234678[[#This Row],[Batan Daily Prod (bopd)]]</f>
        <v>9200</v>
      </c>
      <c r="M6" s="132">
        <f>Table25234678[[#This Row],[Jones Creek Target (bopd)]]-Table25234678[[#This Row],[Jones Creek Prod (bopd)]]</f>
        <v>1633</v>
      </c>
      <c r="N6" s="132">
        <f>Table25234678[[#This Row],[Egwa Target (bopd)]]-Table25234678[[#This Row],[Egwa Prod (bopd)]]</f>
        <v>131</v>
      </c>
      <c r="O6" s="134">
        <f>Table25234678[[#This Row],[Odidi Target (bopd)]]-Table25234678[[#This Row],[Odidi prod (bopd)]]</f>
        <v>1234</v>
      </c>
      <c r="R6" s="145" t="s">
        <v>17</v>
      </c>
      <c r="S6" s="272">
        <v>22.14</v>
      </c>
      <c r="T6" s="268">
        <v>18.977</v>
      </c>
      <c r="U6" s="267">
        <v>18.556000000000001</v>
      </c>
      <c r="V6" s="268">
        <v>19.940000000000001</v>
      </c>
      <c r="W6" s="267">
        <v>18.579000000000001</v>
      </c>
      <c r="X6" s="268">
        <v>19.997</v>
      </c>
      <c r="Z6" s="297"/>
      <c r="AA6" s="298"/>
      <c r="AB6" s="298"/>
      <c r="AC6" s="298"/>
      <c r="AD6" s="244"/>
      <c r="AE6" s="244"/>
      <c r="AF6" s="245"/>
      <c r="AG6" s="245"/>
    </row>
    <row r="7" spans="2:33" ht="21.6">
      <c r="B7" s="130">
        <v>44107</v>
      </c>
      <c r="C7" s="131">
        <v>9200</v>
      </c>
      <c r="D7" s="135">
        <v>22400</v>
      </c>
      <c r="E7" s="135">
        <v>4190</v>
      </c>
      <c r="F7" s="136">
        <v>15000</v>
      </c>
      <c r="G7" s="131">
        <v>1530</v>
      </c>
      <c r="H7" s="132">
        <v>16832</v>
      </c>
      <c r="I7" s="132">
        <v>4060</v>
      </c>
      <c r="J7" s="134">
        <v>14373</v>
      </c>
      <c r="K7" s="276">
        <f>SUM(Table25234678[[#This Row],[Batan Daily Prod (bopd)]:[Odidi prod (bopd)]])</f>
        <v>36795</v>
      </c>
      <c r="L7" s="131">
        <f>Table25234678[[#This Row],[Batan Target (bopd)]]-Table25234678[[#This Row],[Batan Daily Prod (bopd)]]</f>
        <v>7670</v>
      </c>
      <c r="M7" s="132">
        <f>Table25234678[[#This Row],[Jones Creek Target (bopd)]]-Table25234678[[#This Row],[Jones Creek Prod (bopd)]]</f>
        <v>5568</v>
      </c>
      <c r="N7" s="132">
        <f>Table25234678[[#This Row],[Egwa Target (bopd)]]-Table25234678[[#This Row],[Egwa Prod (bopd)]]</f>
        <v>130</v>
      </c>
      <c r="O7" s="134">
        <f>Table25234678[[#This Row],[Odidi Target (bopd)]]-Table25234678[[#This Row],[Odidi prod (bopd)]]</f>
        <v>627</v>
      </c>
      <c r="R7" s="145" t="s">
        <v>19</v>
      </c>
      <c r="S7" s="272">
        <v>15.17</v>
      </c>
      <c r="T7" s="268">
        <v>13.429</v>
      </c>
      <c r="U7" s="267">
        <v>12.214</v>
      </c>
      <c r="V7" s="268">
        <v>12.768000000000001</v>
      </c>
      <c r="W7" s="267">
        <v>13.381</v>
      </c>
      <c r="X7" s="270">
        <v>13.381</v>
      </c>
      <c r="Z7" s="297"/>
      <c r="AA7" s="298"/>
      <c r="AB7" s="298"/>
      <c r="AC7" s="298"/>
      <c r="AD7" s="244"/>
      <c r="AE7" s="246"/>
      <c r="AF7" s="246"/>
      <c r="AG7" s="246"/>
    </row>
    <row r="8" spans="2:33" ht="21.6">
      <c r="B8" s="130">
        <v>44108</v>
      </c>
      <c r="C8" s="131">
        <v>9200</v>
      </c>
      <c r="D8" s="135">
        <v>22400</v>
      </c>
      <c r="E8" s="135">
        <v>4190</v>
      </c>
      <c r="F8" s="136">
        <v>15000</v>
      </c>
      <c r="G8" s="131">
        <v>4809</v>
      </c>
      <c r="H8" s="132">
        <v>8460</v>
      </c>
      <c r="I8" s="132">
        <v>4054</v>
      </c>
      <c r="J8" s="134">
        <v>13234</v>
      </c>
      <c r="K8" s="276">
        <f>SUM(Table25234678[[#This Row],[Batan Daily Prod (bopd)]:[Odidi prod (bopd)]])</f>
        <v>30557</v>
      </c>
      <c r="L8" s="131">
        <f>Table25234678[[#This Row],[Batan Target (bopd)]]-Table25234678[[#This Row],[Batan Daily Prod (bopd)]]</f>
        <v>4391</v>
      </c>
      <c r="M8" s="132">
        <f>Table25234678[[#This Row],[Jones Creek Target (bopd)]]-Table25234678[[#This Row],[Jones Creek Prod (bopd)]]</f>
        <v>13940</v>
      </c>
      <c r="N8" s="132">
        <f>Table25234678[[#This Row],[Egwa Target (bopd)]]-Table25234678[[#This Row],[Egwa Prod (bopd)]]</f>
        <v>136</v>
      </c>
      <c r="O8" s="134">
        <f>Table25234678[[#This Row],[Odidi Target (bopd)]]-Table25234678[[#This Row],[Odidi prod (bopd)]]</f>
        <v>1766</v>
      </c>
      <c r="R8" s="145" t="s">
        <v>16</v>
      </c>
      <c r="S8" s="272">
        <v>8.81</v>
      </c>
      <c r="T8" s="268">
        <v>3.8359999999999999</v>
      </c>
      <c r="U8" s="269">
        <v>3.802</v>
      </c>
      <c r="V8" s="268">
        <v>3.9279999999999999</v>
      </c>
      <c r="W8" s="269">
        <v>3.89</v>
      </c>
      <c r="X8" s="268">
        <v>3.9129999999999998</v>
      </c>
      <c r="Z8" s="298"/>
      <c r="AA8" s="299"/>
      <c r="AB8" s="298"/>
      <c r="AC8" s="299"/>
      <c r="AD8" s="244"/>
      <c r="AE8" s="244"/>
      <c r="AF8" s="244"/>
      <c r="AG8" s="244"/>
    </row>
    <row r="9" spans="2:33" ht="21.6">
      <c r="B9" s="130">
        <v>44109</v>
      </c>
      <c r="C9" s="131">
        <v>9200</v>
      </c>
      <c r="D9" s="135">
        <v>22400</v>
      </c>
      <c r="E9" s="135">
        <v>4190</v>
      </c>
      <c r="F9" s="136">
        <v>15000</v>
      </c>
      <c r="G9" s="131">
        <v>829</v>
      </c>
      <c r="H9" s="132">
        <v>4257</v>
      </c>
      <c r="I9" s="132">
        <v>3928</v>
      </c>
      <c r="J9" s="134">
        <v>12986</v>
      </c>
      <c r="K9" s="276">
        <f>SUM(Table25234678[[#This Row],[Batan Daily Prod (bopd)]:[Odidi prod (bopd)]])</f>
        <v>22000</v>
      </c>
      <c r="L9" s="131">
        <f>Table25234678[[#This Row],[Batan Target (bopd)]]-Table25234678[[#This Row],[Batan Daily Prod (bopd)]]</f>
        <v>8371</v>
      </c>
      <c r="M9" s="132">
        <f>Table25234678[[#This Row],[Jones Creek Target (bopd)]]-Table25234678[[#This Row],[Jones Creek Prod (bopd)]]</f>
        <v>18143</v>
      </c>
      <c r="N9" s="132">
        <f>Table25234678[[#This Row],[Egwa Target (bopd)]]-Table25234678[[#This Row],[Egwa Prod (bopd)]]</f>
        <v>262</v>
      </c>
      <c r="O9" s="134">
        <f>Table25234678[[#This Row],[Odidi Target (bopd)]]-Table25234678[[#This Row],[Odidi prod (bopd)]]</f>
        <v>2014</v>
      </c>
      <c r="R9" s="145" t="s">
        <v>18</v>
      </c>
      <c r="S9" s="273">
        <v>4.1900000000000004</v>
      </c>
      <c r="T9" s="270">
        <v>2.8820000000000001</v>
      </c>
      <c r="U9" s="269">
        <v>2.3889999999999998</v>
      </c>
      <c r="V9" s="270">
        <v>3.2679999999999998</v>
      </c>
      <c r="W9" s="269">
        <v>1.6839999999999999</v>
      </c>
      <c r="X9" s="270">
        <v>1.6080000000000001</v>
      </c>
      <c r="AA9" s="242"/>
      <c r="AB9" s="243"/>
      <c r="AC9" s="244"/>
      <c r="AD9" s="244"/>
      <c r="AE9" s="244"/>
      <c r="AF9" s="245"/>
      <c r="AG9" s="245"/>
    </row>
    <row r="10" spans="2:33" ht="21.6">
      <c r="B10" s="130">
        <v>44110</v>
      </c>
      <c r="C10" s="131">
        <v>9200</v>
      </c>
      <c r="D10" s="135">
        <v>22400</v>
      </c>
      <c r="E10" s="135">
        <v>4190</v>
      </c>
      <c r="F10" s="136">
        <v>15000</v>
      </c>
      <c r="G10" s="131">
        <v>0</v>
      </c>
      <c r="H10" s="137">
        <v>4563</v>
      </c>
      <c r="I10" s="132">
        <v>3864</v>
      </c>
      <c r="J10" s="138">
        <v>12514</v>
      </c>
      <c r="K10" s="276">
        <f>SUM(Table25234678[[#This Row],[Batan Daily Prod (bopd)]:[Odidi prod (bopd)]])</f>
        <v>20941</v>
      </c>
      <c r="L10" s="131">
        <f>Table25234678[[#This Row],[Batan Target (bopd)]]-Table25234678[[#This Row],[Batan Daily Prod (bopd)]]</f>
        <v>9200</v>
      </c>
      <c r="M10" s="132">
        <f>Table25234678[[#This Row],[Jones Creek Target (bopd)]]-Table25234678[[#This Row],[Jones Creek Prod (bopd)]]</f>
        <v>17837</v>
      </c>
      <c r="N10" s="132">
        <f>Table25234678[[#This Row],[Egwa Target (bopd)]]-Table25234678[[#This Row],[Egwa Prod (bopd)]]</f>
        <v>326</v>
      </c>
      <c r="O10" s="134">
        <f>Table25234678[[#This Row],[Odidi Target (bopd)]]-Table25234678[[#This Row],[Odidi prod (bopd)]]</f>
        <v>2486</v>
      </c>
    </row>
    <row r="11" spans="2:33" ht="21.6">
      <c r="B11" s="130">
        <v>44111</v>
      </c>
      <c r="C11" s="131">
        <v>9200</v>
      </c>
      <c r="D11" s="135">
        <v>22400</v>
      </c>
      <c r="E11" s="135">
        <v>4190</v>
      </c>
      <c r="F11" s="136">
        <v>15000</v>
      </c>
      <c r="G11" s="140">
        <v>2295</v>
      </c>
      <c r="H11" s="137">
        <v>5125</v>
      </c>
      <c r="I11" s="132">
        <v>3931</v>
      </c>
      <c r="J11" s="138">
        <v>12709</v>
      </c>
      <c r="K11" s="276">
        <f>SUM(Table25234678[[#This Row],[Batan Daily Prod (bopd)]:[Odidi prod (bopd)]])</f>
        <v>24060</v>
      </c>
      <c r="L11" s="131">
        <f>Table25234678[[#This Row],[Batan Target (bopd)]]-Table25234678[[#This Row],[Batan Daily Prod (bopd)]]</f>
        <v>6905</v>
      </c>
      <c r="M11" s="132">
        <f>Table25234678[[#This Row],[Jones Creek Target (bopd)]]-Table25234678[[#This Row],[Jones Creek Prod (bopd)]]</f>
        <v>17275</v>
      </c>
      <c r="N11" s="132">
        <f>Table25234678[[#This Row],[Egwa Target (bopd)]]-Table25234678[[#This Row],[Egwa Prod (bopd)]]</f>
        <v>259</v>
      </c>
      <c r="O11" s="134">
        <f>Table25234678[[#This Row],[Odidi Target (bopd)]]-Table25234678[[#This Row],[Odidi prod (bopd)]]</f>
        <v>2291</v>
      </c>
    </row>
    <row r="12" spans="2:33" ht="21.6">
      <c r="B12" s="130">
        <v>44112</v>
      </c>
      <c r="C12" s="131">
        <v>9200</v>
      </c>
      <c r="D12" s="135">
        <v>22400</v>
      </c>
      <c r="E12" s="135">
        <v>4190</v>
      </c>
      <c r="F12" s="136">
        <v>15000</v>
      </c>
      <c r="G12" s="131">
        <v>3993</v>
      </c>
      <c r="H12" s="137">
        <v>1435</v>
      </c>
      <c r="I12" s="132">
        <v>3959</v>
      </c>
      <c r="J12" s="138">
        <v>0</v>
      </c>
      <c r="K12" s="276">
        <f>SUM(Table25234678[[#This Row],[Batan Daily Prod (bopd)]:[Odidi prod (bopd)]])</f>
        <v>9387</v>
      </c>
      <c r="L12" s="131">
        <f>Table25234678[[#This Row],[Batan Target (bopd)]]-Table25234678[[#This Row],[Batan Daily Prod (bopd)]]</f>
        <v>5207</v>
      </c>
      <c r="M12" s="132">
        <f>Table25234678[[#This Row],[Jones Creek Target (bopd)]]-Table25234678[[#This Row],[Jones Creek Prod (bopd)]]</f>
        <v>20965</v>
      </c>
      <c r="N12" s="132">
        <f>Table25234678[[#This Row],[Egwa Target (bopd)]]-Table25234678[[#This Row],[Egwa Prod (bopd)]]</f>
        <v>231</v>
      </c>
      <c r="O12" s="134">
        <f>Table25234678[[#This Row],[Odidi Target (bopd)]]-Table25234678[[#This Row],[Odidi prod (bopd)]]</f>
        <v>15000</v>
      </c>
      <c r="P12" s="42"/>
      <c r="Q12" s="42"/>
    </row>
    <row r="13" spans="2:33" ht="21.6">
      <c r="B13" s="130">
        <v>44113</v>
      </c>
      <c r="C13" s="131">
        <v>9200</v>
      </c>
      <c r="D13" s="135">
        <v>22400</v>
      </c>
      <c r="E13" s="135">
        <v>4190</v>
      </c>
      <c r="F13" s="136">
        <v>15000</v>
      </c>
      <c r="G13" s="131">
        <v>6184</v>
      </c>
      <c r="H13" s="137">
        <v>2453</v>
      </c>
      <c r="I13" s="137">
        <v>3965</v>
      </c>
      <c r="J13" s="138">
        <v>0</v>
      </c>
      <c r="K13" s="276">
        <f>SUM(Table25234678[[#This Row],[Batan Daily Prod (bopd)]:[Odidi prod (bopd)]])</f>
        <v>12602</v>
      </c>
      <c r="L13" s="131">
        <f>Table25234678[[#This Row],[Batan Target (bopd)]]-Table25234678[[#This Row],[Batan Daily Prod (bopd)]]</f>
        <v>3016</v>
      </c>
      <c r="M13" s="132">
        <f>Table25234678[[#This Row],[Jones Creek Target (bopd)]]-Table25234678[[#This Row],[Jones Creek Prod (bopd)]]</f>
        <v>19947</v>
      </c>
      <c r="N13" s="132">
        <f>Table25234678[[#This Row],[Egwa Target (bopd)]]-Table25234678[[#This Row],[Egwa Prod (bopd)]]</f>
        <v>225</v>
      </c>
      <c r="O13" s="134">
        <f>Table25234678[[#This Row],[Odidi Target (bopd)]]-Table25234678[[#This Row],[Odidi prod (bopd)]]</f>
        <v>15000</v>
      </c>
    </row>
    <row r="14" spans="2:33" ht="21.6">
      <c r="B14" s="130">
        <v>44114</v>
      </c>
      <c r="C14" s="131">
        <v>9200</v>
      </c>
      <c r="D14" s="135">
        <v>22400</v>
      </c>
      <c r="E14" s="135">
        <v>4190</v>
      </c>
      <c r="F14" s="136">
        <v>15000</v>
      </c>
      <c r="G14" s="131">
        <v>6724</v>
      </c>
      <c r="H14" s="137">
        <v>9643</v>
      </c>
      <c r="I14" s="132">
        <v>3400</v>
      </c>
      <c r="J14" s="138">
        <v>0</v>
      </c>
      <c r="K14" s="276">
        <f>SUM(Table25234678[[#This Row],[Batan Daily Prod (bopd)]:[Odidi prod (bopd)]])</f>
        <v>19767</v>
      </c>
      <c r="L14" s="131">
        <f>Table25234678[[#This Row],[Batan Target (bopd)]]-Table25234678[[#This Row],[Batan Daily Prod (bopd)]]</f>
        <v>2476</v>
      </c>
      <c r="M14" s="132">
        <f>Table25234678[[#This Row],[Jones Creek Target (bopd)]]-Table25234678[[#This Row],[Jones Creek Prod (bopd)]]</f>
        <v>12757</v>
      </c>
      <c r="N14" s="132">
        <f>Table25234678[[#This Row],[Egwa Target (bopd)]]-Table25234678[[#This Row],[Egwa Prod (bopd)]]</f>
        <v>790</v>
      </c>
      <c r="O14" s="134">
        <f>Table25234678[[#This Row],[Odidi Target (bopd)]]-Table25234678[[#This Row],[Odidi prod (bopd)]]</f>
        <v>15000</v>
      </c>
    </row>
    <row r="15" spans="2:33" ht="21.6">
      <c r="B15" s="130">
        <v>44115</v>
      </c>
      <c r="C15" s="131">
        <v>9200</v>
      </c>
      <c r="D15" s="135">
        <v>22400</v>
      </c>
      <c r="E15" s="135">
        <v>4190</v>
      </c>
      <c r="F15" s="136">
        <v>15000</v>
      </c>
      <c r="G15" s="140">
        <v>6787</v>
      </c>
      <c r="H15" s="137">
        <v>11397</v>
      </c>
      <c r="I15" s="137">
        <v>3622</v>
      </c>
      <c r="J15" s="138">
        <v>0</v>
      </c>
      <c r="K15" s="276">
        <f>SUM(Table25234678[[#This Row],[Batan Daily Prod (bopd)]:[Odidi prod (bopd)]])</f>
        <v>21806</v>
      </c>
      <c r="L15" s="131">
        <f>Table25234678[[#This Row],[Batan Target (bopd)]]-Table25234678[[#This Row],[Batan Daily Prod (bopd)]]</f>
        <v>2413</v>
      </c>
      <c r="M15" s="132">
        <f>Table25234678[[#This Row],[Jones Creek Target (bopd)]]-Table25234678[[#This Row],[Jones Creek Prod (bopd)]]</f>
        <v>11003</v>
      </c>
      <c r="N15" s="132">
        <f>Table25234678[[#This Row],[Egwa Target (bopd)]]-Table25234678[[#This Row],[Egwa Prod (bopd)]]</f>
        <v>568</v>
      </c>
      <c r="O15" s="134">
        <f>Table25234678[[#This Row],[Odidi Target (bopd)]]-Table25234678[[#This Row],[Odidi prod (bopd)]]</f>
        <v>15000</v>
      </c>
    </row>
    <row r="16" spans="2:33" ht="21.6">
      <c r="B16" s="130">
        <v>44116</v>
      </c>
      <c r="C16" s="131">
        <v>9200</v>
      </c>
      <c r="D16" s="135">
        <v>22400</v>
      </c>
      <c r="E16" s="135">
        <v>4190</v>
      </c>
      <c r="F16" s="136">
        <v>15000</v>
      </c>
      <c r="G16" s="131">
        <v>6803</v>
      </c>
      <c r="H16" s="137">
        <v>16692</v>
      </c>
      <c r="I16" s="132">
        <v>3966</v>
      </c>
      <c r="J16" s="138">
        <v>0</v>
      </c>
      <c r="K16" s="276">
        <f>SUM(Table25234678[[#This Row],[Batan Daily Prod (bopd)]:[Odidi prod (bopd)]])</f>
        <v>27461</v>
      </c>
      <c r="L16" s="131">
        <f>Table25234678[[#This Row],[Batan Target (bopd)]]-Table25234678[[#This Row],[Batan Daily Prod (bopd)]]</f>
        <v>2397</v>
      </c>
      <c r="M16" s="132">
        <f>Table25234678[[#This Row],[Jones Creek Target (bopd)]]-Table25234678[[#This Row],[Jones Creek Prod (bopd)]]</f>
        <v>5708</v>
      </c>
      <c r="N16" s="132">
        <f>Table25234678[[#This Row],[Egwa Target (bopd)]]-Table25234678[[#This Row],[Egwa Prod (bopd)]]</f>
        <v>224</v>
      </c>
      <c r="O16" s="134">
        <f>Table25234678[[#This Row],[Odidi Target (bopd)]]-Table25234678[[#This Row],[Odidi prod (bopd)]]</f>
        <v>15000</v>
      </c>
    </row>
    <row r="17" spans="2:15" ht="21.6">
      <c r="B17" s="130">
        <v>44117</v>
      </c>
      <c r="C17" s="131">
        <v>9200</v>
      </c>
      <c r="D17" s="135">
        <v>22400</v>
      </c>
      <c r="E17" s="135">
        <v>4190</v>
      </c>
      <c r="F17" s="136">
        <v>15000</v>
      </c>
      <c r="G17" s="140">
        <v>1284</v>
      </c>
      <c r="H17" s="137">
        <v>18456</v>
      </c>
      <c r="I17" s="132">
        <v>1070</v>
      </c>
      <c r="J17" s="138">
        <v>0</v>
      </c>
      <c r="K17" s="276">
        <f>SUM(Table25234678[[#This Row],[Batan Daily Prod (bopd)]:[Odidi prod (bopd)]])</f>
        <v>20810</v>
      </c>
      <c r="L17" s="131">
        <f>Table25234678[[#This Row],[Batan Target (bopd)]]-Table25234678[[#This Row],[Batan Daily Prod (bopd)]]</f>
        <v>7916</v>
      </c>
      <c r="M17" s="132">
        <f>Table25234678[[#This Row],[Jones Creek Target (bopd)]]-Table25234678[[#This Row],[Jones Creek Prod (bopd)]]</f>
        <v>3944</v>
      </c>
      <c r="N17" s="132">
        <f>Table25234678[[#This Row],[Egwa Target (bopd)]]-Table25234678[[#This Row],[Egwa Prod (bopd)]]</f>
        <v>3120</v>
      </c>
      <c r="O17" s="134">
        <f>Table25234678[[#This Row],[Odidi Target (bopd)]]-Table25234678[[#This Row],[Odidi prod (bopd)]]</f>
        <v>15000</v>
      </c>
    </row>
    <row r="18" spans="2:15" ht="21.6">
      <c r="B18" s="130">
        <v>44118</v>
      </c>
      <c r="C18" s="131">
        <v>9200</v>
      </c>
      <c r="D18" s="135">
        <v>22400</v>
      </c>
      <c r="E18" s="135">
        <v>4190</v>
      </c>
      <c r="F18" s="136">
        <v>15000</v>
      </c>
      <c r="G18" s="131">
        <v>0</v>
      </c>
      <c r="H18" s="137">
        <v>11243</v>
      </c>
      <c r="I18" s="132">
        <v>0</v>
      </c>
      <c r="J18" s="138">
        <v>0</v>
      </c>
      <c r="K18" s="276">
        <f>SUM(Table25234678[[#This Row],[Batan Daily Prod (bopd)]:[Odidi prod (bopd)]])</f>
        <v>11243</v>
      </c>
      <c r="L18" s="131">
        <f>Table25234678[[#This Row],[Batan Target (bopd)]]-Table25234678[[#This Row],[Batan Daily Prod (bopd)]]</f>
        <v>9200</v>
      </c>
      <c r="M18" s="132">
        <f>Table25234678[[#This Row],[Jones Creek Target (bopd)]]-Table25234678[[#This Row],[Jones Creek Prod (bopd)]]</f>
        <v>11157</v>
      </c>
      <c r="N18" s="132">
        <f>Table25234678[[#This Row],[Egwa Target (bopd)]]-Table25234678[[#This Row],[Egwa Prod (bopd)]]</f>
        <v>4190</v>
      </c>
      <c r="O18" s="134">
        <f>Table25234678[[#This Row],[Odidi Target (bopd)]]-Table25234678[[#This Row],[Odidi prod (bopd)]]</f>
        <v>15000</v>
      </c>
    </row>
    <row r="19" spans="2:15" ht="21.6">
      <c r="B19" s="130">
        <v>44119</v>
      </c>
      <c r="C19" s="131">
        <v>9200</v>
      </c>
      <c r="D19" s="135">
        <v>22400</v>
      </c>
      <c r="E19" s="135">
        <v>4190</v>
      </c>
      <c r="F19" s="136">
        <v>15000</v>
      </c>
      <c r="G19" s="140">
        <v>0</v>
      </c>
      <c r="H19" s="137">
        <v>15001</v>
      </c>
      <c r="I19" s="132">
        <v>0</v>
      </c>
      <c r="J19" s="138">
        <v>0</v>
      </c>
      <c r="K19" s="276">
        <f>SUM(Table25234678[[#This Row],[Batan Daily Prod (bopd)]:[Odidi prod (bopd)]])</f>
        <v>15001</v>
      </c>
      <c r="L19" s="131">
        <f>Table25234678[[#This Row],[Batan Target (bopd)]]-Table25234678[[#This Row],[Batan Daily Prod (bopd)]]</f>
        <v>9200</v>
      </c>
      <c r="M19" s="132">
        <f>Table25234678[[#This Row],[Jones Creek Target (bopd)]]-Table25234678[[#This Row],[Jones Creek Prod (bopd)]]</f>
        <v>7399</v>
      </c>
      <c r="N19" s="132">
        <f>Table25234678[[#This Row],[Egwa Target (bopd)]]-Table25234678[[#This Row],[Egwa Prod (bopd)]]</f>
        <v>4190</v>
      </c>
      <c r="O19" s="134">
        <f>Table25234678[[#This Row],[Odidi Target (bopd)]]-Table25234678[[#This Row],[Odidi prod (bopd)]]</f>
        <v>15000</v>
      </c>
    </row>
    <row r="20" spans="2:15" ht="21.6">
      <c r="B20" s="130">
        <v>44120</v>
      </c>
      <c r="C20" s="131">
        <v>9200</v>
      </c>
      <c r="D20" s="135">
        <v>22400</v>
      </c>
      <c r="E20" s="135">
        <v>4190</v>
      </c>
      <c r="F20" s="136">
        <v>15000</v>
      </c>
      <c r="G20" s="131">
        <v>0</v>
      </c>
      <c r="H20" s="137">
        <v>18601</v>
      </c>
      <c r="I20" s="132">
        <v>0</v>
      </c>
      <c r="J20" s="134">
        <v>0</v>
      </c>
      <c r="K20" s="276">
        <f>SUM(Table25234678[[#This Row],[Batan Daily Prod (bopd)]:[Odidi prod (bopd)]])</f>
        <v>18601</v>
      </c>
      <c r="L20" s="131">
        <f>Table25234678[[#This Row],[Batan Target (bopd)]]-Table25234678[[#This Row],[Batan Daily Prod (bopd)]]</f>
        <v>9200</v>
      </c>
      <c r="M20" s="132">
        <f>Table25234678[[#This Row],[Jones Creek Target (bopd)]]-Table25234678[[#This Row],[Jones Creek Prod (bopd)]]</f>
        <v>3799</v>
      </c>
      <c r="N20" s="132">
        <f>Table25234678[[#This Row],[Egwa Target (bopd)]]-Table25234678[[#This Row],[Egwa Prod (bopd)]]</f>
        <v>4190</v>
      </c>
      <c r="O20" s="134">
        <f>Table25234678[[#This Row],[Odidi Target (bopd)]]-Table25234678[[#This Row],[Odidi prod (bopd)]]</f>
        <v>15000</v>
      </c>
    </row>
    <row r="21" spans="2:15" ht="21.6">
      <c r="B21" s="130">
        <v>44121</v>
      </c>
      <c r="C21" s="131">
        <v>9200</v>
      </c>
      <c r="D21" s="135">
        <v>22400</v>
      </c>
      <c r="E21" s="135">
        <v>4190</v>
      </c>
      <c r="F21" s="136">
        <v>15000</v>
      </c>
      <c r="G21" s="140">
        <v>0</v>
      </c>
      <c r="H21" s="132">
        <v>14835</v>
      </c>
      <c r="I21" s="132">
        <v>0</v>
      </c>
      <c r="J21" s="138">
        <v>5445</v>
      </c>
      <c r="K21" s="276">
        <f>SUM(Table25234678[[#This Row],[Batan Daily Prod (bopd)]:[Odidi prod (bopd)]])</f>
        <v>20280</v>
      </c>
      <c r="L21" s="131">
        <f>Table25234678[[#This Row],[Batan Target (bopd)]]-Table25234678[[#This Row],[Batan Daily Prod (bopd)]]</f>
        <v>9200</v>
      </c>
      <c r="M21" s="132">
        <f>Table25234678[[#This Row],[Jones Creek Target (bopd)]]-Table25234678[[#This Row],[Jones Creek Prod (bopd)]]</f>
        <v>7565</v>
      </c>
      <c r="N21" s="132">
        <f>Table25234678[[#This Row],[Egwa Target (bopd)]]-Table25234678[[#This Row],[Egwa Prod (bopd)]]</f>
        <v>4190</v>
      </c>
      <c r="O21" s="134">
        <f>Table25234678[[#This Row],[Odidi Target (bopd)]]-Table25234678[[#This Row],[Odidi prod (bopd)]]</f>
        <v>9555</v>
      </c>
    </row>
    <row r="22" spans="2:15" ht="21.6">
      <c r="B22" s="130">
        <v>44122</v>
      </c>
      <c r="C22" s="131">
        <v>9200</v>
      </c>
      <c r="D22" s="135">
        <v>22400</v>
      </c>
      <c r="E22" s="135">
        <v>4190</v>
      </c>
      <c r="F22" s="136">
        <v>15000</v>
      </c>
      <c r="G22" s="141">
        <v>0</v>
      </c>
      <c r="H22" s="137">
        <v>18668</v>
      </c>
      <c r="I22" s="137">
        <v>0</v>
      </c>
      <c r="J22" s="138">
        <v>13302</v>
      </c>
      <c r="K22" s="276">
        <f>SUM(Table25234678[[#This Row],[Batan Daily Prod (bopd)]:[Odidi prod (bopd)]])</f>
        <v>31970</v>
      </c>
      <c r="L22" s="131">
        <f>Table25234678[[#This Row],[Batan Target (bopd)]]-Table25234678[[#This Row],[Batan Daily Prod (bopd)]]</f>
        <v>9200</v>
      </c>
      <c r="M22" s="132">
        <f>Table25234678[[#This Row],[Jones Creek Target (bopd)]]-Table25234678[[#This Row],[Jones Creek Prod (bopd)]]</f>
        <v>3732</v>
      </c>
      <c r="N22" s="132">
        <f>Table25234678[[#This Row],[Egwa Target (bopd)]]-Table25234678[[#This Row],[Egwa Prod (bopd)]]</f>
        <v>4190</v>
      </c>
      <c r="O22" s="134">
        <f>Table25234678[[#This Row],[Odidi Target (bopd)]]-Table25234678[[#This Row],[Odidi prod (bopd)]]</f>
        <v>1698</v>
      </c>
    </row>
    <row r="23" spans="2:15" ht="21.6">
      <c r="B23" s="130">
        <v>44123</v>
      </c>
      <c r="C23" s="131">
        <v>9200</v>
      </c>
      <c r="D23" s="135">
        <v>22400</v>
      </c>
      <c r="E23" s="135">
        <v>4190</v>
      </c>
      <c r="F23" s="136">
        <v>15000</v>
      </c>
      <c r="G23" s="141">
        <v>0</v>
      </c>
      <c r="H23" s="137">
        <v>18376</v>
      </c>
      <c r="I23" s="137">
        <v>0</v>
      </c>
      <c r="J23" s="138">
        <v>13856</v>
      </c>
      <c r="K23" s="276">
        <f>SUM(Table25234678[[#This Row],[Batan Daily Prod (bopd)]:[Odidi prod (bopd)]])</f>
        <v>32232</v>
      </c>
      <c r="L23" s="131">
        <f>Table25234678[[#This Row],[Batan Target (bopd)]]-Table25234678[[#This Row],[Batan Daily Prod (bopd)]]</f>
        <v>9200</v>
      </c>
      <c r="M23" s="132">
        <f>Table25234678[[#This Row],[Jones Creek Target (bopd)]]-Table25234678[[#This Row],[Jones Creek Prod (bopd)]]</f>
        <v>4024</v>
      </c>
      <c r="N23" s="132">
        <f>Table25234678[[#This Row],[Egwa Target (bopd)]]-Table25234678[[#This Row],[Egwa Prod (bopd)]]</f>
        <v>4190</v>
      </c>
      <c r="O23" s="134">
        <f>Table25234678[[#This Row],[Odidi Target (bopd)]]-Table25234678[[#This Row],[Odidi prod (bopd)]]</f>
        <v>1144</v>
      </c>
    </row>
    <row r="24" spans="2:15" ht="21.6">
      <c r="B24" s="130">
        <v>44124</v>
      </c>
      <c r="C24" s="131">
        <v>9200</v>
      </c>
      <c r="D24" s="135">
        <v>22400</v>
      </c>
      <c r="E24" s="135">
        <v>4190</v>
      </c>
      <c r="F24" s="136">
        <v>15000</v>
      </c>
      <c r="G24" s="141">
        <v>0</v>
      </c>
      <c r="H24" s="132">
        <v>17954</v>
      </c>
      <c r="I24" s="137">
        <v>0</v>
      </c>
      <c r="J24" s="138">
        <v>14133</v>
      </c>
      <c r="K24" s="276">
        <f>SUM(Table25234678[[#This Row],[Batan Daily Prod (bopd)]:[Odidi prod (bopd)]])</f>
        <v>32087</v>
      </c>
      <c r="L24" s="131">
        <f>Table25234678[[#This Row],[Batan Target (bopd)]]-Table25234678[[#This Row],[Batan Daily Prod (bopd)]]</f>
        <v>9200</v>
      </c>
      <c r="M24" s="132">
        <f>Table25234678[[#This Row],[Jones Creek Target (bopd)]]-Table25234678[[#This Row],[Jones Creek Prod (bopd)]]</f>
        <v>4446</v>
      </c>
      <c r="N24" s="132">
        <f>Table25234678[[#This Row],[Egwa Target (bopd)]]-Table25234678[[#This Row],[Egwa Prod (bopd)]]</f>
        <v>4190</v>
      </c>
      <c r="O24" s="134">
        <f>Table25234678[[#This Row],[Odidi Target (bopd)]]-Table25234678[[#This Row],[Odidi prod (bopd)]]</f>
        <v>867</v>
      </c>
    </row>
    <row r="25" spans="2:15" ht="21.6">
      <c r="B25" s="130">
        <v>44125</v>
      </c>
      <c r="C25" s="131">
        <v>9200</v>
      </c>
      <c r="D25" s="135">
        <v>22400</v>
      </c>
      <c r="E25" s="135">
        <v>4190</v>
      </c>
      <c r="F25" s="136">
        <v>15000</v>
      </c>
      <c r="G25" s="141">
        <v>0</v>
      </c>
      <c r="H25" s="137">
        <v>18446</v>
      </c>
      <c r="I25" s="137">
        <v>0</v>
      </c>
      <c r="J25" s="138">
        <v>14145</v>
      </c>
      <c r="K25" s="276">
        <f>SUM(Table25234678[[#This Row],[Batan Daily Prod (bopd)]:[Odidi prod (bopd)]])</f>
        <v>32591</v>
      </c>
      <c r="L25" s="131">
        <f>Table25234678[[#This Row],[Batan Target (bopd)]]-Table25234678[[#This Row],[Batan Daily Prod (bopd)]]</f>
        <v>9200</v>
      </c>
      <c r="M25" s="132">
        <f>Table25234678[[#This Row],[Jones Creek Target (bopd)]]-Table25234678[[#This Row],[Jones Creek Prod (bopd)]]</f>
        <v>3954</v>
      </c>
      <c r="N25" s="132">
        <f>Table25234678[[#This Row],[Egwa Target (bopd)]]-Table25234678[[#This Row],[Egwa Prod (bopd)]]</f>
        <v>4190</v>
      </c>
      <c r="O25" s="134">
        <f>Table25234678[[#This Row],[Odidi Target (bopd)]]-Table25234678[[#This Row],[Odidi prod (bopd)]]</f>
        <v>855</v>
      </c>
    </row>
    <row r="26" spans="2:15" ht="21.6">
      <c r="B26" s="130">
        <v>44126</v>
      </c>
      <c r="C26" s="131">
        <v>9200</v>
      </c>
      <c r="D26" s="135">
        <v>22400</v>
      </c>
      <c r="E26" s="135">
        <v>4190</v>
      </c>
      <c r="F26" s="136">
        <v>15000</v>
      </c>
      <c r="G26" s="131">
        <v>0</v>
      </c>
      <c r="H26" s="137">
        <v>19367</v>
      </c>
      <c r="I26" s="132">
        <v>0</v>
      </c>
      <c r="J26" s="138">
        <v>13811</v>
      </c>
      <c r="K26" s="276">
        <f>SUM(Table25234678[[#This Row],[Batan Daily Prod (bopd)]:[Odidi prod (bopd)]])</f>
        <v>33178</v>
      </c>
      <c r="L26" s="131">
        <f>Table25234678[[#This Row],[Batan Target (bopd)]]-Table25234678[[#This Row],[Batan Daily Prod (bopd)]]</f>
        <v>9200</v>
      </c>
      <c r="M26" s="132">
        <f>Table25234678[[#This Row],[Jones Creek Target (bopd)]]-Table25234678[[#This Row],[Jones Creek Prod (bopd)]]</f>
        <v>3033</v>
      </c>
      <c r="N26" s="132">
        <f>Table25234678[[#This Row],[Egwa Target (bopd)]]-Table25234678[[#This Row],[Egwa Prod (bopd)]]</f>
        <v>4190</v>
      </c>
      <c r="O26" s="134">
        <f>Table25234678[[#This Row],[Odidi Target (bopd)]]-Table25234678[[#This Row],[Odidi prod (bopd)]]</f>
        <v>1189</v>
      </c>
    </row>
    <row r="27" spans="2:15" ht="21.6">
      <c r="B27" s="130">
        <v>44127</v>
      </c>
      <c r="C27" s="131">
        <v>9200</v>
      </c>
      <c r="D27" s="135">
        <v>22400</v>
      </c>
      <c r="E27" s="135">
        <v>4190</v>
      </c>
      <c r="F27" s="136">
        <v>15000</v>
      </c>
      <c r="G27" s="140">
        <v>0</v>
      </c>
      <c r="H27" s="137">
        <v>18623</v>
      </c>
      <c r="I27" s="132">
        <v>1919</v>
      </c>
      <c r="J27" s="138">
        <v>17980</v>
      </c>
      <c r="K27" s="276">
        <f>SUM(Table25234678[[#This Row],[Batan Daily Prod (bopd)]:[Odidi prod (bopd)]])</f>
        <v>38522</v>
      </c>
      <c r="L27" s="131">
        <f>Table25234678[[#This Row],[Batan Target (bopd)]]-Table25234678[[#This Row],[Batan Daily Prod (bopd)]]</f>
        <v>9200</v>
      </c>
      <c r="M27" s="132">
        <f>Table25234678[[#This Row],[Jones Creek Target (bopd)]]-Table25234678[[#This Row],[Jones Creek Prod (bopd)]]</f>
        <v>3777</v>
      </c>
      <c r="N27" s="132">
        <f>Table25234678[[#This Row],[Egwa Target (bopd)]]-Table25234678[[#This Row],[Egwa Prod (bopd)]]</f>
        <v>2271</v>
      </c>
      <c r="O27" s="134">
        <f>Table25234678[[#This Row],[Odidi Target (bopd)]]-Table25234678[[#This Row],[Odidi prod (bopd)]]</f>
        <v>-2980</v>
      </c>
    </row>
    <row r="28" spans="2:15" ht="21.6">
      <c r="B28" s="130">
        <v>44128</v>
      </c>
      <c r="C28" s="131">
        <v>9200</v>
      </c>
      <c r="D28" s="135">
        <v>22400</v>
      </c>
      <c r="E28" s="135">
        <v>4190</v>
      </c>
      <c r="F28" s="136">
        <v>15000</v>
      </c>
      <c r="G28" s="140">
        <v>0</v>
      </c>
      <c r="H28" s="137">
        <v>18402</v>
      </c>
      <c r="I28" s="132">
        <v>3951</v>
      </c>
      <c r="J28" s="138">
        <v>13901</v>
      </c>
      <c r="K28" s="276">
        <f>SUM(Table25234678[[#This Row],[Batan Daily Prod (bopd)]:[Odidi prod (bopd)]])</f>
        <v>36254</v>
      </c>
      <c r="L28" s="131">
        <f>Table25234678[[#This Row],[Batan Target (bopd)]]-Table25234678[[#This Row],[Batan Daily Prod (bopd)]]</f>
        <v>9200</v>
      </c>
      <c r="M28" s="132">
        <f>Table25234678[[#This Row],[Jones Creek Target (bopd)]]-Table25234678[[#This Row],[Jones Creek Prod (bopd)]]</f>
        <v>3998</v>
      </c>
      <c r="N28" s="132">
        <f>Table25234678[[#This Row],[Egwa Target (bopd)]]-Table25234678[[#This Row],[Egwa Prod (bopd)]]</f>
        <v>239</v>
      </c>
      <c r="O28" s="134">
        <f>Table25234678[[#This Row],[Odidi Target (bopd)]]-Table25234678[[#This Row],[Odidi prod (bopd)]]</f>
        <v>1099</v>
      </c>
    </row>
    <row r="29" spans="2:15" ht="21.6">
      <c r="B29" s="130">
        <v>44129</v>
      </c>
      <c r="C29" s="131">
        <v>9200</v>
      </c>
      <c r="D29" s="135">
        <v>22400</v>
      </c>
      <c r="E29" s="135">
        <v>4190</v>
      </c>
      <c r="F29" s="136">
        <v>15000</v>
      </c>
      <c r="G29" s="131">
        <v>0</v>
      </c>
      <c r="H29" s="137">
        <v>17815</v>
      </c>
      <c r="I29" s="132">
        <v>4072</v>
      </c>
      <c r="J29" s="138">
        <v>13277</v>
      </c>
      <c r="K29" s="276">
        <f>SUM(Table25234678[[#This Row],[Batan Daily Prod (bopd)]:[Odidi prod (bopd)]])</f>
        <v>35164</v>
      </c>
      <c r="L29" s="131">
        <f>Table25234678[[#This Row],[Batan Target (bopd)]]-Table25234678[[#This Row],[Batan Daily Prod (bopd)]]</f>
        <v>9200</v>
      </c>
      <c r="M29" s="132">
        <f>Table25234678[[#This Row],[Jones Creek Target (bopd)]]-Table25234678[[#This Row],[Jones Creek Prod (bopd)]]</f>
        <v>4585</v>
      </c>
      <c r="N29" s="132">
        <f>Table25234678[[#This Row],[Egwa Target (bopd)]]-Table25234678[[#This Row],[Egwa Prod (bopd)]]</f>
        <v>118</v>
      </c>
      <c r="O29" s="134">
        <f>Table25234678[[#This Row],[Odidi Target (bopd)]]-Table25234678[[#This Row],[Odidi prod (bopd)]]</f>
        <v>1723</v>
      </c>
    </row>
    <row r="30" spans="2:15" ht="21.6">
      <c r="B30" s="130">
        <v>44130</v>
      </c>
      <c r="C30" s="131">
        <v>9200</v>
      </c>
      <c r="D30" s="135">
        <v>22400</v>
      </c>
      <c r="E30" s="135">
        <v>4190</v>
      </c>
      <c r="F30" s="136">
        <v>15000</v>
      </c>
      <c r="G30" s="131">
        <v>0</v>
      </c>
      <c r="H30" s="137">
        <v>17105</v>
      </c>
      <c r="I30" s="137">
        <v>4131</v>
      </c>
      <c r="J30" s="138">
        <v>12615</v>
      </c>
      <c r="K30" s="276">
        <f>SUM(Table25234678[[#This Row],[Batan Daily Prod (bopd)]:[Odidi prod (bopd)]])</f>
        <v>33851</v>
      </c>
      <c r="L30" s="131">
        <f>Table25234678[[#This Row],[Batan Target (bopd)]]-Table25234678[[#This Row],[Batan Daily Prod (bopd)]]</f>
        <v>9200</v>
      </c>
      <c r="M30" s="132">
        <f>Table25234678[[#This Row],[Jones Creek Target (bopd)]]-Table25234678[[#This Row],[Jones Creek Prod (bopd)]]</f>
        <v>5295</v>
      </c>
      <c r="N30" s="132">
        <f>Table25234678[[#This Row],[Egwa Target (bopd)]]-Table25234678[[#This Row],[Egwa Prod (bopd)]]</f>
        <v>59</v>
      </c>
      <c r="O30" s="134">
        <f>Table25234678[[#This Row],[Odidi Target (bopd)]]-Table25234678[[#This Row],[Odidi prod (bopd)]]</f>
        <v>2385</v>
      </c>
    </row>
    <row r="31" spans="2:15" ht="21.6">
      <c r="B31" s="130">
        <v>44131</v>
      </c>
      <c r="C31" s="131">
        <v>9200</v>
      </c>
      <c r="D31" s="135">
        <v>22400</v>
      </c>
      <c r="E31" s="135">
        <v>4190</v>
      </c>
      <c r="F31" s="136">
        <v>15000</v>
      </c>
      <c r="G31" s="131">
        <v>0</v>
      </c>
      <c r="H31" s="137">
        <v>5348</v>
      </c>
      <c r="I31" s="137">
        <v>4157</v>
      </c>
      <c r="J31" s="138">
        <v>12242</v>
      </c>
      <c r="K31" s="276">
        <f>SUM(Table25234678[[#This Row],[Batan Daily Prod (bopd)]:[Odidi prod (bopd)]])</f>
        <v>21747</v>
      </c>
      <c r="L31" s="131">
        <f>Table25234678[[#This Row],[Batan Target (bopd)]]-Table25234678[[#This Row],[Batan Daily Prod (bopd)]]</f>
        <v>9200</v>
      </c>
      <c r="M31" s="132">
        <f>Table25234678[[#This Row],[Jones Creek Target (bopd)]]-Table25234678[[#This Row],[Jones Creek Prod (bopd)]]</f>
        <v>17052</v>
      </c>
      <c r="N31" s="132">
        <f>Table25234678[[#This Row],[Egwa Target (bopd)]]-Table25234678[[#This Row],[Egwa Prod (bopd)]]</f>
        <v>33</v>
      </c>
      <c r="O31" s="134">
        <f>Table25234678[[#This Row],[Odidi Target (bopd)]]-Table25234678[[#This Row],[Odidi prod (bopd)]]</f>
        <v>2758</v>
      </c>
    </row>
    <row r="32" spans="2:15" ht="21.6">
      <c r="B32" s="130">
        <v>44132</v>
      </c>
      <c r="C32" s="131">
        <v>9200</v>
      </c>
      <c r="D32" s="135">
        <v>22400</v>
      </c>
      <c r="E32" s="135">
        <v>4190</v>
      </c>
      <c r="F32" s="136">
        <v>15000</v>
      </c>
      <c r="G32" s="140">
        <v>2454</v>
      </c>
      <c r="H32" s="132">
        <v>12841</v>
      </c>
      <c r="I32" s="132">
        <v>3432</v>
      </c>
      <c r="J32" s="134">
        <v>12245</v>
      </c>
      <c r="K32" s="276">
        <f>SUM(Table25234678[[#This Row],[Batan Daily Prod (bopd)]:[Odidi prod (bopd)]])</f>
        <v>30972</v>
      </c>
      <c r="L32" s="131">
        <f>Table25234678[[#This Row],[Batan Target (bopd)]]-Table25234678[[#This Row],[Batan Daily Prod (bopd)]]</f>
        <v>6746</v>
      </c>
      <c r="M32" s="132">
        <f>Table25234678[[#This Row],[Jones Creek Target (bopd)]]-Table25234678[[#This Row],[Jones Creek Prod (bopd)]]</f>
        <v>9559</v>
      </c>
      <c r="N32" s="132">
        <f>Table25234678[[#This Row],[Egwa Target (bopd)]]-Table25234678[[#This Row],[Egwa Prod (bopd)]]</f>
        <v>758</v>
      </c>
      <c r="O32" s="134">
        <f>Table25234678[[#This Row],[Odidi Target (bopd)]]-Table25234678[[#This Row],[Odidi prod (bopd)]]</f>
        <v>2755</v>
      </c>
    </row>
    <row r="33" spans="2:19" ht="21.6">
      <c r="B33" s="130">
        <v>44133</v>
      </c>
      <c r="C33" s="131">
        <v>9200</v>
      </c>
      <c r="D33" s="135">
        <v>22400</v>
      </c>
      <c r="E33" s="135">
        <v>4190</v>
      </c>
      <c r="F33" s="136">
        <v>15000</v>
      </c>
      <c r="G33" s="131">
        <v>3052</v>
      </c>
      <c r="H33" s="137">
        <v>18645</v>
      </c>
      <c r="I33" s="137">
        <v>4177</v>
      </c>
      <c r="J33" s="138">
        <v>11894</v>
      </c>
      <c r="K33" s="276">
        <f>SUM(Table25234678[[#This Row],[Batan Daily Prod (bopd)]:[Odidi prod (bopd)]])</f>
        <v>37768</v>
      </c>
      <c r="L33" s="131">
        <f>Table25234678[[#This Row],[Batan Target (bopd)]]-Table25234678[[#This Row],[Batan Daily Prod (bopd)]]</f>
        <v>6148</v>
      </c>
      <c r="M33" s="132">
        <f>Table25234678[[#This Row],[Jones Creek Target (bopd)]]-Table25234678[[#This Row],[Jones Creek Prod (bopd)]]</f>
        <v>3755</v>
      </c>
      <c r="N33" s="132">
        <f>Table25234678[[#This Row],[Egwa Target (bopd)]]-Table25234678[[#This Row],[Egwa Prod (bopd)]]</f>
        <v>13</v>
      </c>
      <c r="O33" s="134">
        <f>Table25234678[[#This Row],[Odidi Target (bopd)]]-Table25234678[[#This Row],[Odidi prod (bopd)]]</f>
        <v>3106</v>
      </c>
    </row>
    <row r="34" spans="2:19" ht="21.6">
      <c r="B34" s="130">
        <v>44134</v>
      </c>
      <c r="C34" s="131">
        <v>9200</v>
      </c>
      <c r="D34" s="135">
        <v>22400</v>
      </c>
      <c r="E34" s="135">
        <v>4190</v>
      </c>
      <c r="F34" s="136">
        <v>15000</v>
      </c>
      <c r="G34" s="131">
        <v>3160</v>
      </c>
      <c r="H34" s="137">
        <v>19175</v>
      </c>
      <c r="I34" s="137">
        <v>4274</v>
      </c>
      <c r="J34" s="138">
        <v>11983</v>
      </c>
      <c r="K34" s="276">
        <f>SUM(Table25234678[[#This Row],[Batan Daily Prod (bopd)]:[Odidi prod (bopd)]])</f>
        <v>38592</v>
      </c>
      <c r="L34" s="131">
        <f>Table25234678[[#This Row],[Batan Target (bopd)]]-Table25234678[[#This Row],[Batan Daily Prod (bopd)]]</f>
        <v>6040</v>
      </c>
      <c r="M34" s="132">
        <f>Table25234678[[#This Row],[Jones Creek Target (bopd)]]-Table25234678[[#This Row],[Jones Creek Prod (bopd)]]</f>
        <v>3225</v>
      </c>
      <c r="N34" s="132">
        <f>Table25234678[[#This Row],[Egwa Target (bopd)]]-Table25234678[[#This Row],[Egwa Prod (bopd)]]</f>
        <v>-84</v>
      </c>
      <c r="O34" s="134">
        <f>Table25234678[[#This Row],[Odidi Target (bopd)]]-Table25234678[[#This Row],[Odidi prod (bopd)]]</f>
        <v>3017</v>
      </c>
    </row>
    <row r="35" spans="2:19" ht="21.6">
      <c r="B35" s="130">
        <v>44135</v>
      </c>
      <c r="C35" s="131">
        <v>9200</v>
      </c>
      <c r="D35" s="135">
        <v>22400</v>
      </c>
      <c r="E35" s="135">
        <v>4190</v>
      </c>
      <c r="F35" s="136">
        <v>15000</v>
      </c>
      <c r="G35" s="140">
        <v>3777</v>
      </c>
      <c r="H35" s="137">
        <v>15949</v>
      </c>
      <c r="I35" s="137">
        <v>4177</v>
      </c>
      <c r="J35" s="138">
        <v>12680</v>
      </c>
      <c r="K35" s="276">
        <f>SUM(Table25234678[[#This Row],[Batan Daily Prod (bopd)]:[Odidi prod (bopd)]])</f>
        <v>36583</v>
      </c>
      <c r="L35" s="131">
        <f>Table25234678[[#This Row],[Batan Target (bopd)]]-Table25234678[[#This Row],[Batan Daily Prod (bopd)]]</f>
        <v>5423</v>
      </c>
      <c r="M35" s="132">
        <f>Table25234678[[#This Row],[Jones Creek Target (bopd)]]-Table25234678[[#This Row],[Jones Creek Prod (bopd)]]</f>
        <v>6451</v>
      </c>
      <c r="N35" s="132">
        <f>Table25234678[[#This Row],[Egwa Target (bopd)]]-Table25234678[[#This Row],[Egwa Prod (bopd)]]</f>
        <v>13</v>
      </c>
      <c r="O35" s="134">
        <f>Table25234678[[#This Row],[Odidi Target (bopd)]]-Table25234678[[#This Row],[Odidi prod (bopd)]]</f>
        <v>2320</v>
      </c>
    </row>
    <row r="36" spans="2:19" ht="21.6">
      <c r="B36" s="130">
        <v>44136</v>
      </c>
      <c r="C36" s="131">
        <v>8810</v>
      </c>
      <c r="D36" s="135">
        <v>22140</v>
      </c>
      <c r="E36" s="135">
        <v>4190</v>
      </c>
      <c r="F36" s="136">
        <v>15170</v>
      </c>
      <c r="G36" s="140">
        <v>3845</v>
      </c>
      <c r="H36" s="137">
        <v>18809</v>
      </c>
      <c r="I36" s="137">
        <v>4164</v>
      </c>
      <c r="J36" s="138">
        <v>12477</v>
      </c>
      <c r="K36" s="276">
        <f>SUM(Table25234678[[#This Row],[Batan Daily Prod (bopd)]:[Odidi prod (bopd)]])</f>
        <v>39295</v>
      </c>
      <c r="L36" s="131">
        <f>Table25234678[[#This Row],[Batan Target (bopd)]]-Table25234678[[#This Row],[Batan Daily Prod (bopd)]]</f>
        <v>4965</v>
      </c>
      <c r="M36" s="132">
        <f>Table25234678[[#This Row],[Jones Creek Target (bopd)]]-Table25234678[[#This Row],[Jones Creek Prod (bopd)]]</f>
        <v>3331</v>
      </c>
      <c r="N36" s="132">
        <f>Table25234678[[#This Row],[Egwa Target (bopd)]]-Table25234678[[#This Row],[Egwa Prod (bopd)]]</f>
        <v>26</v>
      </c>
      <c r="O36" s="134">
        <f>Table25234678[[#This Row],[Odidi Target (bopd)]]-Table25234678[[#This Row],[Odidi prod (bopd)]]</f>
        <v>2693</v>
      </c>
    </row>
    <row r="37" spans="2:19" ht="21.6">
      <c r="B37" s="130">
        <v>44137</v>
      </c>
      <c r="C37" s="131">
        <v>8810</v>
      </c>
      <c r="D37" s="135">
        <v>22140</v>
      </c>
      <c r="E37" s="135">
        <v>4190</v>
      </c>
      <c r="F37" s="136">
        <v>15170</v>
      </c>
      <c r="G37" s="140">
        <v>3836</v>
      </c>
      <c r="H37" s="137">
        <v>18977</v>
      </c>
      <c r="I37" s="137">
        <v>2882</v>
      </c>
      <c r="J37" s="138">
        <v>13429</v>
      </c>
      <c r="K37" s="276">
        <f>SUM(Table25234678[[#This Row],[Batan Daily Prod (bopd)]:[Odidi prod (bopd)]])</f>
        <v>39124</v>
      </c>
      <c r="L37" s="131">
        <f>Table25234678[[#This Row],[Batan Target (bopd)]]-Table25234678[[#This Row],[Batan Daily Prod (bopd)]]</f>
        <v>4974</v>
      </c>
      <c r="M37" s="132">
        <f>Table25234678[[#This Row],[Jones Creek Target (bopd)]]-Table25234678[[#This Row],[Jones Creek Prod (bopd)]]</f>
        <v>3163</v>
      </c>
      <c r="N37" s="132">
        <f>Table25234678[[#This Row],[Egwa Target (bopd)]]-Table25234678[[#This Row],[Egwa Prod (bopd)]]</f>
        <v>1308</v>
      </c>
      <c r="O37" s="134">
        <f>Table25234678[[#This Row],[Odidi Target (bopd)]]-Table25234678[[#This Row],[Odidi prod (bopd)]]</f>
        <v>1741</v>
      </c>
    </row>
    <row r="38" spans="2:19" ht="21.6">
      <c r="B38" s="130">
        <v>44138</v>
      </c>
      <c r="C38" s="131">
        <v>8810</v>
      </c>
      <c r="D38" s="135">
        <v>22140</v>
      </c>
      <c r="E38" s="135">
        <v>4190</v>
      </c>
      <c r="F38" s="136">
        <v>15170</v>
      </c>
      <c r="G38" s="131">
        <v>3802</v>
      </c>
      <c r="H38" s="137">
        <v>18556</v>
      </c>
      <c r="I38" s="132">
        <v>2389</v>
      </c>
      <c r="J38" s="134">
        <v>12214</v>
      </c>
      <c r="K38" s="276">
        <f>SUM(Table25234678[[#This Row],[Batan Daily Prod (bopd)]:[Odidi prod (bopd)]])</f>
        <v>36961</v>
      </c>
      <c r="L38" s="131">
        <f>Table25234678[[#This Row],[Batan Target (bopd)]]-Table25234678[[#This Row],[Batan Daily Prod (bopd)]]</f>
        <v>5008</v>
      </c>
      <c r="M38" s="132">
        <f>Table25234678[[#This Row],[Jones Creek Target (bopd)]]-Table25234678[[#This Row],[Jones Creek Prod (bopd)]]</f>
        <v>3584</v>
      </c>
      <c r="N38" s="132">
        <f>Table25234678[[#This Row],[Egwa Target (bopd)]]-Table25234678[[#This Row],[Egwa Prod (bopd)]]</f>
        <v>1801</v>
      </c>
      <c r="O38" s="134">
        <f>Table25234678[[#This Row],[Odidi Target (bopd)]]-Table25234678[[#This Row],[Odidi prod (bopd)]]</f>
        <v>2956</v>
      </c>
    </row>
    <row r="39" spans="2:19" ht="21.6">
      <c r="B39" s="130">
        <v>44139</v>
      </c>
      <c r="C39" s="131">
        <v>8810</v>
      </c>
      <c r="D39" s="135">
        <v>22140</v>
      </c>
      <c r="E39" s="135">
        <v>4190</v>
      </c>
      <c r="F39" s="136">
        <v>15170</v>
      </c>
      <c r="G39" s="131">
        <v>3928</v>
      </c>
      <c r="H39" s="137">
        <v>19940</v>
      </c>
      <c r="I39" s="137">
        <v>3268</v>
      </c>
      <c r="J39" s="138">
        <v>12768</v>
      </c>
      <c r="K39" s="276">
        <f>SUM(Table25234678[[#This Row],[Batan Daily Prod (bopd)]:[Odidi prod (bopd)]])</f>
        <v>39904</v>
      </c>
      <c r="L39" s="131">
        <f>Table25234678[[#This Row],[Batan Target (bopd)]]-Table25234678[[#This Row],[Batan Daily Prod (bopd)]]</f>
        <v>4882</v>
      </c>
      <c r="M39" s="132">
        <f>Table25234678[[#This Row],[Jones Creek Target (bopd)]]-Table25234678[[#This Row],[Jones Creek Prod (bopd)]]</f>
        <v>2200</v>
      </c>
      <c r="N39" s="132">
        <f>Table25234678[[#This Row],[Egwa Target (bopd)]]-Table25234678[[#This Row],[Egwa Prod (bopd)]]</f>
        <v>922</v>
      </c>
      <c r="O39" s="134">
        <f>Table25234678[[#This Row],[Odidi Target (bopd)]]-Table25234678[[#This Row],[Odidi prod (bopd)]]</f>
        <v>2402</v>
      </c>
    </row>
    <row r="40" spans="2:19" ht="21.6">
      <c r="B40" s="130">
        <v>44140</v>
      </c>
      <c r="C40" s="131">
        <v>8810</v>
      </c>
      <c r="D40" s="135">
        <v>22140</v>
      </c>
      <c r="E40" s="135">
        <v>4190</v>
      </c>
      <c r="F40" s="136">
        <v>15170</v>
      </c>
      <c r="G40" s="131">
        <v>3890</v>
      </c>
      <c r="H40" s="132">
        <v>18579</v>
      </c>
      <c r="I40" s="132">
        <v>1684</v>
      </c>
      <c r="J40" s="134">
        <v>13381</v>
      </c>
      <c r="K40" s="276">
        <f>SUM(Table25234678[[#This Row],[Batan Daily Prod (bopd)]:[Odidi prod (bopd)]])</f>
        <v>37534</v>
      </c>
      <c r="L40" s="131">
        <f>Table25234678[[#This Row],[Batan Target (bopd)]]-Table25234678[[#This Row],[Batan Daily Prod (bopd)]]</f>
        <v>4920</v>
      </c>
      <c r="M40" s="132">
        <f>Table25234678[[#This Row],[Jones Creek Target (bopd)]]-Table25234678[[#This Row],[Jones Creek Prod (bopd)]]</f>
        <v>3561</v>
      </c>
      <c r="N40" s="132">
        <f>Table25234678[[#This Row],[Egwa Target (bopd)]]-Table25234678[[#This Row],[Egwa Prod (bopd)]]</f>
        <v>2506</v>
      </c>
      <c r="O40" s="134">
        <f>Table25234678[[#This Row],[Odidi Target (bopd)]]-Table25234678[[#This Row],[Odidi prod (bopd)]]</f>
        <v>1789</v>
      </c>
    </row>
    <row r="41" spans="2:19" ht="21.6">
      <c r="B41" s="130">
        <v>44141</v>
      </c>
      <c r="C41" s="131">
        <v>8810</v>
      </c>
      <c r="D41" s="135">
        <v>22140</v>
      </c>
      <c r="E41" s="135">
        <v>4190</v>
      </c>
      <c r="F41" s="136">
        <v>15170</v>
      </c>
      <c r="G41" s="131">
        <v>3913</v>
      </c>
      <c r="H41" s="132">
        <v>19997</v>
      </c>
      <c r="I41" s="132">
        <v>1608</v>
      </c>
      <c r="J41" s="134"/>
      <c r="K41" s="276"/>
      <c r="L41" s="131"/>
      <c r="M41" s="132"/>
      <c r="N41" s="132"/>
      <c r="O41" s="134"/>
    </row>
    <row r="42" spans="2:19" ht="21.6">
      <c r="B42" s="130">
        <v>44142</v>
      </c>
      <c r="C42" s="131">
        <v>8810</v>
      </c>
      <c r="D42" s="135">
        <v>22140</v>
      </c>
      <c r="E42" s="135">
        <v>4190</v>
      </c>
      <c r="F42" s="136">
        <v>15170</v>
      </c>
      <c r="G42" s="131"/>
      <c r="H42" s="132"/>
      <c r="I42" s="132"/>
      <c r="J42" s="134"/>
      <c r="K42" s="276"/>
      <c r="L42" s="131"/>
      <c r="M42" s="132"/>
      <c r="N42" s="132"/>
      <c r="O42" s="134"/>
      <c r="Q42" s="42"/>
    </row>
    <row r="43" spans="2:19" ht="21.6">
      <c r="B43" s="130">
        <v>44143</v>
      </c>
      <c r="C43" s="131">
        <v>8810</v>
      </c>
      <c r="D43" s="135">
        <v>22140</v>
      </c>
      <c r="E43" s="135">
        <v>4190</v>
      </c>
      <c r="F43" s="136">
        <v>15170</v>
      </c>
      <c r="G43" s="131"/>
      <c r="H43" s="137"/>
      <c r="I43" s="132"/>
      <c r="J43" s="138"/>
      <c r="K43" s="275"/>
      <c r="L43" s="131"/>
      <c r="M43" s="132"/>
      <c r="N43" s="132"/>
      <c r="O43" s="134"/>
    </row>
    <row r="44" spans="2:19" ht="21.6">
      <c r="B44" s="130"/>
      <c r="C44" s="131"/>
      <c r="D44" s="135"/>
      <c r="E44" s="135"/>
      <c r="F44" s="136"/>
      <c r="G44" s="131"/>
      <c r="H44" s="132"/>
      <c r="I44" s="132"/>
      <c r="J44" s="134"/>
      <c r="K44" s="276"/>
      <c r="L44" s="131"/>
      <c r="M44" s="132"/>
      <c r="N44" s="132"/>
      <c r="O44" s="134"/>
    </row>
    <row r="46" spans="2:19" ht="15.6" thickBot="1"/>
    <row r="47" spans="2:19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29"/>
      <c r="N47" s="1230"/>
      <c r="R47" s="23"/>
      <c r="S47" s="117"/>
    </row>
    <row r="48" spans="2:19" ht="45.95" customHeight="1">
      <c r="C48" s="247" t="s">
        <v>22</v>
      </c>
      <c r="D48" s="248" t="s">
        <v>23</v>
      </c>
      <c r="E48" s="1242" t="s">
        <v>24</v>
      </c>
      <c r="F48" s="1243"/>
      <c r="G48" s="1243"/>
      <c r="H48" s="1243"/>
      <c r="I48" s="1243"/>
      <c r="J48" s="1243"/>
      <c r="K48" s="1243"/>
      <c r="L48" s="1243"/>
      <c r="M48" s="1243"/>
      <c r="N48" s="1244"/>
      <c r="R48" s="118"/>
      <c r="S48" s="119"/>
    </row>
    <row r="49" spans="3:19" ht="39.75" customHeight="1">
      <c r="C49" s="249" t="s">
        <v>17</v>
      </c>
      <c r="D49" s="250">
        <f>M40/1000</f>
        <v>3.5609999999999999</v>
      </c>
      <c r="E49" s="1280" t="s">
        <v>241</v>
      </c>
      <c r="F49" s="1281"/>
      <c r="G49" s="1281"/>
      <c r="H49" s="1281"/>
      <c r="I49" s="1281"/>
      <c r="J49" s="1281"/>
      <c r="K49" s="1281"/>
      <c r="L49" s="1281"/>
      <c r="M49" s="1281"/>
      <c r="N49" s="1282"/>
      <c r="R49" s="118"/>
      <c r="S49" s="119"/>
    </row>
    <row r="50" spans="3:19" ht="24" customHeight="1">
      <c r="C50" s="249" t="s">
        <v>19</v>
      </c>
      <c r="D50" s="250">
        <f>O40/1000</f>
        <v>1.7889999999999999</v>
      </c>
      <c r="E50" s="1274" t="s">
        <v>242</v>
      </c>
      <c r="F50" s="1283"/>
      <c r="G50" s="1283"/>
      <c r="H50" s="1283"/>
      <c r="I50" s="1283"/>
      <c r="J50" s="1283"/>
      <c r="K50" s="1283"/>
      <c r="L50" s="1283"/>
      <c r="M50" s="1283"/>
      <c r="N50" s="1284"/>
    </row>
    <row r="51" spans="3:19" ht="24" customHeight="1">
      <c r="C51" s="249" t="s">
        <v>16</v>
      </c>
      <c r="D51" s="250">
        <f>L40/1000</f>
        <v>4.92</v>
      </c>
      <c r="E51" s="1274" t="s">
        <v>243</v>
      </c>
      <c r="F51" s="1285"/>
      <c r="G51" s="1285"/>
      <c r="H51" s="1285"/>
      <c r="I51" s="1285"/>
      <c r="J51" s="1285"/>
      <c r="K51" s="1285"/>
      <c r="L51" s="1285"/>
      <c r="M51" s="1285"/>
      <c r="N51" s="1286"/>
      <c r="P51" s="30"/>
      <c r="R51" s="118"/>
      <c r="S51" s="119"/>
    </row>
    <row r="52" spans="3:19" ht="22.5" customHeight="1">
      <c r="C52" s="249" t="s">
        <v>18</v>
      </c>
      <c r="D52" s="250">
        <f>N40/1000</f>
        <v>2.5059999999999998</v>
      </c>
      <c r="E52" s="1274" t="s">
        <v>244</v>
      </c>
      <c r="F52" s="1275"/>
      <c r="G52" s="1275"/>
      <c r="H52" s="1275"/>
      <c r="I52" s="1275"/>
      <c r="J52" s="1275"/>
      <c r="K52" s="1275"/>
      <c r="L52" s="1275"/>
      <c r="M52" s="1275"/>
      <c r="N52" s="1276"/>
      <c r="R52" s="118"/>
      <c r="S52" s="119"/>
    </row>
    <row r="53" spans="3:19" ht="26.45" customHeight="1" thickBot="1">
      <c r="C53" s="251" t="s">
        <v>187</v>
      </c>
      <c r="D53" s="252">
        <f>SUM(D49:D52)</f>
        <v>12.776</v>
      </c>
      <c r="E53" s="1277" t="s">
        <v>245</v>
      </c>
      <c r="F53" s="1278"/>
      <c r="G53" s="1278"/>
      <c r="H53" s="1278"/>
      <c r="I53" s="1278"/>
      <c r="J53" s="1278"/>
      <c r="K53" s="1278"/>
      <c r="L53" s="1278"/>
      <c r="M53" s="1278"/>
      <c r="N53" s="1279"/>
    </row>
    <row r="56" spans="3:19" ht="21" thickBot="1">
      <c r="E56" s="30"/>
    </row>
    <row r="57" spans="3:19" ht="35.450000000000003" customHeight="1" thickBot="1">
      <c r="D57" s="172">
        <f>1.7+1.02+4.78</f>
        <v>7.5</v>
      </c>
      <c r="E57" s="271"/>
      <c r="F57" s="402"/>
      <c r="H57" s="31"/>
    </row>
    <row r="58" spans="3:19" ht="24.75" customHeight="1">
      <c r="F58" s="30"/>
      <c r="G58" s="30"/>
      <c r="H58" s="36"/>
    </row>
    <row r="59" spans="3:19" ht="20.25" customHeight="1"/>
    <row r="60" spans="3:19">
      <c r="D60" s="147"/>
    </row>
    <row r="61" spans="3:19" ht="22.9">
      <c r="D61" s="325"/>
    </row>
    <row r="63" spans="3:19" ht="20.45">
      <c r="D63" s="30"/>
    </row>
  </sheetData>
  <mergeCells count="8">
    <mergeCell ref="E52:N52"/>
    <mergeCell ref="E53:N53"/>
    <mergeCell ref="T3:X3"/>
    <mergeCell ref="C47:N47"/>
    <mergeCell ref="E48:N48"/>
    <mergeCell ref="E49:N49"/>
    <mergeCell ref="E50:N50"/>
    <mergeCell ref="E51:N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V996"/>
  <sheetViews>
    <sheetView topLeftCell="A22" workbookViewId="0">
      <pane xSplit="1" topLeftCell="B1" activePane="topRight" state="frozen"/>
      <selection pane="topRight" activeCell="K62" sqref="K62"/>
    </sheetView>
  </sheetViews>
  <sheetFormatPr defaultColWidth="11.21875" defaultRowHeight="15" customHeight="1"/>
  <cols>
    <col min="1" max="1" width="6.33203125" customWidth="1"/>
    <col min="2" max="2" width="14.33203125" customWidth="1"/>
    <col min="3" max="3" width="8.5546875" customWidth="1"/>
    <col min="4" max="4" width="10.109375" customWidth="1"/>
    <col min="5" max="5" width="9.5546875" customWidth="1"/>
    <col min="6" max="6" width="9.21875" customWidth="1"/>
    <col min="7" max="7" width="10.77734375" customWidth="1"/>
    <col min="8" max="8" width="10.44140625" customWidth="1"/>
    <col min="9" max="10" width="9.21875" customWidth="1"/>
    <col min="11" max="11" width="9.77734375" customWidth="1"/>
    <col min="12" max="12" width="23.109375" customWidth="1"/>
    <col min="13" max="13" width="3" customWidth="1"/>
    <col min="14" max="14" width="6.33203125" customWidth="1"/>
    <col min="15" max="15" width="8.6640625" customWidth="1"/>
    <col min="16" max="18" width="8.33203125" customWidth="1"/>
    <col min="19" max="19" width="6.21875" hidden="1" customWidth="1"/>
    <col min="20" max="20" width="11" hidden="1" customWidth="1"/>
    <col min="21" max="21" width="11.33203125" hidden="1" customWidth="1"/>
    <col min="22" max="22" width="9.77734375" hidden="1" customWidth="1"/>
    <col min="23" max="23" width="11.6640625" hidden="1" customWidth="1"/>
    <col min="24" max="24" width="12.109375" hidden="1" customWidth="1"/>
    <col min="25" max="25" width="18.21875" hidden="1" customWidth="1"/>
    <col min="26" max="48" width="8.5546875" customWidth="1"/>
  </cols>
  <sheetData>
    <row r="1" spans="2:21">
      <c r="E1" s="1"/>
      <c r="F1" s="1"/>
      <c r="G1" s="1"/>
      <c r="H1" s="1"/>
      <c r="I1" s="1"/>
      <c r="J1" s="1"/>
      <c r="K1" s="1"/>
    </row>
    <row r="2" spans="2:21" ht="21">
      <c r="D2" s="1226" t="s">
        <v>246</v>
      </c>
      <c r="E2" s="1382"/>
      <c r="F2" s="1382"/>
      <c r="G2" s="1382"/>
      <c r="H2" s="1382"/>
      <c r="I2" s="1382"/>
      <c r="J2" s="1382"/>
      <c r="K2" s="1382"/>
      <c r="L2" s="1382"/>
    </row>
    <row r="3" spans="2:21" ht="18" customHeight="1" thickBot="1">
      <c r="E3" s="1"/>
      <c r="F3" s="1"/>
      <c r="G3" s="1"/>
      <c r="H3" s="1"/>
      <c r="I3" s="1"/>
      <c r="J3" s="1"/>
      <c r="K3" s="1"/>
    </row>
    <row r="4" spans="2:21" ht="24" customHeight="1" thickBot="1">
      <c r="D4" s="1252" t="s">
        <v>247</v>
      </c>
      <c r="E4" s="1383"/>
      <c r="F4" s="1383"/>
      <c r="G4" s="1383"/>
      <c r="H4" s="1383"/>
      <c r="I4" s="1383"/>
      <c r="J4" s="1383"/>
      <c r="K4" s="1383"/>
      <c r="L4" s="1384"/>
    </row>
    <row r="5" spans="2:21" ht="27" thickBot="1">
      <c r="B5" s="178"/>
      <c r="C5" s="179" t="s">
        <v>156</v>
      </c>
      <c r="D5" s="179" t="s">
        <v>31</v>
      </c>
      <c r="E5" s="180" t="s">
        <v>32</v>
      </c>
      <c r="F5" s="180" t="s">
        <v>33</v>
      </c>
      <c r="G5" s="180" t="s">
        <v>34</v>
      </c>
      <c r="H5" s="180" t="s">
        <v>35</v>
      </c>
      <c r="I5" s="181" t="s">
        <v>37</v>
      </c>
      <c r="J5" s="182" t="s">
        <v>38</v>
      </c>
      <c r="K5" s="182" t="s">
        <v>39</v>
      </c>
      <c r="L5" s="183" t="s">
        <v>40</v>
      </c>
      <c r="O5" s="415" t="s">
        <v>248</v>
      </c>
      <c r="P5" s="415" t="s">
        <v>249</v>
      </c>
    </row>
    <row r="6" spans="2:21" ht="15.6">
      <c r="B6" s="184"/>
      <c r="C6" s="282">
        <v>1</v>
      </c>
      <c r="D6" s="282" t="s">
        <v>41</v>
      </c>
      <c r="E6" s="283" t="s">
        <v>42</v>
      </c>
      <c r="F6" s="284">
        <v>28</v>
      </c>
      <c r="G6" s="278">
        <v>2051.0158273588454</v>
      </c>
      <c r="H6" s="278">
        <v>533.26411511329979</v>
      </c>
      <c r="I6" s="221">
        <v>74</v>
      </c>
      <c r="J6" s="278">
        <v>521</v>
      </c>
      <c r="K6" s="278">
        <v>435</v>
      </c>
      <c r="L6" s="280" t="s">
        <v>235</v>
      </c>
      <c r="N6" s="418"/>
      <c r="O6" s="419">
        <v>74</v>
      </c>
      <c r="P6" s="419">
        <v>74</v>
      </c>
      <c r="Q6" s="418"/>
      <c r="R6" s="418"/>
      <c r="S6" s="418"/>
      <c r="T6" s="418"/>
      <c r="U6" s="950"/>
    </row>
    <row r="7" spans="2:21" ht="15.6">
      <c r="B7" s="184"/>
      <c r="C7" s="222">
        <v>2</v>
      </c>
      <c r="D7" s="222" t="s">
        <v>43</v>
      </c>
      <c r="E7" s="219" t="s">
        <v>44</v>
      </c>
      <c r="F7" s="220">
        <v>28</v>
      </c>
      <c r="G7" s="221">
        <v>1231.9335982362411</v>
      </c>
      <c r="H7" s="221">
        <v>628.28613510048297</v>
      </c>
      <c r="I7" s="221">
        <v>49</v>
      </c>
      <c r="J7" s="221">
        <v>606</v>
      </c>
      <c r="K7" s="221">
        <v>132</v>
      </c>
      <c r="L7" s="237" t="s">
        <v>235</v>
      </c>
      <c r="N7" s="418"/>
      <c r="O7" s="419">
        <v>49</v>
      </c>
      <c r="P7" s="419">
        <v>49</v>
      </c>
      <c r="Q7" s="418"/>
      <c r="R7" s="418"/>
      <c r="S7" s="418"/>
      <c r="T7" s="418"/>
      <c r="U7" s="950"/>
    </row>
    <row r="8" spans="2:21" ht="15.6">
      <c r="B8" s="184"/>
      <c r="C8" s="222">
        <v>3</v>
      </c>
      <c r="D8" s="222" t="s">
        <v>45</v>
      </c>
      <c r="E8" s="219" t="s">
        <v>44</v>
      </c>
      <c r="F8" s="220">
        <v>32</v>
      </c>
      <c r="G8" s="221">
        <v>2223.5427159729697</v>
      </c>
      <c r="H8" s="221">
        <v>1027.276734779512</v>
      </c>
      <c r="I8" s="221">
        <v>53.8</v>
      </c>
      <c r="J8" s="221">
        <v>336</v>
      </c>
      <c r="K8" s="221">
        <v>261</v>
      </c>
      <c r="L8" s="237" t="s">
        <v>235</v>
      </c>
      <c r="N8" s="418"/>
      <c r="O8" s="419">
        <v>53.8</v>
      </c>
      <c r="P8" s="419">
        <v>53.8</v>
      </c>
      <c r="Q8" s="418"/>
      <c r="R8" s="418"/>
      <c r="S8" s="418"/>
      <c r="T8" s="418"/>
      <c r="U8" s="950"/>
    </row>
    <row r="9" spans="2:21" ht="15.6">
      <c r="B9" s="184"/>
      <c r="C9" s="191">
        <v>4</v>
      </c>
      <c r="D9" s="191" t="s">
        <v>46</v>
      </c>
      <c r="E9" s="192" t="s">
        <v>47</v>
      </c>
      <c r="F9" s="193">
        <v>40</v>
      </c>
      <c r="G9" s="194">
        <v>1782.6197918132709</v>
      </c>
      <c r="H9" s="194">
        <v>1140.8766667604934</v>
      </c>
      <c r="I9" s="302">
        <v>36</v>
      </c>
      <c r="J9" s="194">
        <v>310</v>
      </c>
      <c r="K9" s="302">
        <v>159</v>
      </c>
      <c r="L9" s="196"/>
      <c r="N9" s="418"/>
      <c r="O9" s="405">
        <v>34.6</v>
      </c>
      <c r="P9" s="405">
        <v>36</v>
      </c>
      <c r="Q9" s="418"/>
      <c r="R9" s="418"/>
      <c r="S9" s="418"/>
      <c r="T9" s="418"/>
      <c r="U9" s="950"/>
    </row>
    <row r="10" spans="2:21" ht="15.6">
      <c r="B10" s="184"/>
      <c r="C10" s="191">
        <v>5</v>
      </c>
      <c r="D10" s="191" t="s">
        <v>48</v>
      </c>
      <c r="E10" s="192" t="s">
        <v>47</v>
      </c>
      <c r="F10" s="193" t="s">
        <v>49</v>
      </c>
      <c r="G10" s="194">
        <v>1816.7772945869699</v>
      </c>
      <c r="H10" s="194">
        <v>1144.5696955897911</v>
      </c>
      <c r="I10" s="302">
        <v>37</v>
      </c>
      <c r="J10" s="194">
        <v>311</v>
      </c>
      <c r="K10" s="302">
        <v>174</v>
      </c>
      <c r="L10" s="196"/>
      <c r="N10" s="418"/>
      <c r="O10" s="405">
        <v>40.799999999999997</v>
      </c>
      <c r="P10" s="405">
        <v>37</v>
      </c>
      <c r="Q10" s="418"/>
      <c r="R10" s="418"/>
      <c r="S10" s="418"/>
      <c r="T10" s="418"/>
      <c r="U10" s="950"/>
    </row>
    <row r="11" spans="2:21" ht="15.6">
      <c r="B11" s="184"/>
      <c r="C11" s="222">
        <v>6</v>
      </c>
      <c r="D11" s="222" t="s">
        <v>50</v>
      </c>
      <c r="E11" s="219" t="s">
        <v>47</v>
      </c>
      <c r="F11" s="220" t="s">
        <v>51</v>
      </c>
      <c r="G11" s="221">
        <v>1468.6721560255978</v>
      </c>
      <c r="H11" s="221">
        <v>440.60164680767934</v>
      </c>
      <c r="I11" s="221">
        <v>70</v>
      </c>
      <c r="J11" s="221">
        <v>761</v>
      </c>
      <c r="K11" s="221">
        <v>145</v>
      </c>
      <c r="L11" s="237" t="s">
        <v>235</v>
      </c>
      <c r="N11" s="418"/>
      <c r="O11" s="405">
        <v>69.099999999999994</v>
      </c>
      <c r="P11" s="405">
        <v>70</v>
      </c>
      <c r="Q11" s="418"/>
      <c r="R11" s="418"/>
      <c r="S11" s="418"/>
      <c r="T11" s="418"/>
      <c r="U11" s="950"/>
    </row>
    <row r="12" spans="2:21" ht="15.6">
      <c r="B12" s="184"/>
      <c r="C12" s="222">
        <v>7</v>
      </c>
      <c r="D12" s="222" t="s">
        <v>52</v>
      </c>
      <c r="E12" s="219" t="s">
        <v>103</v>
      </c>
      <c r="F12" s="220">
        <v>40</v>
      </c>
      <c r="G12" s="221">
        <v>1616.7991807010462</v>
      </c>
      <c r="H12" s="221">
        <v>630.55168047340806</v>
      </c>
      <c r="I12" s="221">
        <v>61</v>
      </c>
      <c r="J12" s="220">
        <v>448</v>
      </c>
      <c r="K12" s="220">
        <v>205</v>
      </c>
      <c r="L12" s="237" t="s">
        <v>235</v>
      </c>
      <c r="N12" s="418"/>
      <c r="O12" s="419">
        <v>61</v>
      </c>
      <c r="P12" s="419">
        <v>61</v>
      </c>
      <c r="Q12" s="418"/>
      <c r="R12" s="418"/>
      <c r="S12" s="418"/>
      <c r="T12" s="418"/>
      <c r="U12" s="950"/>
    </row>
    <row r="13" spans="2:21" ht="15.6">
      <c r="B13" s="184"/>
      <c r="C13" s="222">
        <v>8</v>
      </c>
      <c r="D13" s="222" t="s">
        <v>53</v>
      </c>
      <c r="E13" s="219" t="s">
        <v>47</v>
      </c>
      <c r="F13" s="220" t="s">
        <v>51</v>
      </c>
      <c r="G13" s="221">
        <v>1459.7871867746981</v>
      </c>
      <c r="H13" s="221">
        <v>681.28268006775158</v>
      </c>
      <c r="I13" s="221">
        <v>53.33</v>
      </c>
      <c r="J13" s="220">
        <v>447</v>
      </c>
      <c r="K13" s="220">
        <v>348</v>
      </c>
      <c r="L13" s="237" t="s">
        <v>235</v>
      </c>
      <c r="N13" s="418"/>
      <c r="O13" s="405">
        <v>52.4</v>
      </c>
      <c r="P13" s="405">
        <v>53.33</v>
      </c>
      <c r="Q13" s="418"/>
      <c r="R13" s="418"/>
      <c r="S13" s="418"/>
      <c r="T13" s="418"/>
      <c r="U13" s="950"/>
    </row>
    <row r="14" spans="2:21" ht="15.6">
      <c r="B14" s="184"/>
      <c r="C14" s="191">
        <v>9</v>
      </c>
      <c r="D14" s="191" t="s">
        <v>54</v>
      </c>
      <c r="E14" s="192" t="s">
        <v>47</v>
      </c>
      <c r="F14" s="193" t="s">
        <v>55</v>
      </c>
      <c r="G14" s="194">
        <v>1641.6851861515806</v>
      </c>
      <c r="H14" s="194">
        <v>761.74192637433339</v>
      </c>
      <c r="I14" s="302">
        <v>53.6</v>
      </c>
      <c r="J14" s="194">
        <v>495</v>
      </c>
      <c r="K14" s="406">
        <v>324</v>
      </c>
      <c r="L14" s="196"/>
      <c r="N14" s="418"/>
      <c r="O14" s="419">
        <v>53.6</v>
      </c>
      <c r="P14" s="419">
        <v>53.6</v>
      </c>
      <c r="Q14" s="418"/>
      <c r="R14" s="418"/>
      <c r="S14" s="418"/>
      <c r="T14" s="418"/>
      <c r="U14" s="950"/>
    </row>
    <row r="15" spans="2:21" ht="15.6">
      <c r="B15" s="184"/>
      <c r="C15" s="222">
        <v>10</v>
      </c>
      <c r="D15" s="222" t="s">
        <v>56</v>
      </c>
      <c r="E15" s="219" t="s">
        <v>47</v>
      </c>
      <c r="F15" s="220">
        <v>44</v>
      </c>
      <c r="G15" s="221">
        <v>3810.7235282665083</v>
      </c>
      <c r="H15" s="221">
        <v>1524.2894113066034</v>
      </c>
      <c r="I15" s="221">
        <v>60</v>
      </c>
      <c r="J15" s="221">
        <v>281</v>
      </c>
      <c r="K15" s="221">
        <v>363</v>
      </c>
      <c r="L15" s="237" t="s">
        <v>235</v>
      </c>
      <c r="N15" s="418"/>
      <c r="O15" s="405">
        <v>50</v>
      </c>
      <c r="P15" s="405">
        <v>60</v>
      </c>
      <c r="Q15" s="418"/>
      <c r="R15" s="418"/>
      <c r="S15" s="418"/>
      <c r="T15" s="418"/>
      <c r="U15" s="950"/>
    </row>
    <row r="16" spans="2:21" ht="16.149999999999999" thickBot="1">
      <c r="B16" s="184"/>
      <c r="C16" s="198">
        <v>11</v>
      </c>
      <c r="D16" s="198" t="s">
        <v>57</v>
      </c>
      <c r="E16" s="199" t="s">
        <v>47</v>
      </c>
      <c r="F16" s="200" t="s">
        <v>55</v>
      </c>
      <c r="G16" s="201">
        <v>1796.4435341122739</v>
      </c>
      <c r="H16" s="201">
        <v>299.4671371365161</v>
      </c>
      <c r="I16" s="302">
        <v>83.33</v>
      </c>
      <c r="J16" s="201">
        <v>350</v>
      </c>
      <c r="K16" s="407">
        <v>261</v>
      </c>
      <c r="L16" s="203"/>
      <c r="N16" s="418"/>
      <c r="O16" s="405">
        <v>88</v>
      </c>
      <c r="P16" s="405">
        <v>83.33</v>
      </c>
      <c r="Q16" s="418"/>
      <c r="R16" s="418"/>
      <c r="S16" s="418"/>
      <c r="T16" s="418"/>
      <c r="U16" s="950"/>
    </row>
    <row r="17" spans="2:25" ht="16.149999999999999" thickBot="1">
      <c r="D17" s="204"/>
      <c r="E17" s="205"/>
      <c r="F17" s="205"/>
      <c r="G17" s="206">
        <f>SUM(G6:G16)</f>
        <v>20900</v>
      </c>
      <c r="H17" s="206">
        <f>SUM(H6:H16)</f>
        <v>8812.2078295098709</v>
      </c>
      <c r="I17" s="207"/>
      <c r="J17" s="408"/>
      <c r="K17" s="207"/>
      <c r="P17" s="418"/>
      <c r="Q17" s="418"/>
    </row>
    <row r="18" spans="2:25" ht="23.25" customHeight="1" thickBot="1">
      <c r="E18" s="1253" t="s">
        <v>168</v>
      </c>
      <c r="F18" s="1382"/>
      <c r="G18" s="1"/>
      <c r="H18" s="208">
        <v>8810</v>
      </c>
      <c r="I18" s="373"/>
      <c r="K18" s="1"/>
      <c r="P18" s="418"/>
      <c r="Q18" s="418"/>
    </row>
    <row r="19" spans="2:25">
      <c r="E19" s="1"/>
      <c r="F19" s="1"/>
      <c r="G19" s="1"/>
      <c r="H19" s="1"/>
      <c r="I19" s="1"/>
      <c r="K19" s="1"/>
    </row>
    <row r="20" spans="2:25" ht="15.6" thickBot="1">
      <c r="E20" s="1"/>
      <c r="F20" s="1"/>
      <c r="G20" s="1"/>
      <c r="H20" s="1"/>
      <c r="I20" s="1"/>
      <c r="J20" s="1"/>
      <c r="K20" s="1"/>
    </row>
    <row r="21" spans="2:25" ht="28.5" customHeight="1" thickBot="1">
      <c r="D21" s="1252" t="s">
        <v>250</v>
      </c>
      <c r="E21" s="1383"/>
      <c r="F21" s="1383"/>
      <c r="G21" s="1383"/>
      <c r="H21" s="1383"/>
      <c r="I21" s="1383"/>
      <c r="J21" s="1383"/>
      <c r="K21" s="1383"/>
      <c r="L21" s="1384"/>
      <c r="S21" s="1385" t="s">
        <v>196</v>
      </c>
      <c r="T21" s="1382"/>
      <c r="U21" s="1382"/>
      <c r="V21" s="303"/>
      <c r="W21" s="303"/>
      <c r="X21" s="303"/>
      <c r="Y21" s="303"/>
    </row>
    <row r="22" spans="2:25" ht="27" thickBot="1">
      <c r="B22" s="178"/>
      <c r="C22" s="179" t="s">
        <v>156</v>
      </c>
      <c r="D22" s="179" t="s">
        <v>31</v>
      </c>
      <c r="E22" s="180" t="s">
        <v>32</v>
      </c>
      <c r="F22" s="180" t="s">
        <v>33</v>
      </c>
      <c r="G22" s="180" t="s">
        <v>34</v>
      </c>
      <c r="H22" s="180" t="s">
        <v>35</v>
      </c>
      <c r="I22" s="180" t="s">
        <v>37</v>
      </c>
      <c r="J22" s="182" t="s">
        <v>38</v>
      </c>
      <c r="K22" s="182" t="s">
        <v>39</v>
      </c>
      <c r="L22" s="183" t="s">
        <v>40</v>
      </c>
      <c r="S22" s="303"/>
      <c r="T22" s="303"/>
      <c r="U22" s="303"/>
      <c r="V22" s="303"/>
      <c r="W22" s="303"/>
      <c r="X22" s="303"/>
      <c r="Y22" s="303"/>
    </row>
    <row r="23" spans="2:25" ht="20.45" customHeight="1">
      <c r="B23" s="209"/>
      <c r="C23" s="210">
        <v>1</v>
      </c>
      <c r="D23" s="210" t="s">
        <v>59</v>
      </c>
      <c r="E23" s="192" t="s">
        <v>60</v>
      </c>
      <c r="F23" s="188">
        <v>56</v>
      </c>
      <c r="G23" s="194">
        <v>967</v>
      </c>
      <c r="H23" s="194">
        <v>948</v>
      </c>
      <c r="I23" s="194">
        <v>2</v>
      </c>
      <c r="J23" s="194">
        <v>2018</v>
      </c>
      <c r="K23" s="194">
        <v>145</v>
      </c>
      <c r="L23" s="212" t="s">
        <v>161</v>
      </c>
      <c r="P23" s="950"/>
      <c r="Q23" s="955"/>
      <c r="S23" s="956" t="s">
        <v>197</v>
      </c>
      <c r="T23" s="957" t="s">
        <v>198</v>
      </c>
      <c r="U23" s="304" t="s">
        <v>199</v>
      </c>
      <c r="V23" s="305" t="s">
        <v>200</v>
      </c>
      <c r="W23" s="305" t="s">
        <v>201</v>
      </c>
      <c r="X23" s="305" t="s">
        <v>202</v>
      </c>
      <c r="Y23" s="304" t="s">
        <v>203</v>
      </c>
    </row>
    <row r="24" spans="2:25" ht="27" customHeight="1">
      <c r="B24" s="209"/>
      <c r="C24" s="210">
        <v>2</v>
      </c>
      <c r="D24" s="210" t="s">
        <v>61</v>
      </c>
      <c r="E24" s="192" t="s">
        <v>62</v>
      </c>
      <c r="F24" s="188">
        <v>28</v>
      </c>
      <c r="G24" s="194">
        <v>888</v>
      </c>
      <c r="H24" s="194">
        <v>355</v>
      </c>
      <c r="I24" s="194">
        <v>60</v>
      </c>
      <c r="J24" s="194">
        <v>782</v>
      </c>
      <c r="K24" s="194">
        <v>377</v>
      </c>
      <c r="L24" s="212" t="s">
        <v>176</v>
      </c>
      <c r="P24" s="950"/>
      <c r="Q24" s="955"/>
      <c r="S24" s="953">
        <v>1</v>
      </c>
      <c r="T24" s="1263" t="s">
        <v>204</v>
      </c>
      <c r="U24" s="306" t="s">
        <v>205</v>
      </c>
      <c r="V24" s="306">
        <v>661</v>
      </c>
      <c r="W24" s="307">
        <v>44052</v>
      </c>
      <c r="X24" s="307">
        <v>44144</v>
      </c>
      <c r="Y24" s="306" t="s">
        <v>206</v>
      </c>
    </row>
    <row r="25" spans="2:25" ht="15.6">
      <c r="B25" s="209"/>
      <c r="C25" s="210">
        <v>3</v>
      </c>
      <c r="D25" s="210" t="s">
        <v>64</v>
      </c>
      <c r="E25" s="192" t="s">
        <v>65</v>
      </c>
      <c r="F25" s="188">
        <v>32</v>
      </c>
      <c r="G25" s="194">
        <v>2666</v>
      </c>
      <c r="H25" s="194">
        <v>1733</v>
      </c>
      <c r="I25" s="194">
        <v>35</v>
      </c>
      <c r="J25" s="194">
        <v>430</v>
      </c>
      <c r="K25" s="194">
        <v>435</v>
      </c>
      <c r="L25" s="212" t="s">
        <v>161</v>
      </c>
      <c r="P25" s="950"/>
      <c r="Q25" s="955"/>
      <c r="S25" s="953">
        <v>2</v>
      </c>
      <c r="T25" s="1386"/>
      <c r="U25" s="306" t="s">
        <v>207</v>
      </c>
      <c r="V25" s="306">
        <v>574</v>
      </c>
      <c r="W25" s="307">
        <v>44174</v>
      </c>
      <c r="X25" s="306" t="s">
        <v>208</v>
      </c>
      <c r="Y25" s="306" t="s">
        <v>206</v>
      </c>
    </row>
    <row r="26" spans="2:25" ht="15.6">
      <c r="B26" s="209"/>
      <c r="C26" s="210">
        <v>4</v>
      </c>
      <c r="D26" s="210" t="s">
        <v>69</v>
      </c>
      <c r="E26" s="192" t="s">
        <v>70</v>
      </c>
      <c r="F26" s="188">
        <v>24</v>
      </c>
      <c r="G26" s="194">
        <v>963</v>
      </c>
      <c r="H26" s="194">
        <v>347</v>
      </c>
      <c r="I26" s="194">
        <v>64</v>
      </c>
      <c r="J26" s="194">
        <v>2411</v>
      </c>
      <c r="K26" s="194">
        <v>841</v>
      </c>
      <c r="L26" s="212"/>
      <c r="P26" s="950"/>
      <c r="Q26" s="955"/>
      <c r="S26" s="953">
        <v>3</v>
      </c>
      <c r="T26" s="1386"/>
      <c r="U26" s="306" t="s">
        <v>209</v>
      </c>
      <c r="V26" s="306">
        <v>1037</v>
      </c>
      <c r="W26" s="306" t="s">
        <v>210</v>
      </c>
      <c r="X26" s="306" t="s">
        <v>211</v>
      </c>
      <c r="Y26" s="306" t="s">
        <v>212</v>
      </c>
    </row>
    <row r="27" spans="2:25" ht="15.6">
      <c r="B27" s="209"/>
      <c r="C27" s="210">
        <v>5</v>
      </c>
      <c r="D27" s="210" t="s">
        <v>71</v>
      </c>
      <c r="E27" s="192" t="s">
        <v>72</v>
      </c>
      <c r="F27" s="188">
        <v>28</v>
      </c>
      <c r="G27" s="194">
        <v>859</v>
      </c>
      <c r="H27" s="194">
        <v>326</v>
      </c>
      <c r="I27" s="194">
        <v>62</v>
      </c>
      <c r="J27" s="194">
        <v>3000</v>
      </c>
      <c r="K27" s="194">
        <v>841</v>
      </c>
      <c r="L27" s="212"/>
      <c r="P27" s="950"/>
      <c r="Q27" s="955"/>
      <c r="S27" s="308">
        <v>4</v>
      </c>
      <c r="T27" s="1387"/>
      <c r="U27" s="306" t="s">
        <v>213</v>
      </c>
      <c r="V27" s="306">
        <v>922</v>
      </c>
      <c r="W27" s="306" t="s">
        <v>214</v>
      </c>
      <c r="X27" s="306" t="s">
        <v>215</v>
      </c>
      <c r="Y27" s="306" t="s">
        <v>206</v>
      </c>
    </row>
    <row r="28" spans="2:25" ht="15.6">
      <c r="B28" s="209"/>
      <c r="C28" s="210">
        <v>6</v>
      </c>
      <c r="D28" s="210" t="s">
        <v>73</v>
      </c>
      <c r="E28" s="192" t="s">
        <v>72</v>
      </c>
      <c r="F28" s="188">
        <v>36</v>
      </c>
      <c r="G28" s="194">
        <v>1099</v>
      </c>
      <c r="H28" s="194">
        <v>659</v>
      </c>
      <c r="I28" s="194">
        <v>40</v>
      </c>
      <c r="J28" s="194">
        <v>3206</v>
      </c>
      <c r="K28" s="194">
        <v>493</v>
      </c>
      <c r="L28" s="212"/>
      <c r="P28" s="950"/>
      <c r="Q28" s="955"/>
      <c r="S28" s="308">
        <v>5</v>
      </c>
      <c r="T28" s="1262" t="s">
        <v>19</v>
      </c>
      <c r="U28" s="306" t="s">
        <v>216</v>
      </c>
      <c r="V28" s="306">
        <v>1571</v>
      </c>
      <c r="W28" s="307">
        <v>44052</v>
      </c>
      <c r="X28" s="307">
        <v>44144</v>
      </c>
      <c r="Y28" s="306" t="s">
        <v>206</v>
      </c>
    </row>
    <row r="29" spans="2:25" ht="15.6">
      <c r="B29" s="209"/>
      <c r="C29" s="210">
        <v>7</v>
      </c>
      <c r="D29" s="210" t="s">
        <v>74</v>
      </c>
      <c r="E29" s="192" t="s">
        <v>75</v>
      </c>
      <c r="F29" s="188">
        <v>36</v>
      </c>
      <c r="G29" s="194">
        <v>3196</v>
      </c>
      <c r="H29" s="194">
        <v>1406</v>
      </c>
      <c r="I29" s="194">
        <v>56</v>
      </c>
      <c r="J29" s="194">
        <v>1306</v>
      </c>
      <c r="K29" s="194">
        <v>812</v>
      </c>
      <c r="L29" s="212"/>
      <c r="P29" s="950"/>
      <c r="Q29" s="955"/>
      <c r="S29" s="308">
        <v>6</v>
      </c>
      <c r="T29" s="1386"/>
      <c r="U29" s="306" t="s">
        <v>217</v>
      </c>
      <c r="V29" s="306">
        <v>914</v>
      </c>
      <c r="W29" s="307">
        <v>43899</v>
      </c>
      <c r="X29" s="307">
        <v>43991</v>
      </c>
      <c r="Y29" s="306" t="s">
        <v>206</v>
      </c>
    </row>
    <row r="30" spans="2:25" ht="15.6">
      <c r="B30" s="209"/>
      <c r="C30" s="210">
        <v>8</v>
      </c>
      <c r="D30" s="210" t="s">
        <v>76</v>
      </c>
      <c r="E30" s="192" t="s">
        <v>77</v>
      </c>
      <c r="F30" s="188">
        <v>20</v>
      </c>
      <c r="G30" s="194">
        <v>717</v>
      </c>
      <c r="H30" s="194">
        <v>323</v>
      </c>
      <c r="I30" s="194">
        <v>55</v>
      </c>
      <c r="J30" s="194">
        <v>264</v>
      </c>
      <c r="K30" s="194">
        <v>203</v>
      </c>
      <c r="L30" s="212"/>
      <c r="P30" s="950"/>
      <c r="Q30" s="955"/>
      <c r="S30" s="308">
        <v>7</v>
      </c>
      <c r="T30" s="1387"/>
      <c r="U30" s="306" t="s">
        <v>218</v>
      </c>
      <c r="V30" s="306">
        <v>937</v>
      </c>
      <c r="W30" s="309">
        <v>43899</v>
      </c>
      <c r="X30" s="307">
        <v>43991</v>
      </c>
      <c r="Y30" s="306" t="s">
        <v>206</v>
      </c>
    </row>
    <row r="31" spans="2:25" ht="15.6">
      <c r="B31" s="209"/>
      <c r="C31" s="210">
        <v>9</v>
      </c>
      <c r="D31" s="210" t="s">
        <v>78</v>
      </c>
      <c r="E31" s="192" t="s">
        <v>79</v>
      </c>
      <c r="F31" s="188">
        <v>52</v>
      </c>
      <c r="G31" s="194">
        <v>1046</v>
      </c>
      <c r="H31" s="194">
        <v>1025</v>
      </c>
      <c r="I31" s="194">
        <v>2</v>
      </c>
      <c r="J31" s="194">
        <v>553</v>
      </c>
      <c r="K31" s="194">
        <v>218</v>
      </c>
      <c r="L31" s="212"/>
      <c r="P31" s="950"/>
      <c r="Q31" s="955"/>
      <c r="S31" s="308">
        <v>8</v>
      </c>
      <c r="T31" s="1262" t="s">
        <v>17</v>
      </c>
      <c r="U31" s="306" t="s">
        <v>219</v>
      </c>
      <c r="V31" s="306">
        <v>1173</v>
      </c>
      <c r="W31" s="307">
        <v>44113</v>
      </c>
      <c r="X31" s="306" t="s">
        <v>220</v>
      </c>
      <c r="Y31" s="306" t="s">
        <v>206</v>
      </c>
    </row>
    <row r="32" spans="2:25" ht="15.6">
      <c r="B32" s="209"/>
      <c r="C32" s="210">
        <v>10</v>
      </c>
      <c r="D32" s="210" t="s">
        <v>80</v>
      </c>
      <c r="E32" s="192" t="s">
        <v>81</v>
      </c>
      <c r="F32" s="188">
        <v>32</v>
      </c>
      <c r="G32" s="194">
        <v>1639</v>
      </c>
      <c r="H32" s="194">
        <v>492</v>
      </c>
      <c r="I32" s="194">
        <v>70</v>
      </c>
      <c r="J32" s="194">
        <v>1849</v>
      </c>
      <c r="K32" s="194">
        <v>609</v>
      </c>
      <c r="L32" s="212"/>
      <c r="P32" s="950"/>
      <c r="Q32" s="955"/>
      <c r="S32" s="308">
        <v>9</v>
      </c>
      <c r="T32" s="1386"/>
      <c r="U32" s="306" t="s">
        <v>221</v>
      </c>
      <c r="V32" s="306">
        <v>484</v>
      </c>
      <c r="W32" s="309">
        <v>43899</v>
      </c>
      <c r="X32" s="309">
        <v>43991</v>
      </c>
      <c r="Y32" s="306" t="s">
        <v>206</v>
      </c>
    </row>
    <row r="33" spans="1:48" ht="26.45">
      <c r="B33" s="209"/>
      <c r="C33" s="210">
        <v>11</v>
      </c>
      <c r="D33" s="210" t="s">
        <v>82</v>
      </c>
      <c r="E33" s="192" t="s">
        <v>65</v>
      </c>
      <c r="F33" s="188">
        <v>28</v>
      </c>
      <c r="G33" s="194">
        <v>1023</v>
      </c>
      <c r="H33" s="194">
        <v>1003</v>
      </c>
      <c r="I33" s="194">
        <v>13</v>
      </c>
      <c r="J33" s="194">
        <v>587</v>
      </c>
      <c r="K33" s="194">
        <v>464</v>
      </c>
      <c r="L33" s="212" t="s">
        <v>251</v>
      </c>
      <c r="P33" s="950"/>
      <c r="Q33" s="955"/>
      <c r="S33" s="308">
        <v>10</v>
      </c>
      <c r="T33" s="1387"/>
      <c r="U33" s="306" t="s">
        <v>222</v>
      </c>
      <c r="V33" s="306">
        <v>917</v>
      </c>
      <c r="W33" s="306" t="s">
        <v>223</v>
      </c>
      <c r="X33" s="306" t="s">
        <v>211</v>
      </c>
      <c r="Y33" s="306" t="s">
        <v>224</v>
      </c>
    </row>
    <row r="34" spans="1:48" ht="22.5" customHeight="1">
      <c r="B34" s="209"/>
      <c r="C34" s="210">
        <v>12</v>
      </c>
      <c r="D34" s="210" t="s">
        <v>83</v>
      </c>
      <c r="E34" s="192" t="s">
        <v>84</v>
      </c>
      <c r="F34" s="188">
        <v>48</v>
      </c>
      <c r="G34" s="194">
        <v>3273</v>
      </c>
      <c r="H34" s="194">
        <v>1047</v>
      </c>
      <c r="I34" s="194">
        <v>68</v>
      </c>
      <c r="J34" s="194">
        <v>4131</v>
      </c>
      <c r="K34" s="194">
        <v>1218</v>
      </c>
      <c r="L34" s="212" t="s">
        <v>160</v>
      </c>
      <c r="P34" s="950"/>
      <c r="Q34" s="955"/>
    </row>
    <row r="35" spans="1:48" ht="21" customHeight="1">
      <c r="B35" s="209"/>
      <c r="C35" s="210">
        <v>13</v>
      </c>
      <c r="D35" s="210" t="s">
        <v>85</v>
      </c>
      <c r="E35" s="192" t="s">
        <v>72</v>
      </c>
      <c r="F35" s="188">
        <v>32</v>
      </c>
      <c r="G35" s="194">
        <v>1427</v>
      </c>
      <c r="H35" s="194">
        <v>899</v>
      </c>
      <c r="I35" s="194">
        <v>37</v>
      </c>
      <c r="J35" s="194">
        <v>1058</v>
      </c>
      <c r="K35" s="194">
        <v>522</v>
      </c>
      <c r="L35" s="212" t="s">
        <v>160</v>
      </c>
      <c r="P35" s="950"/>
      <c r="Q35" s="955"/>
    </row>
    <row r="36" spans="1:48" ht="15.6">
      <c r="B36" s="209"/>
      <c r="C36" s="210">
        <v>14</v>
      </c>
      <c r="D36" s="210" t="s">
        <v>86</v>
      </c>
      <c r="E36" s="192" t="s">
        <v>87</v>
      </c>
      <c r="F36" s="188">
        <v>28</v>
      </c>
      <c r="G36" s="194">
        <v>901</v>
      </c>
      <c r="H36" s="194">
        <v>405</v>
      </c>
      <c r="I36" s="194">
        <v>55</v>
      </c>
      <c r="J36" s="194">
        <v>5513</v>
      </c>
      <c r="K36" s="194">
        <v>2030</v>
      </c>
      <c r="L36" s="212"/>
      <c r="P36" s="950"/>
      <c r="Q36" s="955"/>
    </row>
    <row r="37" spans="1:48" ht="24" customHeight="1">
      <c r="B37" s="209"/>
      <c r="C37" s="210">
        <v>15</v>
      </c>
      <c r="D37" s="210" t="s">
        <v>88</v>
      </c>
      <c r="E37" s="192" t="s">
        <v>89</v>
      </c>
      <c r="F37" s="188">
        <v>28</v>
      </c>
      <c r="G37" s="194">
        <v>1172</v>
      </c>
      <c r="H37" s="194">
        <v>527</v>
      </c>
      <c r="I37" s="194">
        <v>55</v>
      </c>
      <c r="J37" s="194">
        <v>2051</v>
      </c>
      <c r="K37" s="194">
        <v>522</v>
      </c>
      <c r="L37" s="212" t="s">
        <v>252</v>
      </c>
      <c r="P37" s="950"/>
      <c r="Q37" s="955"/>
    </row>
    <row r="38" spans="1:48" ht="15.6">
      <c r="B38" s="209"/>
      <c r="C38" s="210">
        <v>16</v>
      </c>
      <c r="D38" s="210" t="s">
        <v>90</v>
      </c>
      <c r="E38" s="192" t="s">
        <v>84</v>
      </c>
      <c r="F38" s="188">
        <v>48</v>
      </c>
      <c r="G38" s="194">
        <v>547</v>
      </c>
      <c r="H38" s="194">
        <v>509</v>
      </c>
      <c r="I38" s="194">
        <v>6.5</v>
      </c>
      <c r="J38" s="194">
        <v>6498</v>
      </c>
      <c r="K38" s="194">
        <v>550</v>
      </c>
      <c r="L38" s="212"/>
      <c r="P38" s="950"/>
      <c r="Q38" s="955"/>
    </row>
    <row r="39" spans="1:48" ht="15.6">
      <c r="B39" s="209"/>
      <c r="C39" s="210">
        <v>17</v>
      </c>
      <c r="D39" s="210" t="s">
        <v>91</v>
      </c>
      <c r="E39" s="192" t="s">
        <v>89</v>
      </c>
      <c r="F39" s="188">
        <v>36</v>
      </c>
      <c r="G39" s="194">
        <v>497</v>
      </c>
      <c r="H39" s="194">
        <v>496</v>
      </c>
      <c r="I39" s="194">
        <v>0.3</v>
      </c>
      <c r="J39" s="194">
        <v>1297</v>
      </c>
      <c r="K39" s="194">
        <v>200</v>
      </c>
      <c r="L39" s="212"/>
      <c r="P39" s="950"/>
      <c r="Q39" s="955"/>
    </row>
    <row r="40" spans="1:48" ht="15.6">
      <c r="B40" s="209"/>
      <c r="C40" s="210">
        <v>18</v>
      </c>
      <c r="D40" s="210" t="s">
        <v>92</v>
      </c>
      <c r="E40" s="192" t="s">
        <v>93</v>
      </c>
      <c r="F40" s="188">
        <v>24</v>
      </c>
      <c r="G40" s="194">
        <v>651</v>
      </c>
      <c r="H40" s="194">
        <v>378</v>
      </c>
      <c r="I40" s="194">
        <v>42</v>
      </c>
      <c r="J40" s="194">
        <v>373</v>
      </c>
      <c r="K40" s="194">
        <v>174</v>
      </c>
      <c r="L40" s="212" t="s">
        <v>161</v>
      </c>
      <c r="P40" s="950"/>
      <c r="Q40" s="955"/>
    </row>
    <row r="41" spans="1:48" ht="15.6">
      <c r="B41" s="209"/>
      <c r="C41" s="210">
        <v>19</v>
      </c>
      <c r="D41" s="210" t="s">
        <v>94</v>
      </c>
      <c r="E41" s="192" t="s">
        <v>67</v>
      </c>
      <c r="F41" s="188">
        <v>24</v>
      </c>
      <c r="G41" s="194">
        <v>1600</v>
      </c>
      <c r="H41" s="194">
        <v>912</v>
      </c>
      <c r="I41" s="194">
        <v>43</v>
      </c>
      <c r="J41" s="194">
        <v>258</v>
      </c>
      <c r="K41" s="194">
        <v>300</v>
      </c>
      <c r="L41" s="212"/>
      <c r="P41" s="950"/>
      <c r="Q41" s="955"/>
    </row>
    <row r="42" spans="1:48" ht="26.45">
      <c r="B42" s="209"/>
      <c r="C42" s="210">
        <v>20</v>
      </c>
      <c r="D42" s="210" t="s">
        <v>95</v>
      </c>
      <c r="E42" s="192" t="s">
        <v>65</v>
      </c>
      <c r="F42" s="188">
        <v>20</v>
      </c>
      <c r="G42" s="194">
        <v>576</v>
      </c>
      <c r="H42" s="194">
        <v>426</v>
      </c>
      <c r="I42" s="194">
        <v>26</v>
      </c>
      <c r="J42" s="194">
        <v>415</v>
      </c>
      <c r="K42" s="194">
        <v>348</v>
      </c>
      <c r="L42" s="212" t="s">
        <v>253</v>
      </c>
      <c r="P42" s="950"/>
      <c r="Q42" s="955"/>
    </row>
    <row r="43" spans="1:48" ht="16.149999999999999" thickBot="1">
      <c r="B43" s="209"/>
      <c r="C43" s="213">
        <v>21</v>
      </c>
      <c r="D43" s="213" t="s">
        <v>96</v>
      </c>
      <c r="E43" s="199" t="s">
        <v>67</v>
      </c>
      <c r="F43" s="188">
        <v>32</v>
      </c>
      <c r="G43" s="194">
        <v>2120</v>
      </c>
      <c r="H43" s="194">
        <v>954</v>
      </c>
      <c r="I43" s="194">
        <v>55</v>
      </c>
      <c r="J43" s="194">
        <v>450</v>
      </c>
      <c r="K43" s="194">
        <v>406</v>
      </c>
      <c r="L43" s="212"/>
      <c r="P43" s="950"/>
      <c r="Q43" s="955"/>
    </row>
    <row r="44" spans="1:48" ht="16.149999999999999" thickBot="1">
      <c r="D44" s="204"/>
      <c r="E44" s="205"/>
      <c r="F44" s="205"/>
      <c r="G44" s="194">
        <f>SUM(G23:G43)</f>
        <v>27827</v>
      </c>
      <c r="H44" s="194">
        <f>SUM(H23:H43)</f>
        <v>15170</v>
      </c>
      <c r="I44" s="194"/>
      <c r="J44" s="194"/>
      <c r="K44" s="194"/>
      <c r="P44" s="955"/>
      <c r="Q44" s="955"/>
    </row>
    <row r="45" spans="1:48" ht="16.149999999999999" thickBot="1">
      <c r="E45" s="1251" t="s">
        <v>168</v>
      </c>
      <c r="F45" s="1382"/>
      <c r="G45" s="1"/>
      <c r="H45" s="208">
        <f>H44</f>
        <v>15170</v>
      </c>
      <c r="I45" s="1"/>
      <c r="J45" s="1"/>
      <c r="P45" s="955"/>
      <c r="Q45" s="955"/>
    </row>
    <row r="46" spans="1:48" ht="20.25" customHeight="1" thickBot="1">
      <c r="E46" s="1"/>
      <c r="F46" s="1"/>
      <c r="G46" s="1"/>
      <c r="H46" s="1"/>
      <c r="I46" s="1"/>
      <c r="J46" s="376"/>
      <c r="P46" s="955"/>
      <c r="Q46" s="955"/>
    </row>
    <row r="47" spans="1:48" ht="30" customHeight="1" thickBot="1">
      <c r="A47" s="23"/>
      <c r="B47" s="23"/>
      <c r="C47" s="23"/>
      <c r="D47" s="1252" t="s">
        <v>254</v>
      </c>
      <c r="E47" s="1383"/>
      <c r="F47" s="1383"/>
      <c r="G47" s="1383"/>
      <c r="H47" s="1383"/>
      <c r="I47" s="1383"/>
      <c r="J47" s="1383"/>
      <c r="K47" s="1383"/>
      <c r="L47" s="1384"/>
      <c r="M47" s="23"/>
      <c r="N47" s="23"/>
      <c r="O47" s="23"/>
      <c r="P47" s="955"/>
      <c r="Q47" s="955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</row>
    <row r="48" spans="1:48" ht="27" thickBot="1">
      <c r="B48" s="178"/>
      <c r="C48" s="179" t="s">
        <v>156</v>
      </c>
      <c r="D48" s="179" t="s">
        <v>31</v>
      </c>
      <c r="E48" s="180" t="s">
        <v>32</v>
      </c>
      <c r="F48" s="180" t="s">
        <v>33</v>
      </c>
      <c r="G48" s="180" t="s">
        <v>34</v>
      </c>
      <c r="H48" s="180" t="s">
        <v>35</v>
      </c>
      <c r="I48" s="180" t="s">
        <v>37</v>
      </c>
      <c r="J48" s="182" t="s">
        <v>38</v>
      </c>
      <c r="K48" s="182" t="s">
        <v>39</v>
      </c>
      <c r="L48" s="183" t="s">
        <v>40</v>
      </c>
      <c r="T48" s="430"/>
      <c r="U48" s="430"/>
      <c r="V48" s="430"/>
    </row>
    <row r="49" spans="2:37">
      <c r="B49" s="209"/>
      <c r="C49" s="210">
        <v>1</v>
      </c>
      <c r="D49" s="216" t="s">
        <v>98</v>
      </c>
      <c r="E49" s="192" t="s">
        <v>99</v>
      </c>
      <c r="F49" s="193">
        <v>36</v>
      </c>
      <c r="G49" s="193">
        <v>1833</v>
      </c>
      <c r="H49" s="194">
        <v>1173</v>
      </c>
      <c r="I49" s="194">
        <v>36</v>
      </c>
      <c r="J49" s="193">
        <v>330</v>
      </c>
      <c r="K49" s="193">
        <v>330</v>
      </c>
      <c r="L49" s="310"/>
      <c r="O49" s="1287" t="s">
        <v>255</v>
      </c>
      <c r="P49" s="1288"/>
      <c r="Q49" s="1288"/>
      <c r="R49" s="1288"/>
      <c r="S49" s="1288"/>
      <c r="T49" s="1288"/>
      <c r="U49" s="1288"/>
      <c r="V49" s="1288"/>
      <c r="W49" s="1288"/>
      <c r="X49" s="1288"/>
      <c r="Y49" s="1288"/>
      <c r="Z49" s="1288"/>
      <c r="AA49" s="1288"/>
      <c r="AB49" s="1289"/>
    </row>
    <row r="50" spans="2:37">
      <c r="B50" s="209"/>
      <c r="C50" s="210">
        <v>2</v>
      </c>
      <c r="D50" s="216" t="s">
        <v>100</v>
      </c>
      <c r="E50" s="192" t="s">
        <v>101</v>
      </c>
      <c r="F50" s="193">
        <v>36</v>
      </c>
      <c r="G50" s="193">
        <v>962</v>
      </c>
      <c r="H50" s="194">
        <v>962</v>
      </c>
      <c r="I50" s="194">
        <v>0</v>
      </c>
      <c r="J50" s="193">
        <v>234</v>
      </c>
      <c r="K50" s="193">
        <v>180</v>
      </c>
      <c r="L50" s="310"/>
      <c r="M50" s="217"/>
      <c r="O50" s="1290" t="s">
        <v>256</v>
      </c>
      <c r="P50" s="1290"/>
      <c r="Q50" s="1290"/>
      <c r="R50" s="1290"/>
      <c r="S50" s="1290"/>
      <c r="T50" s="1290"/>
      <c r="U50" s="1290"/>
      <c r="V50" s="1290"/>
      <c r="W50" s="1290"/>
      <c r="X50" s="1290"/>
      <c r="Y50" s="1290"/>
      <c r="Z50" s="1290"/>
      <c r="AA50" s="1290"/>
      <c r="AB50" s="1290"/>
    </row>
    <row r="51" spans="2:37" ht="15.6">
      <c r="B51" s="209"/>
      <c r="C51" s="210">
        <v>3</v>
      </c>
      <c r="D51" s="216" t="s">
        <v>104</v>
      </c>
      <c r="E51" s="192" t="s">
        <v>105</v>
      </c>
      <c r="F51" s="193">
        <v>24</v>
      </c>
      <c r="G51" s="193">
        <v>894</v>
      </c>
      <c r="H51" s="194">
        <v>384</v>
      </c>
      <c r="I51" s="194">
        <v>63</v>
      </c>
      <c r="J51" s="193">
        <v>356</v>
      </c>
      <c r="K51" s="193">
        <v>280</v>
      </c>
      <c r="L51" s="310"/>
      <c r="P51" s="430"/>
      <c r="T51" s="430"/>
      <c r="U51" s="430"/>
      <c r="V51" s="430"/>
    </row>
    <row r="52" spans="2:37" ht="15.6">
      <c r="B52" s="209"/>
      <c r="C52" s="263">
        <v>4</v>
      </c>
      <c r="D52" s="253" t="s">
        <v>106</v>
      </c>
      <c r="E52" s="254" t="s">
        <v>103</v>
      </c>
      <c r="F52" s="255">
        <v>28</v>
      </c>
      <c r="G52" s="255">
        <v>904</v>
      </c>
      <c r="H52" s="197">
        <v>660</v>
      </c>
      <c r="I52" s="197">
        <v>24</v>
      </c>
      <c r="J52" s="255">
        <v>807</v>
      </c>
      <c r="K52" s="255">
        <v>310</v>
      </c>
      <c r="L52" s="311"/>
      <c r="P52" s="430"/>
      <c r="T52" s="430"/>
      <c r="U52" s="430"/>
      <c r="V52" s="430"/>
    </row>
    <row r="53" spans="2:37" ht="15.6">
      <c r="B53" s="209"/>
      <c r="C53" s="222">
        <v>5</v>
      </c>
      <c r="D53" s="218" t="s">
        <v>107</v>
      </c>
      <c r="E53" s="219" t="s">
        <v>103</v>
      </c>
      <c r="F53" s="220">
        <v>28</v>
      </c>
      <c r="G53" s="221">
        <v>766</v>
      </c>
      <c r="H53" s="221">
        <v>353</v>
      </c>
      <c r="I53" s="221">
        <v>54</v>
      </c>
      <c r="J53" s="220">
        <v>222</v>
      </c>
      <c r="K53" s="220">
        <v>145</v>
      </c>
      <c r="L53" s="237" t="s">
        <v>257</v>
      </c>
      <c r="P53" s="430"/>
      <c r="T53" s="430"/>
      <c r="U53" s="430"/>
      <c r="V53" s="430"/>
    </row>
    <row r="54" spans="2:37" ht="15.6">
      <c r="B54" s="209"/>
      <c r="C54" s="210">
        <v>6</v>
      </c>
      <c r="D54" s="216" t="s">
        <v>109</v>
      </c>
      <c r="E54" s="192" t="s">
        <v>110</v>
      </c>
      <c r="F54" s="193">
        <v>32</v>
      </c>
      <c r="G54" s="193">
        <v>1224</v>
      </c>
      <c r="H54" s="194">
        <v>600</v>
      </c>
      <c r="I54" s="194">
        <v>51</v>
      </c>
      <c r="J54" s="193">
        <v>182</v>
      </c>
      <c r="K54" s="193">
        <v>270</v>
      </c>
      <c r="L54" s="312"/>
      <c r="P54" s="430"/>
      <c r="T54" s="430"/>
      <c r="U54" s="430"/>
      <c r="V54" s="430"/>
    </row>
    <row r="55" spans="2:37" ht="15.6">
      <c r="B55" s="209"/>
      <c r="C55" s="210">
        <v>7</v>
      </c>
      <c r="D55" s="216" t="s">
        <v>111</v>
      </c>
      <c r="E55" s="192" t="s">
        <v>99</v>
      </c>
      <c r="F55" s="193">
        <v>36</v>
      </c>
      <c r="G55" s="193">
        <v>2847</v>
      </c>
      <c r="H55" s="194">
        <v>1281</v>
      </c>
      <c r="I55" s="194">
        <v>55</v>
      </c>
      <c r="J55" s="193">
        <v>416</v>
      </c>
      <c r="K55" s="193">
        <v>385</v>
      </c>
      <c r="L55" s="312"/>
      <c r="P55" s="430"/>
      <c r="T55" s="430"/>
      <c r="U55" s="430"/>
      <c r="V55" s="430"/>
    </row>
    <row r="56" spans="2:37" ht="15.6">
      <c r="B56" s="209"/>
      <c r="C56" s="210">
        <v>8</v>
      </c>
      <c r="D56" s="216" t="s">
        <v>112</v>
      </c>
      <c r="E56" s="192" t="s">
        <v>103</v>
      </c>
      <c r="F56" s="193">
        <v>56</v>
      </c>
      <c r="G56" s="193">
        <v>5900</v>
      </c>
      <c r="H56" s="194">
        <v>5900</v>
      </c>
      <c r="I56" s="194">
        <v>0</v>
      </c>
      <c r="J56" s="193">
        <v>412</v>
      </c>
      <c r="K56" s="193">
        <v>610</v>
      </c>
      <c r="L56" s="312"/>
      <c r="P56" s="430"/>
      <c r="T56" s="430"/>
      <c r="U56" s="430"/>
      <c r="V56" s="430"/>
    </row>
    <row r="57" spans="2:37" ht="15.6">
      <c r="B57" s="209"/>
      <c r="C57" s="210">
        <v>9</v>
      </c>
      <c r="D57" s="216" t="s">
        <v>113</v>
      </c>
      <c r="E57" s="192" t="s">
        <v>103</v>
      </c>
      <c r="F57" s="193">
        <v>36</v>
      </c>
      <c r="G57" s="193">
        <v>2081</v>
      </c>
      <c r="H57" s="194">
        <v>1962</v>
      </c>
      <c r="I57" s="194">
        <v>6</v>
      </c>
      <c r="J57" s="193">
        <v>407</v>
      </c>
      <c r="K57" s="193">
        <v>430</v>
      </c>
      <c r="L57" s="312"/>
      <c r="P57" s="430"/>
      <c r="T57" s="430"/>
      <c r="U57" s="430"/>
      <c r="V57" s="430"/>
    </row>
    <row r="58" spans="2:37" ht="15.6">
      <c r="B58" s="209"/>
      <c r="C58" s="210">
        <v>10</v>
      </c>
      <c r="D58" s="216" t="s">
        <v>114</v>
      </c>
      <c r="E58" s="192" t="s">
        <v>99</v>
      </c>
      <c r="F58" s="193">
        <v>40</v>
      </c>
      <c r="G58" s="194">
        <v>2352</v>
      </c>
      <c r="H58" s="194">
        <v>1388</v>
      </c>
      <c r="I58" s="194">
        <v>41</v>
      </c>
      <c r="J58" s="194">
        <v>298</v>
      </c>
      <c r="K58" s="194">
        <v>330</v>
      </c>
      <c r="L58" s="312"/>
      <c r="P58" s="430"/>
      <c r="T58" s="430"/>
      <c r="U58" s="430"/>
      <c r="V58" s="430"/>
    </row>
    <row r="59" spans="2:37" ht="15.6">
      <c r="B59" s="209"/>
      <c r="C59" s="263">
        <v>11</v>
      </c>
      <c r="D59" s="253" t="s">
        <v>115</v>
      </c>
      <c r="E59" s="254" t="s">
        <v>105</v>
      </c>
      <c r="F59" s="255">
        <v>20</v>
      </c>
      <c r="G59" s="197">
        <v>725.2</v>
      </c>
      <c r="H59" s="197">
        <v>609.16800000000001</v>
      </c>
      <c r="I59" s="197">
        <v>16</v>
      </c>
      <c r="J59" s="197">
        <v>305</v>
      </c>
      <c r="K59" s="197">
        <v>530</v>
      </c>
      <c r="L59" s="311"/>
      <c r="P59" s="430"/>
      <c r="T59" s="430"/>
      <c r="U59" s="430"/>
      <c r="V59" s="430"/>
    </row>
    <row r="60" spans="2:37" ht="15.6">
      <c r="B60" s="209"/>
      <c r="C60" s="210">
        <v>12</v>
      </c>
      <c r="D60" s="216" t="s">
        <v>116</v>
      </c>
      <c r="E60" s="192" t="s">
        <v>117</v>
      </c>
      <c r="F60" s="193">
        <v>28</v>
      </c>
      <c r="G60" s="197">
        <v>728</v>
      </c>
      <c r="H60" s="197">
        <v>262</v>
      </c>
      <c r="I60" s="197">
        <v>64</v>
      </c>
      <c r="J60" s="197">
        <v>481</v>
      </c>
      <c r="K60" s="197">
        <v>160</v>
      </c>
      <c r="L60" s="310"/>
      <c r="P60" s="430"/>
      <c r="T60" s="430"/>
      <c r="U60" s="430"/>
      <c r="V60" s="430"/>
    </row>
    <row r="61" spans="2:37" ht="15.6">
      <c r="B61" s="209"/>
      <c r="C61" s="210">
        <v>13</v>
      </c>
      <c r="D61" s="216" t="s">
        <v>118</v>
      </c>
      <c r="E61" s="192" t="s">
        <v>99</v>
      </c>
      <c r="F61" s="193">
        <v>24</v>
      </c>
      <c r="G61" s="197">
        <v>880</v>
      </c>
      <c r="H61" s="197">
        <v>352</v>
      </c>
      <c r="I61" s="197">
        <v>54</v>
      </c>
      <c r="J61" s="197">
        <v>315</v>
      </c>
      <c r="K61" s="197">
        <v>347</v>
      </c>
      <c r="L61" s="310"/>
      <c r="P61" s="430"/>
      <c r="T61" s="430"/>
      <c r="U61" s="430"/>
      <c r="V61" s="430"/>
    </row>
    <row r="62" spans="2:37" ht="15.6">
      <c r="B62" s="209"/>
      <c r="C62" s="210">
        <v>14</v>
      </c>
      <c r="D62" s="216" t="s">
        <v>119</v>
      </c>
      <c r="E62" s="192" t="s">
        <v>103</v>
      </c>
      <c r="F62" s="193">
        <v>24</v>
      </c>
      <c r="G62" s="255">
        <v>702</v>
      </c>
      <c r="H62" s="197">
        <v>386</v>
      </c>
      <c r="I62" s="197">
        <v>45</v>
      </c>
      <c r="J62" s="255">
        <v>283</v>
      </c>
      <c r="K62" s="255">
        <v>170</v>
      </c>
      <c r="L62" s="310"/>
      <c r="P62" s="430"/>
      <c r="T62" s="430"/>
      <c r="U62" s="430"/>
      <c r="V62" s="430"/>
    </row>
    <row r="63" spans="2:37" ht="15.6">
      <c r="B63" s="209"/>
      <c r="C63" s="210">
        <v>15</v>
      </c>
      <c r="D63" s="216" t="s">
        <v>120</v>
      </c>
      <c r="E63" s="192" t="s">
        <v>101</v>
      </c>
      <c r="F63" s="193">
        <v>20</v>
      </c>
      <c r="G63" s="193">
        <v>290</v>
      </c>
      <c r="H63" s="194">
        <v>131</v>
      </c>
      <c r="I63" s="194">
        <v>55</v>
      </c>
      <c r="J63" s="193">
        <v>377</v>
      </c>
      <c r="K63" s="193">
        <v>120</v>
      </c>
      <c r="L63" s="310"/>
      <c r="N63" s="959"/>
      <c r="P63" s="430"/>
      <c r="T63" s="430"/>
      <c r="U63" s="430"/>
      <c r="V63" s="430"/>
    </row>
    <row r="64" spans="2:37" ht="15.6">
      <c r="B64" s="209"/>
      <c r="C64" s="210">
        <v>16</v>
      </c>
      <c r="D64" s="216" t="s">
        <v>121</v>
      </c>
      <c r="E64" s="192" t="s">
        <v>105</v>
      </c>
      <c r="F64" s="193">
        <v>24</v>
      </c>
      <c r="G64" s="193">
        <v>361</v>
      </c>
      <c r="H64" s="194">
        <v>220</v>
      </c>
      <c r="I64" s="194">
        <v>39</v>
      </c>
      <c r="J64" s="193">
        <v>334</v>
      </c>
      <c r="K64" s="193">
        <v>130</v>
      </c>
      <c r="L64" s="312" t="s">
        <v>165</v>
      </c>
      <c r="Q64" s="209"/>
      <c r="T64" s="430"/>
      <c r="U64" s="430"/>
      <c r="V64" s="430"/>
      <c r="AE64" s="430"/>
      <c r="AI64" s="430"/>
      <c r="AJ64" s="430"/>
      <c r="AK64" s="430"/>
    </row>
    <row r="65" spans="2:22" ht="15.6">
      <c r="B65" s="209"/>
      <c r="C65" s="210">
        <v>17</v>
      </c>
      <c r="D65" s="216" t="s">
        <v>122</v>
      </c>
      <c r="E65" s="192" t="s">
        <v>110</v>
      </c>
      <c r="F65" s="193">
        <v>24</v>
      </c>
      <c r="G65" s="197">
        <v>864</v>
      </c>
      <c r="H65" s="197">
        <v>786</v>
      </c>
      <c r="I65" s="197">
        <v>9</v>
      </c>
      <c r="J65" s="197">
        <v>322</v>
      </c>
      <c r="K65" s="197">
        <v>550</v>
      </c>
      <c r="L65" s="311"/>
      <c r="P65" s="430"/>
      <c r="T65" s="430"/>
      <c r="U65" s="430"/>
      <c r="V65" s="430"/>
    </row>
    <row r="66" spans="2:22" ht="15.6">
      <c r="B66" s="209"/>
      <c r="C66" s="210">
        <v>18</v>
      </c>
      <c r="D66" s="216" t="s">
        <v>123</v>
      </c>
      <c r="E66" s="192" t="s">
        <v>124</v>
      </c>
      <c r="F66" s="193">
        <v>20</v>
      </c>
      <c r="G66" s="193">
        <v>1107</v>
      </c>
      <c r="H66" s="194">
        <v>321</v>
      </c>
      <c r="I66" s="194">
        <v>71</v>
      </c>
      <c r="J66" s="194">
        <v>779</v>
      </c>
      <c r="K66" s="194">
        <v>330</v>
      </c>
      <c r="L66" s="312" t="s">
        <v>165</v>
      </c>
      <c r="P66" s="430"/>
      <c r="T66" s="430"/>
      <c r="U66" s="430"/>
      <c r="V66" s="430"/>
    </row>
    <row r="67" spans="2:22" ht="15.6">
      <c r="B67" s="209"/>
      <c r="C67" s="222">
        <v>19</v>
      </c>
      <c r="D67" s="218" t="s">
        <v>127</v>
      </c>
      <c r="E67" s="219" t="s">
        <v>101</v>
      </c>
      <c r="F67" s="220">
        <v>36</v>
      </c>
      <c r="G67" s="220">
        <v>3444</v>
      </c>
      <c r="H67" s="221">
        <v>890</v>
      </c>
      <c r="I67" s="221">
        <v>70</v>
      </c>
      <c r="J67" s="220">
        <v>221</v>
      </c>
      <c r="K67" s="220">
        <v>205</v>
      </c>
      <c r="L67" s="338" t="s">
        <v>258</v>
      </c>
      <c r="P67" s="430"/>
      <c r="T67" s="430"/>
      <c r="U67" s="430"/>
      <c r="V67" s="430"/>
    </row>
    <row r="68" spans="2:22" ht="15.6">
      <c r="B68" s="209"/>
      <c r="C68" s="222">
        <v>20</v>
      </c>
      <c r="D68" s="218" t="s">
        <v>128</v>
      </c>
      <c r="E68" s="219" t="s">
        <v>105</v>
      </c>
      <c r="F68" s="220">
        <v>24</v>
      </c>
      <c r="G68" s="220">
        <v>801</v>
      </c>
      <c r="H68" s="221">
        <v>200</v>
      </c>
      <c r="I68" s="221">
        <v>75</v>
      </c>
      <c r="J68" s="220">
        <v>409</v>
      </c>
      <c r="K68" s="220">
        <v>200</v>
      </c>
      <c r="L68" s="338" t="s">
        <v>259</v>
      </c>
      <c r="P68" s="430"/>
      <c r="T68" s="430"/>
      <c r="U68" s="430"/>
      <c r="V68" s="430"/>
    </row>
    <row r="69" spans="2:22" ht="15.6">
      <c r="B69" s="209"/>
      <c r="C69" s="222">
        <v>21</v>
      </c>
      <c r="D69" s="218" t="s">
        <v>129</v>
      </c>
      <c r="E69" s="219" t="s">
        <v>99</v>
      </c>
      <c r="F69" s="220">
        <v>20</v>
      </c>
      <c r="G69" s="220">
        <v>735</v>
      </c>
      <c r="H69" s="221">
        <v>339</v>
      </c>
      <c r="I69" s="221">
        <v>54</v>
      </c>
      <c r="J69" s="220"/>
      <c r="K69" s="220">
        <v>160</v>
      </c>
      <c r="L69" s="338" t="s">
        <v>68</v>
      </c>
      <c r="M69" s="952"/>
      <c r="P69" s="430"/>
      <c r="T69" s="430"/>
      <c r="U69" s="430"/>
      <c r="V69" s="430"/>
    </row>
    <row r="70" spans="2:22" ht="15.6">
      <c r="B70" s="209"/>
      <c r="C70" s="210">
        <v>22</v>
      </c>
      <c r="D70" s="216" t="s">
        <v>130</v>
      </c>
      <c r="E70" s="192" t="s">
        <v>105</v>
      </c>
      <c r="F70" s="193">
        <v>24</v>
      </c>
      <c r="G70" s="193">
        <v>387</v>
      </c>
      <c r="H70" s="194">
        <v>128</v>
      </c>
      <c r="I70" s="194">
        <v>67</v>
      </c>
      <c r="J70" s="193">
        <v>686</v>
      </c>
      <c r="K70" s="193">
        <v>180</v>
      </c>
      <c r="L70" s="312"/>
      <c r="P70" s="430"/>
      <c r="T70" s="430"/>
      <c r="U70" s="430"/>
      <c r="V70" s="430"/>
    </row>
    <row r="71" spans="2:22" ht="15.6">
      <c r="B71" s="209"/>
      <c r="C71" s="222">
        <v>23</v>
      </c>
      <c r="D71" s="218" t="s">
        <v>131</v>
      </c>
      <c r="E71" s="219" t="s">
        <v>110</v>
      </c>
      <c r="F71" s="220">
        <v>24</v>
      </c>
      <c r="G71" s="220">
        <v>822</v>
      </c>
      <c r="H71" s="221">
        <v>394</v>
      </c>
      <c r="I71" s="221">
        <v>52</v>
      </c>
      <c r="J71" s="220">
        <v>476</v>
      </c>
      <c r="K71" s="220">
        <v>375</v>
      </c>
      <c r="L71" s="338" t="s">
        <v>68</v>
      </c>
      <c r="P71" s="430"/>
      <c r="T71" s="430"/>
      <c r="U71" s="430"/>
      <c r="V71" s="430"/>
    </row>
    <row r="72" spans="2:22" s="264" customFormat="1" ht="26.45">
      <c r="B72" s="262"/>
      <c r="C72" s="222">
        <v>24</v>
      </c>
      <c r="D72" s="218" t="s">
        <v>132</v>
      </c>
      <c r="E72" s="219" t="s">
        <v>133</v>
      </c>
      <c r="F72" s="220">
        <v>20</v>
      </c>
      <c r="G72" s="220">
        <v>893</v>
      </c>
      <c r="H72" s="221">
        <v>286</v>
      </c>
      <c r="I72" s="221">
        <v>68</v>
      </c>
      <c r="J72" s="220">
        <v>200</v>
      </c>
      <c r="K72" s="220">
        <v>150</v>
      </c>
      <c r="L72" s="338" t="s">
        <v>260</v>
      </c>
      <c r="M72" s="439"/>
      <c r="N72" s="439"/>
      <c r="O72" s="439"/>
      <c r="P72" s="321"/>
      <c r="Q72" s="439"/>
      <c r="R72" s="439"/>
      <c r="S72" s="439"/>
      <c r="T72" s="321"/>
      <c r="U72" s="321"/>
      <c r="V72" s="321"/>
    </row>
    <row r="73" spans="2:22" ht="15.6">
      <c r="B73" s="209"/>
      <c r="C73" s="210">
        <v>25</v>
      </c>
      <c r="D73" s="216" t="s">
        <v>134</v>
      </c>
      <c r="E73" s="192" t="s">
        <v>135</v>
      </c>
      <c r="F73" s="193">
        <v>20</v>
      </c>
      <c r="G73" s="194">
        <v>397</v>
      </c>
      <c r="H73" s="194">
        <v>163</v>
      </c>
      <c r="I73" s="194">
        <v>55</v>
      </c>
      <c r="J73" s="193">
        <v>2528</v>
      </c>
      <c r="K73" s="193">
        <v>560</v>
      </c>
      <c r="L73" s="312"/>
      <c r="P73" s="430"/>
      <c r="T73" s="430"/>
      <c r="U73" s="430"/>
      <c r="V73" s="430"/>
    </row>
    <row r="74" spans="2:22" ht="15.6">
      <c r="B74" s="209"/>
      <c r="C74" s="210">
        <v>26</v>
      </c>
      <c r="D74" s="216" t="s">
        <v>136</v>
      </c>
      <c r="E74" s="192" t="s">
        <v>105</v>
      </c>
      <c r="F74" s="193">
        <v>40</v>
      </c>
      <c r="G74" s="194">
        <v>2454</v>
      </c>
      <c r="H74" s="194">
        <v>1178</v>
      </c>
      <c r="I74" s="194">
        <v>60</v>
      </c>
      <c r="J74" s="194">
        <v>309</v>
      </c>
      <c r="K74" s="194">
        <v>300</v>
      </c>
      <c r="L74" s="312"/>
      <c r="P74" s="430"/>
      <c r="T74" s="430"/>
      <c r="U74" s="430"/>
      <c r="V74" s="430"/>
    </row>
    <row r="75" spans="2:22" ht="16.149999999999999" thickBot="1">
      <c r="B75" s="209"/>
      <c r="C75" s="409">
        <v>27</v>
      </c>
      <c r="D75" s="410" t="s">
        <v>137</v>
      </c>
      <c r="E75" s="411" t="s">
        <v>110</v>
      </c>
      <c r="F75" s="411">
        <v>40</v>
      </c>
      <c r="G75" s="411">
        <v>2293</v>
      </c>
      <c r="H75" s="412">
        <v>835</v>
      </c>
      <c r="I75" s="412">
        <v>64</v>
      </c>
      <c r="J75" s="411">
        <v>348</v>
      </c>
      <c r="K75" s="411">
        <v>260</v>
      </c>
      <c r="L75" s="413" t="s">
        <v>235</v>
      </c>
      <c r="P75" s="430"/>
      <c r="T75" s="430"/>
      <c r="U75" s="430"/>
      <c r="V75" s="430"/>
    </row>
    <row r="76" spans="2:22" ht="29.25" customHeight="1" thickBot="1">
      <c r="D76" s="204"/>
      <c r="E76" s="1251" t="s">
        <v>168</v>
      </c>
      <c r="F76" s="1382"/>
      <c r="G76" s="224">
        <f>SUM(G49:G75)</f>
        <v>37646.199999999997</v>
      </c>
      <c r="H76" s="224">
        <f>SUM(H49:H75)</f>
        <v>22143.167999999998</v>
      </c>
      <c r="I76" s="225"/>
      <c r="J76" s="408"/>
      <c r="K76" s="225"/>
      <c r="T76" s="430"/>
      <c r="U76" s="430"/>
      <c r="V76" s="430"/>
    </row>
    <row r="77" spans="2:22" ht="15.6" thickBot="1">
      <c r="E77" s="1251"/>
      <c r="F77" s="1382"/>
      <c r="G77" s="1"/>
      <c r="H77" s="208">
        <f>ROUNDDOWN(H76, -1)</f>
        <v>22140</v>
      </c>
      <c r="I77" s="1"/>
      <c r="K77" s="1"/>
    </row>
    <row r="78" spans="2:22" ht="15.6" thickBot="1">
      <c r="E78" s="1"/>
      <c r="F78" s="1"/>
      <c r="G78" s="1"/>
      <c r="H78" s="1"/>
      <c r="I78" s="1"/>
      <c r="J78" s="1"/>
      <c r="K78" s="1"/>
    </row>
    <row r="79" spans="2:22" ht="21" customHeight="1" thickBot="1">
      <c r="B79" s="292"/>
      <c r="D79" s="1252" t="s">
        <v>261</v>
      </c>
      <c r="E79" s="1383"/>
      <c r="F79" s="1383"/>
      <c r="G79" s="1383"/>
      <c r="H79" s="1383"/>
      <c r="I79" s="1383"/>
      <c r="J79" s="1383"/>
      <c r="K79" s="1383"/>
      <c r="L79" s="1384"/>
    </row>
    <row r="80" spans="2:22" ht="27" thickBot="1">
      <c r="B80" s="178"/>
      <c r="C80" s="179" t="s">
        <v>156</v>
      </c>
      <c r="D80" s="179" t="s">
        <v>31</v>
      </c>
      <c r="E80" s="180" t="s">
        <v>32</v>
      </c>
      <c r="F80" s="180" t="s">
        <v>33</v>
      </c>
      <c r="G80" s="180" t="s">
        <v>34</v>
      </c>
      <c r="H80" s="180" t="s">
        <v>35</v>
      </c>
      <c r="I80" s="180" t="s">
        <v>37</v>
      </c>
      <c r="J80" s="182" t="s">
        <v>38</v>
      </c>
      <c r="K80" s="182" t="s">
        <v>39</v>
      </c>
      <c r="L80" s="226" t="s">
        <v>40</v>
      </c>
    </row>
    <row r="81" spans="2:16" ht="15.6">
      <c r="B81" s="209"/>
      <c r="C81" s="210">
        <v>1</v>
      </c>
      <c r="D81" s="227" t="s">
        <v>139</v>
      </c>
      <c r="E81" s="228" t="s">
        <v>140</v>
      </c>
      <c r="F81" s="187">
        <v>20</v>
      </c>
      <c r="G81" s="188">
        <v>502.02384432635614</v>
      </c>
      <c r="H81" s="188">
        <v>441.78093461567016</v>
      </c>
      <c r="I81" s="187">
        <v>12</v>
      </c>
      <c r="J81" s="432">
        <v>311</v>
      </c>
      <c r="K81" s="187">
        <v>240</v>
      </c>
      <c r="L81" s="190"/>
      <c r="O81" s="418"/>
      <c r="P81" s="377"/>
    </row>
    <row r="82" spans="2:16" ht="15.6">
      <c r="B82" s="209"/>
      <c r="C82" s="210">
        <v>2</v>
      </c>
      <c r="D82" s="229" t="s">
        <v>142</v>
      </c>
      <c r="E82" s="230" t="s">
        <v>143</v>
      </c>
      <c r="F82" s="193">
        <v>24</v>
      </c>
      <c r="G82" s="188">
        <v>458.35694681826453</v>
      </c>
      <c r="H82" s="188">
        <v>407.93771795374113</v>
      </c>
      <c r="I82" s="193">
        <v>11</v>
      </c>
      <c r="J82" s="432">
        <v>526</v>
      </c>
      <c r="K82" s="187">
        <v>260</v>
      </c>
      <c r="L82" s="231"/>
      <c r="O82" s="418"/>
      <c r="P82" s="377"/>
    </row>
    <row r="83" spans="2:16" ht="15.6">
      <c r="B83" s="209"/>
      <c r="C83" s="210">
        <v>3</v>
      </c>
      <c r="D83" s="229" t="s">
        <v>144</v>
      </c>
      <c r="E83" s="230" t="s">
        <v>140</v>
      </c>
      <c r="F83" s="193">
        <v>28</v>
      </c>
      <c r="G83" s="194">
        <v>1807.2832586936433</v>
      </c>
      <c r="H83" s="194">
        <v>1373.5359218274787</v>
      </c>
      <c r="I83" s="193">
        <v>24</v>
      </c>
      <c r="J83" s="432">
        <v>1321</v>
      </c>
      <c r="K83" s="187">
        <v>900</v>
      </c>
      <c r="L83" s="231"/>
      <c r="O83" s="418"/>
      <c r="P83" s="377"/>
    </row>
    <row r="84" spans="2:16" ht="16.149999999999999" thickBot="1">
      <c r="B84" s="209"/>
      <c r="C84" s="213">
        <v>4</v>
      </c>
      <c r="D84" s="232" t="s">
        <v>145</v>
      </c>
      <c r="E84" s="233" t="s">
        <v>146</v>
      </c>
      <c r="F84" s="200">
        <v>36</v>
      </c>
      <c r="G84" s="201">
        <v>2126.2116251395114</v>
      </c>
      <c r="H84" s="201">
        <v>1966.7454256031099</v>
      </c>
      <c r="I84" s="201">
        <v>7.5</v>
      </c>
      <c r="J84" s="972">
        <v>404</v>
      </c>
      <c r="K84" s="200">
        <v>520</v>
      </c>
      <c r="L84" s="234"/>
      <c r="O84" s="418"/>
      <c r="P84" s="377"/>
    </row>
    <row r="85" spans="2:16" ht="19.5" customHeight="1" thickBot="1">
      <c r="D85" s="204"/>
      <c r="E85" s="205"/>
      <c r="F85" s="205"/>
      <c r="G85" s="224">
        <f>SUM(G81:G84)</f>
        <v>4893.8756749777749</v>
      </c>
      <c r="H85" s="224">
        <f>SUM(H81:H84)</f>
        <v>4190</v>
      </c>
      <c r="I85" s="207"/>
      <c r="J85" s="207"/>
      <c r="K85" s="207"/>
    </row>
    <row r="86" spans="2:16" ht="15.6" thickBot="1">
      <c r="E86" s="1251" t="s">
        <v>168</v>
      </c>
      <c r="F86" s="1382"/>
      <c r="G86" s="1"/>
      <c r="H86" s="208">
        <f>(H85*1)</f>
        <v>4190</v>
      </c>
      <c r="I86" s="1"/>
      <c r="K86" s="1"/>
    </row>
    <row r="87" spans="2:16">
      <c r="E87" s="1"/>
      <c r="F87" s="1"/>
      <c r="G87" s="1"/>
      <c r="H87" s="1"/>
      <c r="I87" s="1"/>
      <c r="J87" s="1"/>
      <c r="K87" s="1"/>
    </row>
    <row r="88" spans="2:16">
      <c r="E88" s="1"/>
      <c r="F88" s="1"/>
      <c r="G88" s="1"/>
      <c r="H88" s="1"/>
      <c r="I88" s="1"/>
      <c r="J88" s="1"/>
      <c r="K88" s="1"/>
    </row>
    <row r="89" spans="2:16">
      <c r="E89" s="1"/>
      <c r="F89" s="1"/>
      <c r="G89" s="1"/>
      <c r="H89" s="1"/>
      <c r="I89" s="1"/>
      <c r="J89" s="1"/>
      <c r="K89" s="1"/>
    </row>
    <row r="90" spans="2:16">
      <c r="E90" s="1"/>
      <c r="F90" s="1"/>
      <c r="G90" s="1"/>
      <c r="H90" s="1"/>
      <c r="I90" s="1"/>
      <c r="J90" s="1"/>
      <c r="K90" s="1"/>
    </row>
    <row r="91" spans="2:16">
      <c r="E91" s="1"/>
      <c r="F91" s="1"/>
      <c r="G91" s="1"/>
      <c r="H91" s="1"/>
      <c r="I91" s="1"/>
      <c r="J91" s="1"/>
      <c r="K91" s="1"/>
    </row>
    <row r="92" spans="2:16">
      <c r="E92" s="1"/>
      <c r="F92" s="1"/>
      <c r="G92" s="1"/>
      <c r="H92" s="1"/>
      <c r="I92" s="1"/>
      <c r="J92" s="1"/>
      <c r="K92" s="1"/>
    </row>
    <row r="93" spans="2:16">
      <c r="E93" s="1"/>
      <c r="F93" s="1"/>
      <c r="G93" s="1"/>
      <c r="H93" s="1"/>
      <c r="I93" s="1"/>
      <c r="J93" s="1"/>
      <c r="K93" s="1"/>
    </row>
    <row r="94" spans="2:16">
      <c r="E94" s="1"/>
      <c r="F94" s="1"/>
      <c r="G94" s="1"/>
      <c r="H94" s="1"/>
      <c r="I94" s="1"/>
      <c r="J94" s="1"/>
      <c r="K94" s="1"/>
    </row>
    <row r="95" spans="2:16">
      <c r="E95" s="1"/>
      <c r="F95" s="1"/>
      <c r="G95" s="1"/>
      <c r="H95" s="1"/>
      <c r="I95" s="1"/>
      <c r="J95" s="1"/>
      <c r="K95" s="1"/>
    </row>
    <row r="96" spans="2:16">
      <c r="E96" s="1"/>
      <c r="F96" s="1"/>
      <c r="G96" s="1"/>
      <c r="H96" s="1"/>
      <c r="I96" s="1"/>
      <c r="J96" s="1"/>
      <c r="K96" s="1"/>
    </row>
    <row r="97" spans="5:11">
      <c r="E97" s="1"/>
      <c r="F97" s="1"/>
      <c r="G97" s="1"/>
      <c r="H97" s="1"/>
      <c r="I97" s="1"/>
      <c r="J97" s="1"/>
      <c r="K97" s="1"/>
    </row>
    <row r="98" spans="5:11">
      <c r="E98" s="1"/>
      <c r="F98" s="1"/>
      <c r="G98" s="1"/>
      <c r="H98" s="1"/>
      <c r="I98" s="1"/>
      <c r="J98" s="1"/>
      <c r="K98" s="1"/>
    </row>
    <row r="99" spans="5:11">
      <c r="E99" s="1"/>
      <c r="F99" s="1"/>
      <c r="G99" s="1"/>
      <c r="H99" s="1"/>
      <c r="I99" s="1"/>
      <c r="J99" s="1"/>
      <c r="K99" s="1"/>
    </row>
    <row r="100" spans="5:11">
      <c r="E100" s="1"/>
      <c r="F100" s="1"/>
      <c r="G100" s="1"/>
      <c r="H100" s="1"/>
      <c r="I100" s="1"/>
      <c r="J100" s="1"/>
      <c r="K100" s="1"/>
    </row>
    <row r="101" spans="5:11">
      <c r="E101" s="1"/>
      <c r="F101" s="1"/>
      <c r="G101" s="1"/>
      <c r="H101" s="1"/>
      <c r="I101" s="1"/>
      <c r="J101" s="1"/>
      <c r="K101" s="1"/>
    </row>
    <row r="102" spans="5:11">
      <c r="E102" s="1"/>
      <c r="F102" s="1"/>
      <c r="G102" s="1"/>
      <c r="H102" s="1"/>
      <c r="I102" s="1"/>
      <c r="J102" s="1"/>
      <c r="K102" s="1"/>
    </row>
    <row r="103" spans="5:11">
      <c r="E103" s="1"/>
      <c r="F103" s="1"/>
      <c r="G103" s="1"/>
      <c r="H103" s="1"/>
      <c r="I103" s="1"/>
      <c r="J103" s="1"/>
      <c r="K103" s="1"/>
    </row>
    <row r="104" spans="5:11">
      <c r="E104" s="1"/>
      <c r="F104" s="1"/>
      <c r="G104" s="1"/>
      <c r="H104" s="1"/>
      <c r="I104" s="1"/>
      <c r="J104" s="1"/>
      <c r="K104" s="1"/>
    </row>
    <row r="105" spans="5:11">
      <c r="E105" s="1"/>
      <c r="F105" s="1"/>
      <c r="G105" s="1"/>
      <c r="H105" s="1"/>
      <c r="I105" s="1"/>
      <c r="J105" s="1"/>
      <c r="K105" s="1"/>
    </row>
    <row r="106" spans="5:11">
      <c r="E106" s="1"/>
      <c r="F106" s="1"/>
      <c r="G106" s="1"/>
      <c r="H106" s="1"/>
      <c r="I106" s="1"/>
      <c r="J106" s="1"/>
      <c r="K106" s="1"/>
    </row>
    <row r="107" spans="5:11">
      <c r="E107" s="1"/>
      <c r="F107" s="1"/>
      <c r="G107" s="1"/>
      <c r="H107" s="1"/>
      <c r="I107" s="1"/>
      <c r="J107" s="1"/>
      <c r="K107" s="1"/>
    </row>
    <row r="108" spans="5:11">
      <c r="E108" s="1"/>
      <c r="F108" s="1"/>
      <c r="G108" s="1"/>
      <c r="H108" s="1"/>
      <c r="I108" s="1"/>
      <c r="J108" s="1"/>
      <c r="K108" s="1"/>
    </row>
    <row r="109" spans="5:11">
      <c r="E109" s="1"/>
      <c r="F109" s="1"/>
      <c r="G109" s="1"/>
      <c r="H109" s="1"/>
      <c r="I109" s="1"/>
      <c r="J109" s="1"/>
      <c r="K109" s="1"/>
    </row>
    <row r="110" spans="5:11">
      <c r="E110" s="1"/>
      <c r="F110" s="1"/>
      <c r="G110" s="1"/>
      <c r="H110" s="1"/>
      <c r="I110" s="1"/>
      <c r="J110" s="1"/>
      <c r="K110" s="1"/>
    </row>
    <row r="111" spans="5:11">
      <c r="E111" s="1"/>
      <c r="F111" s="1"/>
      <c r="G111" s="1"/>
      <c r="H111" s="1"/>
      <c r="I111" s="1"/>
      <c r="J111" s="1"/>
      <c r="K111" s="1"/>
    </row>
    <row r="112" spans="5:11">
      <c r="E112" s="1"/>
      <c r="F112" s="1"/>
      <c r="G112" s="1"/>
      <c r="H112" s="1"/>
      <c r="I112" s="1"/>
      <c r="J112" s="1"/>
      <c r="K112" s="1"/>
    </row>
    <row r="113" spans="5:11">
      <c r="E113" s="1"/>
      <c r="F113" s="1"/>
      <c r="G113" s="1"/>
      <c r="H113" s="1"/>
      <c r="I113" s="1"/>
      <c r="J113" s="1"/>
      <c r="K113" s="1"/>
    </row>
    <row r="114" spans="5:11">
      <c r="E114" s="1"/>
      <c r="F114" s="1"/>
      <c r="G114" s="1"/>
      <c r="H114" s="1"/>
      <c r="I114" s="1"/>
      <c r="J114" s="1"/>
      <c r="K114" s="1"/>
    </row>
    <row r="115" spans="5:11">
      <c r="E115" s="1"/>
      <c r="F115" s="1"/>
      <c r="G115" s="1"/>
      <c r="H115" s="1"/>
      <c r="I115" s="1"/>
      <c r="J115" s="1"/>
      <c r="K115" s="1"/>
    </row>
    <row r="116" spans="5:11">
      <c r="E116" s="1"/>
      <c r="F116" s="1"/>
      <c r="G116" s="1"/>
      <c r="H116" s="1"/>
      <c r="I116" s="1"/>
      <c r="J116" s="1"/>
      <c r="K116" s="1"/>
    </row>
    <row r="117" spans="5:11">
      <c r="E117" s="1"/>
      <c r="F117" s="1"/>
      <c r="G117" s="1"/>
      <c r="H117" s="1"/>
      <c r="I117" s="1"/>
      <c r="J117" s="1"/>
      <c r="K117" s="1"/>
    </row>
    <row r="118" spans="5:11">
      <c r="E118" s="1"/>
      <c r="F118" s="1"/>
      <c r="G118" s="1"/>
      <c r="H118" s="1"/>
      <c r="I118" s="1"/>
      <c r="J118" s="1"/>
      <c r="K118" s="1"/>
    </row>
    <row r="119" spans="5:11">
      <c r="E119" s="1"/>
      <c r="F119" s="1"/>
      <c r="G119" s="1"/>
      <c r="H119" s="1"/>
      <c r="I119" s="1"/>
      <c r="J119" s="1"/>
      <c r="K119" s="1"/>
    </row>
    <row r="120" spans="5:11">
      <c r="E120" s="1"/>
      <c r="F120" s="1"/>
      <c r="G120" s="1"/>
      <c r="H120" s="1"/>
      <c r="I120" s="1"/>
      <c r="J120" s="1"/>
      <c r="K120" s="1"/>
    </row>
    <row r="121" spans="5:11">
      <c r="E121" s="1"/>
      <c r="F121" s="1"/>
      <c r="G121" s="1"/>
      <c r="H121" s="1"/>
      <c r="I121" s="1"/>
      <c r="J121" s="1"/>
      <c r="K121" s="1"/>
    </row>
    <row r="122" spans="5:11">
      <c r="E122" s="1"/>
      <c r="F122" s="1"/>
      <c r="G122" s="1"/>
      <c r="H122" s="1"/>
      <c r="I122" s="1"/>
      <c r="J122" s="1"/>
      <c r="K122" s="1"/>
    </row>
    <row r="123" spans="5:11">
      <c r="E123" s="1"/>
      <c r="F123" s="1"/>
      <c r="G123" s="1"/>
      <c r="H123" s="1"/>
      <c r="I123" s="1"/>
      <c r="J123" s="1"/>
      <c r="K123" s="1"/>
    </row>
    <row r="124" spans="5:11">
      <c r="E124" s="1"/>
      <c r="F124" s="1"/>
      <c r="G124" s="1"/>
      <c r="H124" s="1"/>
      <c r="I124" s="1"/>
      <c r="J124" s="1"/>
      <c r="K124" s="1"/>
    </row>
    <row r="125" spans="5:11">
      <c r="E125" s="1"/>
      <c r="F125" s="1"/>
      <c r="G125" s="1"/>
      <c r="H125" s="1"/>
      <c r="I125" s="1"/>
      <c r="J125" s="1"/>
      <c r="K125" s="1"/>
    </row>
    <row r="126" spans="5:11">
      <c r="E126" s="1"/>
      <c r="F126" s="1"/>
      <c r="G126" s="1"/>
      <c r="H126" s="1"/>
      <c r="I126" s="1"/>
      <c r="J126" s="1"/>
      <c r="K126" s="1"/>
    </row>
    <row r="127" spans="5:11">
      <c r="E127" s="1"/>
      <c r="F127" s="1"/>
      <c r="G127" s="1"/>
      <c r="H127" s="1"/>
      <c r="I127" s="1"/>
      <c r="J127" s="1"/>
      <c r="K127" s="1"/>
    </row>
    <row r="128" spans="5:11">
      <c r="E128" s="1"/>
      <c r="F128" s="1"/>
      <c r="G128" s="1"/>
      <c r="H128" s="1"/>
      <c r="I128" s="1"/>
      <c r="J128" s="1"/>
      <c r="K128" s="1"/>
    </row>
    <row r="129" spans="5:11">
      <c r="E129" s="1"/>
      <c r="F129" s="1"/>
      <c r="G129" s="1"/>
      <c r="H129" s="1"/>
      <c r="I129" s="1"/>
      <c r="J129" s="1"/>
      <c r="K129" s="1"/>
    </row>
    <row r="130" spans="5:11">
      <c r="E130" s="1"/>
      <c r="F130" s="1"/>
      <c r="G130" s="1"/>
      <c r="H130" s="1"/>
      <c r="I130" s="1"/>
      <c r="J130" s="1"/>
      <c r="K130" s="1"/>
    </row>
    <row r="131" spans="5:11">
      <c r="E131" s="1"/>
      <c r="F131" s="1"/>
      <c r="G131" s="1"/>
      <c r="H131" s="1"/>
      <c r="I131" s="1"/>
      <c r="J131" s="1"/>
      <c r="K131" s="1"/>
    </row>
    <row r="132" spans="5:11">
      <c r="E132" s="1"/>
      <c r="F132" s="1"/>
      <c r="G132" s="1"/>
      <c r="H132" s="1"/>
      <c r="I132" s="1"/>
      <c r="J132" s="1"/>
      <c r="K132" s="1"/>
    </row>
    <row r="133" spans="5:11">
      <c r="E133" s="1"/>
      <c r="F133" s="1"/>
      <c r="G133" s="1"/>
      <c r="H133" s="1"/>
      <c r="I133" s="1"/>
      <c r="J133" s="1"/>
      <c r="K133" s="1"/>
    </row>
    <row r="134" spans="5:11">
      <c r="E134" s="1"/>
      <c r="F134" s="1"/>
      <c r="G134" s="1"/>
      <c r="H134" s="1"/>
      <c r="I134" s="1"/>
      <c r="J134" s="1"/>
      <c r="K134" s="1"/>
    </row>
    <row r="135" spans="5:11">
      <c r="E135" s="1"/>
      <c r="F135" s="1"/>
      <c r="G135" s="1"/>
      <c r="H135" s="1"/>
      <c r="I135" s="1"/>
      <c r="J135" s="1"/>
      <c r="K135" s="1"/>
    </row>
    <row r="136" spans="5:11">
      <c r="E136" s="1"/>
      <c r="F136" s="1"/>
      <c r="G136" s="1"/>
      <c r="H136" s="1"/>
      <c r="I136" s="1"/>
      <c r="J136" s="1"/>
      <c r="K136" s="1"/>
    </row>
    <row r="137" spans="5:11">
      <c r="E137" s="1"/>
      <c r="F137" s="1"/>
      <c r="G137" s="1"/>
      <c r="H137" s="1"/>
      <c r="I137" s="1"/>
      <c r="J137" s="1"/>
      <c r="K137" s="1"/>
    </row>
    <row r="138" spans="5:11">
      <c r="E138" s="1"/>
      <c r="F138" s="1"/>
      <c r="G138" s="1"/>
      <c r="H138" s="1"/>
      <c r="I138" s="1"/>
      <c r="J138" s="1"/>
      <c r="K138" s="1"/>
    </row>
    <row r="139" spans="5:11">
      <c r="E139" s="1"/>
      <c r="F139" s="1"/>
      <c r="G139" s="1"/>
      <c r="H139" s="1"/>
      <c r="I139" s="1"/>
      <c r="J139" s="1"/>
      <c r="K139" s="1"/>
    </row>
    <row r="140" spans="5:11">
      <c r="E140" s="1"/>
      <c r="F140" s="1"/>
      <c r="G140" s="1"/>
      <c r="H140" s="1"/>
      <c r="I140" s="1"/>
      <c r="J140" s="1"/>
      <c r="K140" s="1"/>
    </row>
    <row r="141" spans="5:11">
      <c r="E141" s="1"/>
      <c r="F141" s="1"/>
      <c r="G141" s="1"/>
      <c r="H141" s="1"/>
      <c r="I141" s="1"/>
      <c r="J141" s="1"/>
      <c r="K141" s="1"/>
    </row>
    <row r="142" spans="5:11">
      <c r="E142" s="1"/>
      <c r="F142" s="1"/>
      <c r="G142" s="1"/>
      <c r="H142" s="1"/>
      <c r="I142" s="1"/>
      <c r="J142" s="1"/>
      <c r="K142" s="1"/>
    </row>
    <row r="143" spans="5:11">
      <c r="E143" s="1"/>
      <c r="F143" s="1"/>
      <c r="G143" s="1"/>
      <c r="H143" s="1"/>
      <c r="I143" s="1"/>
      <c r="J143" s="1"/>
      <c r="K143" s="1"/>
    </row>
    <row r="144" spans="5:11">
      <c r="E144" s="1"/>
      <c r="F144" s="1"/>
      <c r="G144" s="1"/>
      <c r="H144" s="1"/>
      <c r="I144" s="1"/>
      <c r="J144" s="1"/>
      <c r="K144" s="1"/>
    </row>
    <row r="145" spans="5:11">
      <c r="E145" s="1"/>
      <c r="F145" s="1"/>
      <c r="G145" s="1"/>
      <c r="H145" s="1"/>
      <c r="I145" s="1"/>
      <c r="J145" s="1"/>
      <c r="K145" s="1"/>
    </row>
    <row r="146" spans="5:11">
      <c r="E146" s="1"/>
      <c r="F146" s="1"/>
      <c r="G146" s="1"/>
      <c r="H146" s="1"/>
      <c r="I146" s="1"/>
      <c r="J146" s="1"/>
      <c r="K146" s="1"/>
    </row>
    <row r="147" spans="5:11">
      <c r="E147" s="1"/>
      <c r="F147" s="1"/>
      <c r="G147" s="1"/>
      <c r="H147" s="1"/>
      <c r="I147" s="1"/>
      <c r="J147" s="1"/>
      <c r="K147" s="1"/>
    </row>
    <row r="148" spans="5:11">
      <c r="E148" s="1"/>
      <c r="F148" s="1"/>
      <c r="G148" s="1"/>
      <c r="H148" s="1"/>
      <c r="I148" s="1"/>
      <c r="J148" s="1"/>
      <c r="K148" s="1"/>
    </row>
    <row r="149" spans="5:11">
      <c r="E149" s="1"/>
      <c r="F149" s="1"/>
      <c r="G149" s="1"/>
      <c r="H149" s="1"/>
      <c r="I149" s="1"/>
      <c r="J149" s="1"/>
      <c r="K149" s="1"/>
    </row>
    <row r="150" spans="5:11">
      <c r="E150" s="1"/>
      <c r="F150" s="1"/>
      <c r="G150" s="1"/>
      <c r="H150" s="1"/>
      <c r="I150" s="1"/>
      <c r="J150" s="1"/>
      <c r="K150" s="1"/>
    </row>
    <row r="151" spans="5:11">
      <c r="E151" s="1"/>
      <c r="F151" s="1"/>
      <c r="G151" s="1"/>
      <c r="H151" s="1"/>
      <c r="I151" s="1"/>
      <c r="J151" s="1"/>
      <c r="K151" s="1"/>
    </row>
    <row r="152" spans="5:11">
      <c r="E152" s="1"/>
      <c r="F152" s="1"/>
      <c r="G152" s="1"/>
      <c r="H152" s="1"/>
      <c r="I152" s="1"/>
      <c r="J152" s="1"/>
      <c r="K152" s="1"/>
    </row>
    <row r="153" spans="5:11">
      <c r="E153" s="1"/>
      <c r="F153" s="1"/>
      <c r="G153" s="1"/>
      <c r="H153" s="1"/>
      <c r="I153" s="1"/>
      <c r="J153" s="1"/>
      <c r="K153" s="1"/>
    </row>
    <row r="154" spans="5:11">
      <c r="E154" s="1"/>
      <c r="F154" s="1"/>
      <c r="G154" s="1"/>
      <c r="H154" s="1"/>
      <c r="I154" s="1"/>
      <c r="J154" s="1"/>
      <c r="K154" s="1"/>
    </row>
    <row r="155" spans="5:11">
      <c r="E155" s="1"/>
      <c r="F155" s="1"/>
      <c r="G155" s="1"/>
      <c r="H155" s="1"/>
      <c r="I155" s="1"/>
      <c r="J155" s="1"/>
      <c r="K155" s="1"/>
    </row>
    <row r="156" spans="5:11">
      <c r="E156" s="1"/>
      <c r="F156" s="1"/>
      <c r="G156" s="1"/>
      <c r="H156" s="1"/>
      <c r="I156" s="1"/>
      <c r="J156" s="1"/>
      <c r="K156" s="1"/>
    </row>
    <row r="157" spans="5:11">
      <c r="E157" s="1"/>
      <c r="F157" s="1"/>
      <c r="G157" s="1"/>
      <c r="H157" s="1"/>
      <c r="I157" s="1"/>
      <c r="J157" s="1"/>
      <c r="K157" s="1"/>
    </row>
    <row r="158" spans="5:11">
      <c r="E158" s="1"/>
      <c r="F158" s="1"/>
      <c r="G158" s="1"/>
      <c r="H158" s="1"/>
      <c r="I158" s="1"/>
      <c r="J158" s="1"/>
      <c r="K158" s="1"/>
    </row>
    <row r="159" spans="5:11">
      <c r="E159" s="1"/>
      <c r="F159" s="1"/>
      <c r="G159" s="1"/>
      <c r="H159" s="1"/>
      <c r="I159" s="1"/>
      <c r="J159" s="1"/>
      <c r="K159" s="1"/>
    </row>
    <row r="160" spans="5:11">
      <c r="E160" s="1"/>
      <c r="F160" s="1"/>
      <c r="G160" s="1"/>
      <c r="H160" s="1"/>
      <c r="I160" s="1"/>
      <c r="J160" s="1"/>
      <c r="K160" s="1"/>
    </row>
    <row r="161" spans="5:11">
      <c r="E161" s="1"/>
      <c r="F161" s="1"/>
      <c r="G161" s="1"/>
      <c r="H161" s="1"/>
      <c r="I161" s="1"/>
      <c r="J161" s="1"/>
      <c r="K161" s="1"/>
    </row>
    <row r="162" spans="5:11">
      <c r="E162" s="1"/>
      <c r="F162" s="1"/>
      <c r="G162" s="1"/>
      <c r="H162" s="1"/>
      <c r="I162" s="1"/>
      <c r="J162" s="1"/>
      <c r="K162" s="1"/>
    </row>
    <row r="163" spans="5:11">
      <c r="E163" s="1"/>
      <c r="F163" s="1"/>
      <c r="G163" s="1"/>
      <c r="H163" s="1"/>
      <c r="I163" s="1"/>
      <c r="J163" s="1"/>
      <c r="K163" s="1"/>
    </row>
    <row r="164" spans="5:11">
      <c r="E164" s="1"/>
      <c r="F164" s="1"/>
      <c r="G164" s="1"/>
      <c r="H164" s="1"/>
      <c r="I164" s="1"/>
      <c r="J164" s="1"/>
      <c r="K164" s="1"/>
    </row>
    <row r="165" spans="5:11">
      <c r="E165" s="1"/>
      <c r="F165" s="1"/>
      <c r="G165" s="1"/>
      <c r="H165" s="1"/>
      <c r="I165" s="1"/>
      <c r="J165" s="1"/>
      <c r="K165" s="1"/>
    </row>
    <row r="166" spans="5:11">
      <c r="E166" s="1"/>
      <c r="F166" s="1"/>
      <c r="G166" s="1"/>
      <c r="H166" s="1"/>
      <c r="I166" s="1"/>
      <c r="J166" s="1"/>
      <c r="K166" s="1"/>
    </row>
    <row r="167" spans="5:11">
      <c r="E167" s="1"/>
      <c r="F167" s="1"/>
      <c r="G167" s="1"/>
      <c r="H167" s="1"/>
      <c r="I167" s="1"/>
      <c r="J167" s="1"/>
      <c r="K167" s="1"/>
    </row>
    <row r="168" spans="5:11">
      <c r="E168" s="1"/>
      <c r="F168" s="1"/>
      <c r="G168" s="1"/>
      <c r="H168" s="1"/>
      <c r="I168" s="1"/>
      <c r="J168" s="1"/>
      <c r="K168" s="1"/>
    </row>
    <row r="169" spans="5:11">
      <c r="E169" s="1"/>
      <c r="F169" s="1"/>
      <c r="G169" s="1"/>
      <c r="H169" s="1"/>
      <c r="I169" s="1"/>
      <c r="J169" s="1"/>
      <c r="K169" s="1"/>
    </row>
    <row r="170" spans="5:11">
      <c r="E170" s="1"/>
      <c r="F170" s="1"/>
      <c r="G170" s="1"/>
      <c r="H170" s="1"/>
      <c r="I170" s="1"/>
      <c r="J170" s="1"/>
      <c r="K170" s="1"/>
    </row>
    <row r="171" spans="5:11">
      <c r="E171" s="1"/>
      <c r="F171" s="1"/>
      <c r="G171" s="1"/>
      <c r="H171" s="1"/>
      <c r="I171" s="1"/>
      <c r="J171" s="1"/>
      <c r="K171" s="1"/>
    </row>
    <row r="172" spans="5:11">
      <c r="E172" s="1"/>
      <c r="F172" s="1"/>
      <c r="G172" s="1"/>
      <c r="H172" s="1"/>
      <c r="I172" s="1"/>
      <c r="J172" s="1"/>
      <c r="K172" s="1"/>
    </row>
    <row r="173" spans="5:11">
      <c r="E173" s="1"/>
      <c r="F173" s="1"/>
      <c r="G173" s="1"/>
      <c r="H173" s="1"/>
      <c r="I173" s="1"/>
      <c r="J173" s="1"/>
      <c r="K173" s="1"/>
    </row>
    <row r="174" spans="5:11">
      <c r="E174" s="1"/>
      <c r="F174" s="1"/>
      <c r="G174" s="1"/>
      <c r="H174" s="1"/>
      <c r="I174" s="1"/>
      <c r="J174" s="1"/>
      <c r="K174" s="1"/>
    </row>
    <row r="175" spans="5:11">
      <c r="E175" s="1"/>
      <c r="F175" s="1"/>
      <c r="G175" s="1"/>
      <c r="H175" s="1"/>
      <c r="I175" s="1"/>
      <c r="J175" s="1"/>
      <c r="K175" s="1"/>
    </row>
    <row r="176" spans="5:11">
      <c r="E176" s="1"/>
      <c r="F176" s="1"/>
      <c r="G176" s="1"/>
      <c r="H176" s="1"/>
      <c r="I176" s="1"/>
      <c r="J176" s="1"/>
      <c r="K176" s="1"/>
    </row>
    <row r="177" spans="5:11">
      <c r="E177" s="1"/>
      <c r="F177" s="1"/>
      <c r="G177" s="1"/>
      <c r="H177" s="1"/>
      <c r="I177" s="1"/>
      <c r="J177" s="1"/>
      <c r="K177" s="1"/>
    </row>
    <row r="178" spans="5:11">
      <c r="E178" s="1"/>
      <c r="F178" s="1"/>
      <c r="G178" s="1"/>
      <c r="H178" s="1"/>
      <c r="I178" s="1"/>
      <c r="J178" s="1"/>
      <c r="K178" s="1"/>
    </row>
    <row r="179" spans="5:11">
      <c r="E179" s="1"/>
      <c r="F179" s="1"/>
      <c r="G179" s="1"/>
      <c r="H179" s="1"/>
      <c r="I179" s="1"/>
      <c r="J179" s="1"/>
      <c r="K179" s="1"/>
    </row>
    <row r="180" spans="5:11">
      <c r="E180" s="1"/>
      <c r="F180" s="1"/>
      <c r="G180" s="1"/>
      <c r="H180" s="1"/>
      <c r="I180" s="1"/>
      <c r="J180" s="1"/>
      <c r="K180" s="1"/>
    </row>
    <row r="181" spans="5:11">
      <c r="E181" s="1"/>
      <c r="F181" s="1"/>
      <c r="G181" s="1"/>
      <c r="H181" s="1"/>
      <c r="I181" s="1"/>
      <c r="J181" s="1"/>
      <c r="K181" s="1"/>
    </row>
    <row r="182" spans="5:11">
      <c r="E182" s="1"/>
      <c r="F182" s="1"/>
      <c r="G182" s="1"/>
      <c r="H182" s="1"/>
      <c r="I182" s="1"/>
      <c r="J182" s="1"/>
      <c r="K182" s="1"/>
    </row>
    <row r="183" spans="5:11">
      <c r="E183" s="1"/>
      <c r="F183" s="1"/>
      <c r="G183" s="1"/>
      <c r="H183" s="1"/>
      <c r="I183" s="1"/>
      <c r="J183" s="1"/>
      <c r="K183" s="1"/>
    </row>
    <row r="184" spans="5:11">
      <c r="E184" s="1"/>
      <c r="F184" s="1"/>
      <c r="G184" s="1"/>
      <c r="H184" s="1"/>
      <c r="I184" s="1"/>
      <c r="J184" s="1"/>
      <c r="K184" s="1"/>
    </row>
    <row r="185" spans="5:11">
      <c r="E185" s="1"/>
      <c r="F185" s="1"/>
      <c r="G185" s="1"/>
      <c r="H185" s="1"/>
      <c r="I185" s="1"/>
      <c r="J185" s="1"/>
      <c r="K185" s="1"/>
    </row>
    <row r="186" spans="5:11">
      <c r="E186" s="1"/>
      <c r="F186" s="1"/>
      <c r="G186" s="1"/>
      <c r="H186" s="1"/>
      <c r="I186" s="1"/>
      <c r="J186" s="1"/>
      <c r="K186" s="1"/>
    </row>
    <row r="187" spans="5:11">
      <c r="E187" s="1"/>
      <c r="F187" s="1"/>
      <c r="G187" s="1"/>
      <c r="H187" s="1"/>
      <c r="I187" s="1"/>
      <c r="J187" s="1"/>
      <c r="K187" s="1"/>
    </row>
    <row r="188" spans="5:11">
      <c r="E188" s="1"/>
      <c r="F188" s="1"/>
      <c r="G188" s="1"/>
      <c r="H188" s="1"/>
      <c r="I188" s="1"/>
      <c r="J188" s="1"/>
      <c r="K188" s="1"/>
    </row>
    <row r="189" spans="5:11">
      <c r="E189" s="1"/>
      <c r="F189" s="1"/>
      <c r="G189" s="1"/>
      <c r="H189" s="1"/>
      <c r="I189" s="1"/>
      <c r="J189" s="1"/>
      <c r="K189" s="1"/>
    </row>
    <row r="190" spans="5:11">
      <c r="E190" s="1"/>
      <c r="F190" s="1"/>
      <c r="G190" s="1"/>
      <c r="H190" s="1"/>
      <c r="I190" s="1"/>
      <c r="J190" s="1"/>
      <c r="K190" s="1"/>
    </row>
    <row r="191" spans="5:11">
      <c r="E191" s="1"/>
      <c r="F191" s="1"/>
      <c r="G191" s="1"/>
      <c r="H191" s="1"/>
      <c r="I191" s="1"/>
      <c r="J191" s="1"/>
      <c r="K191" s="1"/>
    </row>
    <row r="192" spans="5:11">
      <c r="E192" s="1"/>
      <c r="F192" s="1"/>
      <c r="G192" s="1"/>
      <c r="H192" s="1"/>
      <c r="I192" s="1"/>
      <c r="J192" s="1"/>
      <c r="K192" s="1"/>
    </row>
    <row r="193" spans="5:11">
      <c r="E193" s="1"/>
      <c r="F193" s="1"/>
      <c r="G193" s="1"/>
      <c r="H193" s="1"/>
      <c r="I193" s="1"/>
      <c r="J193" s="1"/>
      <c r="K193" s="1"/>
    </row>
    <row r="194" spans="5:11">
      <c r="E194" s="1"/>
      <c r="F194" s="1"/>
      <c r="G194" s="1"/>
      <c r="H194" s="1"/>
      <c r="I194" s="1"/>
      <c r="J194" s="1"/>
      <c r="K194" s="1"/>
    </row>
    <row r="195" spans="5:11">
      <c r="E195" s="1"/>
      <c r="F195" s="1"/>
      <c r="G195" s="1"/>
      <c r="H195" s="1"/>
      <c r="I195" s="1"/>
      <c r="J195" s="1"/>
      <c r="K195" s="1"/>
    </row>
    <row r="196" spans="5:11">
      <c r="E196" s="1"/>
      <c r="F196" s="1"/>
      <c r="G196" s="1"/>
      <c r="H196" s="1"/>
      <c r="I196" s="1"/>
      <c r="J196" s="1"/>
      <c r="K196" s="1"/>
    </row>
    <row r="197" spans="5:11">
      <c r="E197" s="1"/>
      <c r="F197" s="1"/>
      <c r="G197" s="1"/>
      <c r="H197" s="1"/>
      <c r="I197" s="1"/>
      <c r="J197" s="1"/>
      <c r="K197" s="1"/>
    </row>
    <row r="198" spans="5:11">
      <c r="E198" s="1"/>
      <c r="F198" s="1"/>
      <c r="G198" s="1"/>
      <c r="H198" s="1"/>
      <c r="I198" s="1"/>
      <c r="J198" s="1"/>
      <c r="K198" s="1"/>
    </row>
    <row r="199" spans="5:11">
      <c r="E199" s="1"/>
      <c r="F199" s="1"/>
      <c r="G199" s="1"/>
      <c r="H199" s="1"/>
      <c r="I199" s="1"/>
      <c r="J199" s="1"/>
      <c r="K199" s="1"/>
    </row>
    <row r="200" spans="5:11">
      <c r="E200" s="1"/>
      <c r="F200" s="1"/>
      <c r="G200" s="1"/>
      <c r="H200" s="1"/>
      <c r="I200" s="1"/>
      <c r="J200" s="1"/>
      <c r="K200" s="1"/>
    </row>
    <row r="201" spans="5:11">
      <c r="E201" s="1"/>
      <c r="F201" s="1"/>
      <c r="G201" s="1"/>
      <c r="H201" s="1"/>
      <c r="I201" s="1"/>
      <c r="J201" s="1"/>
      <c r="K201" s="1"/>
    </row>
    <row r="202" spans="5:11">
      <c r="E202" s="1"/>
      <c r="F202" s="1"/>
      <c r="G202" s="1"/>
      <c r="H202" s="1"/>
      <c r="I202" s="1"/>
      <c r="J202" s="1"/>
      <c r="K202" s="1"/>
    </row>
    <row r="203" spans="5:11">
      <c r="E203" s="1"/>
      <c r="F203" s="1"/>
      <c r="G203" s="1"/>
      <c r="H203" s="1"/>
      <c r="I203" s="1"/>
      <c r="J203" s="1"/>
      <c r="K203" s="1"/>
    </row>
    <row r="204" spans="5:11">
      <c r="E204" s="1"/>
      <c r="F204" s="1"/>
      <c r="G204" s="1"/>
      <c r="H204" s="1"/>
      <c r="I204" s="1"/>
      <c r="J204" s="1"/>
      <c r="K204" s="1"/>
    </row>
    <row r="205" spans="5:11">
      <c r="E205" s="1"/>
      <c r="F205" s="1"/>
      <c r="G205" s="1"/>
      <c r="H205" s="1"/>
      <c r="I205" s="1"/>
      <c r="J205" s="1"/>
      <c r="K205" s="1"/>
    </row>
    <row r="206" spans="5:11">
      <c r="E206" s="1"/>
      <c r="F206" s="1"/>
      <c r="G206" s="1"/>
      <c r="H206" s="1"/>
      <c r="I206" s="1"/>
      <c r="J206" s="1"/>
      <c r="K206" s="1"/>
    </row>
    <row r="207" spans="5:11">
      <c r="E207" s="1"/>
      <c r="F207" s="1"/>
      <c r="G207" s="1"/>
      <c r="H207" s="1"/>
      <c r="I207" s="1"/>
      <c r="J207" s="1"/>
      <c r="K207" s="1"/>
    </row>
    <row r="208" spans="5:11">
      <c r="E208" s="1"/>
      <c r="F208" s="1"/>
      <c r="G208" s="1"/>
      <c r="H208" s="1"/>
      <c r="I208" s="1"/>
      <c r="J208" s="1"/>
      <c r="K208" s="1"/>
    </row>
    <row r="209" spans="5:11">
      <c r="E209" s="1"/>
      <c r="F209" s="1"/>
      <c r="G209" s="1"/>
      <c r="H209" s="1"/>
      <c r="I209" s="1"/>
      <c r="J209" s="1"/>
      <c r="K209" s="1"/>
    </row>
    <row r="210" spans="5:11">
      <c r="E210" s="1"/>
      <c r="F210" s="1"/>
      <c r="G210" s="1"/>
      <c r="H210" s="1"/>
      <c r="I210" s="1"/>
      <c r="J210" s="1"/>
      <c r="K210" s="1"/>
    </row>
    <row r="211" spans="5:11">
      <c r="E211" s="1"/>
      <c r="F211" s="1"/>
      <c r="G211" s="1"/>
      <c r="H211" s="1"/>
      <c r="I211" s="1"/>
      <c r="J211" s="1"/>
      <c r="K211" s="1"/>
    </row>
    <row r="212" spans="5:11">
      <c r="E212" s="1"/>
      <c r="F212" s="1"/>
      <c r="G212" s="1"/>
      <c r="H212" s="1"/>
      <c r="I212" s="1"/>
      <c r="J212" s="1"/>
      <c r="K212" s="1"/>
    </row>
    <row r="213" spans="5:11">
      <c r="E213" s="1"/>
      <c r="F213" s="1"/>
      <c r="G213" s="1"/>
      <c r="H213" s="1"/>
      <c r="I213" s="1"/>
      <c r="J213" s="1"/>
      <c r="K213" s="1"/>
    </row>
    <row r="214" spans="5:11">
      <c r="E214" s="1"/>
      <c r="F214" s="1"/>
      <c r="G214" s="1"/>
      <c r="H214" s="1"/>
      <c r="I214" s="1"/>
      <c r="J214" s="1"/>
      <c r="K214" s="1"/>
    </row>
    <row r="215" spans="5:11">
      <c r="E215" s="1"/>
      <c r="F215" s="1"/>
      <c r="G215" s="1"/>
      <c r="H215" s="1"/>
      <c r="I215" s="1"/>
      <c r="J215" s="1"/>
      <c r="K215" s="1"/>
    </row>
    <row r="216" spans="5:11">
      <c r="E216" s="1"/>
      <c r="F216" s="1"/>
      <c r="G216" s="1"/>
      <c r="H216" s="1"/>
      <c r="I216" s="1"/>
      <c r="J216" s="1"/>
      <c r="K216" s="1"/>
    </row>
    <row r="217" spans="5:11">
      <c r="E217" s="1"/>
      <c r="F217" s="1"/>
      <c r="G217" s="1"/>
      <c r="H217" s="1"/>
      <c r="I217" s="1"/>
      <c r="J217" s="1"/>
      <c r="K217" s="1"/>
    </row>
    <row r="218" spans="5:11">
      <c r="E218" s="1"/>
      <c r="F218" s="1"/>
      <c r="G218" s="1"/>
      <c r="H218" s="1"/>
      <c r="I218" s="1"/>
      <c r="J218" s="1"/>
      <c r="K218" s="1"/>
    </row>
    <row r="219" spans="5:11">
      <c r="E219" s="1"/>
      <c r="F219" s="1"/>
      <c r="G219" s="1"/>
      <c r="H219" s="1"/>
      <c r="I219" s="1"/>
      <c r="J219" s="1"/>
      <c r="K219" s="1"/>
    </row>
    <row r="220" spans="5:11">
      <c r="E220" s="1"/>
      <c r="F220" s="1"/>
      <c r="G220" s="1"/>
      <c r="H220" s="1"/>
      <c r="I220" s="1"/>
      <c r="J220" s="1"/>
      <c r="K220" s="1"/>
    </row>
    <row r="221" spans="5:11">
      <c r="E221" s="1"/>
      <c r="F221" s="1"/>
      <c r="G221" s="1"/>
      <c r="H221" s="1"/>
      <c r="I221" s="1"/>
      <c r="J221" s="1"/>
      <c r="K221" s="1"/>
    </row>
    <row r="222" spans="5:11">
      <c r="E222" s="1"/>
      <c r="F222" s="1"/>
      <c r="G222" s="1"/>
      <c r="H222" s="1"/>
      <c r="I222" s="1"/>
      <c r="J222" s="1"/>
      <c r="K222" s="1"/>
    </row>
    <row r="223" spans="5:11">
      <c r="E223" s="1"/>
      <c r="F223" s="1"/>
      <c r="G223" s="1"/>
      <c r="H223" s="1"/>
      <c r="I223" s="1"/>
      <c r="J223" s="1"/>
      <c r="K223" s="1"/>
    </row>
    <row r="224" spans="5:11">
      <c r="E224" s="1"/>
      <c r="F224" s="1"/>
      <c r="G224" s="1"/>
      <c r="H224" s="1"/>
      <c r="I224" s="1"/>
      <c r="J224" s="1"/>
      <c r="K224" s="1"/>
    </row>
    <row r="225" spans="5:11">
      <c r="E225" s="1"/>
      <c r="F225" s="1"/>
      <c r="G225" s="1"/>
      <c r="H225" s="1"/>
      <c r="I225" s="1"/>
      <c r="J225" s="1"/>
      <c r="K225" s="1"/>
    </row>
    <row r="226" spans="5:11">
      <c r="E226" s="1"/>
      <c r="F226" s="1"/>
      <c r="G226" s="1"/>
      <c r="H226" s="1"/>
      <c r="I226" s="1"/>
      <c r="J226" s="1"/>
      <c r="K226" s="1"/>
    </row>
    <row r="227" spans="5:11">
      <c r="E227" s="1"/>
      <c r="F227" s="1"/>
      <c r="G227" s="1"/>
      <c r="H227" s="1"/>
      <c r="I227" s="1"/>
      <c r="J227" s="1"/>
      <c r="K227" s="1"/>
    </row>
    <row r="228" spans="5:11">
      <c r="E228" s="1"/>
      <c r="F228" s="1"/>
      <c r="G228" s="1"/>
      <c r="H228" s="1"/>
      <c r="I228" s="1"/>
      <c r="J228" s="1"/>
      <c r="K228" s="1"/>
    </row>
    <row r="229" spans="5:11">
      <c r="E229" s="1"/>
      <c r="F229" s="1"/>
      <c r="G229" s="1"/>
      <c r="H229" s="1"/>
      <c r="I229" s="1"/>
      <c r="J229" s="1"/>
      <c r="K229" s="1"/>
    </row>
    <row r="230" spans="5:11">
      <c r="E230" s="1"/>
      <c r="F230" s="1"/>
      <c r="G230" s="1"/>
      <c r="H230" s="1"/>
      <c r="I230" s="1"/>
      <c r="J230" s="1"/>
      <c r="K230" s="1"/>
    </row>
    <row r="231" spans="5:11">
      <c r="E231" s="1"/>
      <c r="F231" s="1"/>
      <c r="G231" s="1"/>
      <c r="H231" s="1"/>
      <c r="I231" s="1"/>
      <c r="J231" s="1"/>
      <c r="K231" s="1"/>
    </row>
    <row r="232" spans="5:11">
      <c r="E232" s="1"/>
      <c r="F232" s="1"/>
      <c r="G232" s="1"/>
      <c r="H232" s="1"/>
      <c r="I232" s="1"/>
      <c r="J232" s="1"/>
      <c r="K232" s="1"/>
    </row>
    <row r="233" spans="5:11">
      <c r="E233" s="1"/>
      <c r="F233" s="1"/>
      <c r="G233" s="1"/>
      <c r="H233" s="1"/>
      <c r="I233" s="1"/>
      <c r="J233" s="1"/>
      <c r="K233" s="1"/>
    </row>
    <row r="234" spans="5:11">
      <c r="E234" s="1"/>
      <c r="F234" s="1"/>
      <c r="G234" s="1"/>
      <c r="H234" s="1"/>
      <c r="I234" s="1"/>
      <c r="J234" s="1"/>
      <c r="K234" s="1"/>
    </row>
    <row r="235" spans="5:11">
      <c r="E235" s="1"/>
      <c r="F235" s="1"/>
      <c r="G235" s="1"/>
      <c r="H235" s="1"/>
      <c r="I235" s="1"/>
      <c r="J235" s="1"/>
      <c r="K235" s="1"/>
    </row>
    <row r="236" spans="5:11">
      <c r="E236" s="1"/>
      <c r="F236" s="1"/>
      <c r="G236" s="1"/>
      <c r="H236" s="1"/>
      <c r="I236" s="1"/>
      <c r="J236" s="1"/>
      <c r="K236" s="1"/>
    </row>
    <row r="237" spans="5:11">
      <c r="E237" s="1"/>
      <c r="F237" s="1"/>
      <c r="G237" s="1"/>
      <c r="H237" s="1"/>
      <c r="I237" s="1"/>
      <c r="J237" s="1"/>
      <c r="K237" s="1"/>
    </row>
    <row r="238" spans="5:11">
      <c r="E238" s="1"/>
      <c r="F238" s="1"/>
      <c r="G238" s="1"/>
      <c r="H238" s="1"/>
      <c r="I238" s="1"/>
      <c r="J238" s="1"/>
      <c r="K238" s="1"/>
    </row>
    <row r="239" spans="5:11">
      <c r="E239" s="1"/>
      <c r="F239" s="1"/>
      <c r="G239" s="1"/>
      <c r="H239" s="1"/>
      <c r="I239" s="1"/>
      <c r="J239" s="1"/>
      <c r="K239" s="1"/>
    </row>
    <row r="240" spans="5:11">
      <c r="E240" s="1"/>
      <c r="F240" s="1"/>
      <c r="G240" s="1"/>
      <c r="H240" s="1"/>
      <c r="I240" s="1"/>
      <c r="J240" s="1"/>
      <c r="K240" s="1"/>
    </row>
    <row r="241" spans="5:11">
      <c r="E241" s="1"/>
      <c r="F241" s="1"/>
      <c r="G241" s="1"/>
      <c r="H241" s="1"/>
      <c r="I241" s="1"/>
      <c r="J241" s="1"/>
      <c r="K241" s="1"/>
    </row>
    <row r="242" spans="5:11">
      <c r="E242" s="1"/>
      <c r="F242" s="1"/>
      <c r="G242" s="1"/>
      <c r="H242" s="1"/>
      <c r="I242" s="1"/>
      <c r="J242" s="1"/>
      <c r="K242" s="1"/>
    </row>
    <row r="243" spans="5:11">
      <c r="E243" s="1"/>
      <c r="F243" s="1"/>
      <c r="G243" s="1"/>
      <c r="H243" s="1"/>
      <c r="I243" s="1"/>
      <c r="J243" s="1"/>
      <c r="K243" s="1"/>
    </row>
    <row r="244" spans="5:11">
      <c r="E244" s="1"/>
      <c r="F244" s="1"/>
      <c r="G244" s="1"/>
      <c r="H244" s="1"/>
      <c r="I244" s="1"/>
      <c r="J244" s="1"/>
      <c r="K244" s="1"/>
    </row>
    <row r="245" spans="5:11">
      <c r="E245" s="1"/>
      <c r="F245" s="1"/>
      <c r="G245" s="1"/>
      <c r="H245" s="1"/>
      <c r="I245" s="1"/>
      <c r="J245" s="1"/>
      <c r="K245" s="1"/>
    </row>
    <row r="246" spans="5:11">
      <c r="E246" s="1"/>
      <c r="F246" s="1"/>
      <c r="G246" s="1"/>
      <c r="H246" s="1"/>
      <c r="I246" s="1"/>
      <c r="J246" s="1"/>
      <c r="K246" s="1"/>
    </row>
    <row r="247" spans="5:11">
      <c r="E247" s="1"/>
      <c r="F247" s="1"/>
      <c r="G247" s="1"/>
      <c r="H247" s="1"/>
      <c r="I247" s="1"/>
      <c r="J247" s="1"/>
      <c r="K247" s="1"/>
    </row>
    <row r="248" spans="5:11">
      <c r="E248" s="1"/>
      <c r="F248" s="1"/>
      <c r="G248" s="1"/>
      <c r="H248" s="1"/>
      <c r="I248" s="1"/>
      <c r="J248" s="1"/>
      <c r="K248" s="1"/>
    </row>
    <row r="249" spans="5:11">
      <c r="E249" s="1"/>
      <c r="F249" s="1"/>
      <c r="G249" s="1"/>
      <c r="H249" s="1"/>
      <c r="I249" s="1"/>
      <c r="J249" s="1"/>
      <c r="K249" s="1"/>
    </row>
    <row r="250" spans="5:11">
      <c r="E250" s="1"/>
      <c r="F250" s="1"/>
      <c r="G250" s="1"/>
      <c r="H250" s="1"/>
      <c r="I250" s="1"/>
      <c r="J250" s="1"/>
      <c r="K250" s="1"/>
    </row>
    <row r="251" spans="5:11">
      <c r="E251" s="1"/>
      <c r="F251" s="1"/>
      <c r="G251" s="1"/>
      <c r="H251" s="1"/>
      <c r="I251" s="1"/>
      <c r="J251" s="1"/>
      <c r="K251" s="1"/>
    </row>
    <row r="252" spans="5:11">
      <c r="E252" s="1"/>
      <c r="F252" s="1"/>
      <c r="G252" s="1"/>
      <c r="H252" s="1"/>
      <c r="I252" s="1"/>
      <c r="J252" s="1"/>
      <c r="K252" s="1"/>
    </row>
    <row r="253" spans="5:11">
      <c r="E253" s="1"/>
      <c r="F253" s="1"/>
      <c r="G253" s="1"/>
      <c r="H253" s="1"/>
      <c r="I253" s="1"/>
      <c r="J253" s="1"/>
      <c r="K253" s="1"/>
    </row>
    <row r="254" spans="5:11">
      <c r="E254" s="1"/>
      <c r="F254" s="1"/>
      <c r="G254" s="1"/>
      <c r="H254" s="1"/>
      <c r="I254" s="1"/>
      <c r="J254" s="1"/>
      <c r="K254" s="1"/>
    </row>
    <row r="255" spans="5:11">
      <c r="E255" s="1"/>
      <c r="F255" s="1"/>
      <c r="G255" s="1"/>
      <c r="H255" s="1"/>
      <c r="I255" s="1"/>
      <c r="J255" s="1"/>
      <c r="K255" s="1"/>
    </row>
    <row r="256" spans="5:11">
      <c r="E256" s="1"/>
      <c r="F256" s="1"/>
      <c r="G256" s="1"/>
      <c r="H256" s="1"/>
      <c r="I256" s="1"/>
      <c r="J256" s="1"/>
      <c r="K256" s="1"/>
    </row>
    <row r="257" spans="5:11">
      <c r="E257" s="1"/>
      <c r="F257" s="1"/>
      <c r="G257" s="1"/>
      <c r="H257" s="1"/>
      <c r="I257" s="1"/>
      <c r="J257" s="1"/>
      <c r="K257" s="1"/>
    </row>
    <row r="258" spans="5:11">
      <c r="E258" s="1"/>
      <c r="F258" s="1"/>
      <c r="G258" s="1"/>
      <c r="H258" s="1"/>
      <c r="I258" s="1"/>
      <c r="J258" s="1"/>
      <c r="K258" s="1"/>
    </row>
    <row r="259" spans="5:11">
      <c r="E259" s="1"/>
      <c r="F259" s="1"/>
      <c r="G259" s="1"/>
      <c r="H259" s="1"/>
      <c r="I259" s="1"/>
      <c r="J259" s="1"/>
      <c r="K259" s="1"/>
    </row>
    <row r="260" spans="5:11">
      <c r="E260" s="1"/>
      <c r="F260" s="1"/>
      <c r="G260" s="1"/>
      <c r="H260" s="1"/>
      <c r="I260" s="1"/>
      <c r="J260" s="1"/>
      <c r="K260" s="1"/>
    </row>
    <row r="261" spans="5:11">
      <c r="E261" s="1"/>
      <c r="F261" s="1"/>
      <c r="G261" s="1"/>
      <c r="H261" s="1"/>
      <c r="I261" s="1"/>
      <c r="J261" s="1"/>
      <c r="K261" s="1"/>
    </row>
    <row r="262" spans="5:11">
      <c r="E262" s="1"/>
      <c r="F262" s="1"/>
      <c r="G262" s="1"/>
      <c r="H262" s="1"/>
      <c r="I262" s="1"/>
      <c r="J262" s="1"/>
      <c r="K262" s="1"/>
    </row>
    <row r="263" spans="5:11">
      <c r="E263" s="1"/>
      <c r="F263" s="1"/>
      <c r="G263" s="1"/>
      <c r="H263" s="1"/>
      <c r="I263" s="1"/>
      <c r="J263" s="1"/>
      <c r="K263" s="1"/>
    </row>
    <row r="264" spans="5:11">
      <c r="E264" s="1"/>
      <c r="F264" s="1"/>
      <c r="G264" s="1"/>
      <c r="H264" s="1"/>
      <c r="I264" s="1"/>
      <c r="J264" s="1"/>
      <c r="K264" s="1"/>
    </row>
    <row r="265" spans="5:11">
      <c r="E265" s="1"/>
      <c r="F265" s="1"/>
      <c r="G265" s="1"/>
      <c r="H265" s="1"/>
      <c r="I265" s="1"/>
      <c r="J265" s="1"/>
      <c r="K265" s="1"/>
    </row>
    <row r="266" spans="5:11">
      <c r="E266" s="1"/>
      <c r="F266" s="1"/>
      <c r="G266" s="1"/>
      <c r="H266" s="1"/>
      <c r="I266" s="1"/>
      <c r="J266" s="1"/>
      <c r="K266" s="1"/>
    </row>
    <row r="267" spans="5:11">
      <c r="E267" s="1"/>
      <c r="F267" s="1"/>
      <c r="G267" s="1"/>
      <c r="H267" s="1"/>
      <c r="I267" s="1"/>
      <c r="J267" s="1"/>
      <c r="K267" s="1"/>
    </row>
    <row r="268" spans="5:11">
      <c r="E268" s="1"/>
      <c r="F268" s="1"/>
      <c r="G268" s="1"/>
      <c r="H268" s="1"/>
      <c r="I268" s="1"/>
      <c r="J268" s="1"/>
      <c r="K268" s="1"/>
    </row>
    <row r="269" spans="5:11">
      <c r="E269" s="1"/>
      <c r="F269" s="1"/>
      <c r="G269" s="1"/>
      <c r="H269" s="1"/>
      <c r="I269" s="1"/>
      <c r="J269" s="1"/>
      <c r="K269" s="1"/>
    </row>
    <row r="270" spans="5:11">
      <c r="E270" s="1"/>
      <c r="F270" s="1"/>
      <c r="G270" s="1"/>
      <c r="H270" s="1"/>
      <c r="I270" s="1"/>
      <c r="J270" s="1"/>
      <c r="K270" s="1"/>
    </row>
    <row r="271" spans="5:11">
      <c r="E271" s="1"/>
      <c r="F271" s="1"/>
      <c r="G271" s="1"/>
      <c r="H271" s="1"/>
      <c r="I271" s="1"/>
      <c r="J271" s="1"/>
      <c r="K271" s="1"/>
    </row>
    <row r="272" spans="5:11">
      <c r="E272" s="1"/>
      <c r="F272" s="1"/>
      <c r="G272" s="1"/>
      <c r="H272" s="1"/>
      <c r="I272" s="1"/>
      <c r="J272" s="1"/>
      <c r="K272" s="1"/>
    </row>
    <row r="273" spans="5:11">
      <c r="E273" s="1"/>
      <c r="F273" s="1"/>
      <c r="G273" s="1"/>
      <c r="H273" s="1"/>
      <c r="I273" s="1"/>
      <c r="J273" s="1"/>
      <c r="K273" s="1"/>
    </row>
    <row r="274" spans="5:11">
      <c r="E274" s="1"/>
      <c r="F274" s="1"/>
      <c r="G274" s="1"/>
      <c r="H274" s="1"/>
      <c r="I274" s="1"/>
      <c r="J274" s="1"/>
      <c r="K274" s="1"/>
    </row>
    <row r="275" spans="5:11">
      <c r="E275" s="1"/>
      <c r="F275" s="1"/>
      <c r="G275" s="1"/>
      <c r="H275" s="1"/>
      <c r="I275" s="1"/>
      <c r="J275" s="1"/>
      <c r="K275" s="1"/>
    </row>
    <row r="276" spans="5:11">
      <c r="E276" s="1"/>
      <c r="F276" s="1"/>
      <c r="G276" s="1"/>
      <c r="H276" s="1"/>
      <c r="I276" s="1"/>
      <c r="J276" s="1"/>
      <c r="K276" s="1"/>
    </row>
    <row r="277" spans="5:11">
      <c r="E277" s="1"/>
      <c r="F277" s="1"/>
      <c r="G277" s="1"/>
      <c r="H277" s="1"/>
      <c r="I277" s="1"/>
      <c r="J277" s="1"/>
      <c r="K277" s="1"/>
    </row>
    <row r="278" spans="5:11">
      <c r="E278" s="1"/>
      <c r="F278" s="1"/>
      <c r="G278" s="1"/>
      <c r="H278" s="1"/>
      <c r="I278" s="1"/>
      <c r="J278" s="1"/>
      <c r="K278" s="1"/>
    </row>
    <row r="279" spans="5:11">
      <c r="E279" s="1"/>
      <c r="F279" s="1"/>
      <c r="G279" s="1"/>
      <c r="H279" s="1"/>
      <c r="I279" s="1"/>
      <c r="J279" s="1"/>
      <c r="K279" s="1"/>
    </row>
    <row r="280" spans="5:11">
      <c r="E280" s="1"/>
      <c r="F280" s="1"/>
      <c r="G280" s="1"/>
      <c r="H280" s="1"/>
      <c r="I280" s="1"/>
      <c r="J280" s="1"/>
      <c r="K280" s="1"/>
    </row>
    <row r="281" spans="5:11">
      <c r="E281" s="1"/>
      <c r="F281" s="1"/>
      <c r="G281" s="1"/>
      <c r="H281" s="1"/>
      <c r="I281" s="1"/>
      <c r="J281" s="1"/>
      <c r="K281" s="1"/>
    </row>
    <row r="282" spans="5:11">
      <c r="E282" s="1"/>
      <c r="F282" s="1"/>
      <c r="G282" s="1"/>
      <c r="H282" s="1"/>
      <c r="I282" s="1"/>
      <c r="J282" s="1"/>
      <c r="K282" s="1"/>
    </row>
    <row r="283" spans="5:11">
      <c r="E283" s="1"/>
      <c r="F283" s="1"/>
      <c r="G283" s="1"/>
      <c r="H283" s="1"/>
      <c r="I283" s="1"/>
      <c r="J283" s="1"/>
      <c r="K283" s="1"/>
    </row>
    <row r="284" spans="5:11">
      <c r="E284" s="1"/>
      <c r="F284" s="1"/>
      <c r="G284" s="1"/>
      <c r="H284" s="1"/>
      <c r="I284" s="1"/>
      <c r="J284" s="1"/>
      <c r="K284" s="1"/>
    </row>
    <row r="285" spans="5:11">
      <c r="E285" s="1"/>
      <c r="F285" s="1"/>
      <c r="G285" s="1"/>
      <c r="H285" s="1"/>
      <c r="I285" s="1"/>
      <c r="J285" s="1"/>
      <c r="K285" s="1"/>
    </row>
    <row r="286" spans="5:11">
      <c r="E286" s="1"/>
      <c r="F286" s="1"/>
      <c r="G286" s="1"/>
      <c r="H286" s="1"/>
      <c r="I286" s="1"/>
      <c r="J286" s="1"/>
      <c r="K286" s="1"/>
    </row>
    <row r="287" spans="5:11">
      <c r="E287" s="1"/>
      <c r="F287" s="1"/>
      <c r="G287" s="1"/>
      <c r="H287" s="1"/>
      <c r="I287" s="1"/>
      <c r="J287" s="1"/>
      <c r="K287" s="1"/>
    </row>
    <row r="288" spans="5:11">
      <c r="E288" s="1"/>
      <c r="F288" s="1"/>
      <c r="G288" s="1"/>
      <c r="H288" s="1"/>
      <c r="I288" s="1"/>
      <c r="J288" s="1"/>
      <c r="K288" s="1"/>
    </row>
    <row r="289" spans="5:11">
      <c r="E289" s="1"/>
      <c r="F289" s="1"/>
      <c r="G289" s="1"/>
      <c r="H289" s="1"/>
      <c r="I289" s="1"/>
      <c r="J289" s="1"/>
      <c r="K289" s="1"/>
    </row>
    <row r="290" spans="5:11">
      <c r="E290" s="1"/>
      <c r="F290" s="1"/>
      <c r="G290" s="1"/>
      <c r="H290" s="1"/>
      <c r="I290" s="1"/>
      <c r="J290" s="1"/>
      <c r="K290" s="1"/>
    </row>
    <row r="291" spans="5:11">
      <c r="E291" s="1"/>
      <c r="F291" s="1"/>
      <c r="G291" s="1"/>
      <c r="H291" s="1"/>
      <c r="I291" s="1"/>
      <c r="J291" s="1"/>
      <c r="K291" s="1"/>
    </row>
    <row r="292" spans="5:11">
      <c r="E292" s="1"/>
      <c r="F292" s="1"/>
      <c r="G292" s="1"/>
      <c r="H292" s="1"/>
      <c r="I292" s="1"/>
      <c r="J292" s="1"/>
      <c r="K292" s="1"/>
    </row>
    <row r="293" spans="5:11">
      <c r="E293" s="1"/>
      <c r="F293" s="1"/>
      <c r="G293" s="1"/>
      <c r="H293" s="1"/>
      <c r="I293" s="1"/>
      <c r="J293" s="1"/>
      <c r="K293" s="1"/>
    </row>
    <row r="294" spans="5:11">
      <c r="E294" s="1"/>
      <c r="F294" s="1"/>
      <c r="G294" s="1"/>
      <c r="H294" s="1"/>
      <c r="I294" s="1"/>
      <c r="J294" s="1"/>
      <c r="K294" s="1"/>
    </row>
    <row r="295" spans="5:11">
      <c r="E295" s="1"/>
      <c r="F295" s="1"/>
      <c r="G295" s="1"/>
      <c r="H295" s="1"/>
      <c r="I295" s="1"/>
      <c r="J295" s="1"/>
      <c r="K295" s="1"/>
    </row>
    <row r="296" spans="5:11">
      <c r="E296" s="1"/>
      <c r="F296" s="1"/>
      <c r="G296" s="1"/>
      <c r="H296" s="1"/>
      <c r="I296" s="1"/>
      <c r="J296" s="1"/>
      <c r="K296" s="1"/>
    </row>
    <row r="297" spans="5:11">
      <c r="E297" s="1"/>
      <c r="F297" s="1"/>
      <c r="G297" s="1"/>
      <c r="H297" s="1"/>
      <c r="I297" s="1"/>
      <c r="J297" s="1"/>
      <c r="K297" s="1"/>
    </row>
    <row r="298" spans="5:11">
      <c r="E298" s="1"/>
      <c r="F298" s="1"/>
      <c r="G298" s="1"/>
      <c r="H298" s="1"/>
      <c r="I298" s="1"/>
      <c r="J298" s="1"/>
      <c r="K298" s="1"/>
    </row>
    <row r="299" spans="5:11">
      <c r="E299" s="1"/>
      <c r="F299" s="1"/>
      <c r="G299" s="1"/>
      <c r="H299" s="1"/>
      <c r="I299" s="1"/>
      <c r="J299" s="1"/>
      <c r="K299" s="1"/>
    </row>
    <row r="300" spans="5:11">
      <c r="E300" s="1"/>
      <c r="F300" s="1"/>
      <c r="G300" s="1"/>
      <c r="H300" s="1"/>
      <c r="I300" s="1"/>
      <c r="J300" s="1"/>
      <c r="K300" s="1"/>
    </row>
    <row r="301" spans="5:11">
      <c r="E301" s="1"/>
      <c r="F301" s="1"/>
      <c r="G301" s="1"/>
      <c r="H301" s="1"/>
      <c r="I301" s="1"/>
      <c r="J301" s="1"/>
      <c r="K301" s="1"/>
    </row>
    <row r="302" spans="5:11">
      <c r="E302" s="1"/>
      <c r="F302" s="1"/>
      <c r="G302" s="1"/>
      <c r="H302" s="1"/>
      <c r="I302" s="1"/>
      <c r="J302" s="1"/>
      <c r="K302" s="1"/>
    </row>
    <row r="303" spans="5:11">
      <c r="E303" s="1"/>
      <c r="F303" s="1"/>
      <c r="G303" s="1"/>
      <c r="H303" s="1"/>
      <c r="I303" s="1"/>
      <c r="J303" s="1"/>
      <c r="K303" s="1"/>
    </row>
    <row r="304" spans="5:11">
      <c r="E304" s="1"/>
      <c r="F304" s="1"/>
      <c r="G304" s="1"/>
      <c r="H304" s="1"/>
      <c r="I304" s="1"/>
      <c r="J304" s="1"/>
      <c r="K304" s="1"/>
    </row>
    <row r="305" spans="5:11">
      <c r="E305" s="1"/>
      <c r="F305" s="1"/>
      <c r="G305" s="1"/>
      <c r="H305" s="1"/>
      <c r="I305" s="1"/>
      <c r="J305" s="1"/>
      <c r="K305" s="1"/>
    </row>
    <row r="306" spans="5:11">
      <c r="E306" s="1"/>
      <c r="F306" s="1"/>
      <c r="G306" s="1"/>
      <c r="H306" s="1"/>
      <c r="I306" s="1"/>
      <c r="J306" s="1"/>
      <c r="K306" s="1"/>
    </row>
    <row r="307" spans="5:11">
      <c r="E307" s="1"/>
      <c r="F307" s="1"/>
      <c r="G307" s="1"/>
      <c r="H307" s="1"/>
      <c r="I307" s="1"/>
      <c r="J307" s="1"/>
      <c r="K307" s="1"/>
    </row>
    <row r="308" spans="5:11">
      <c r="E308" s="1"/>
      <c r="F308" s="1"/>
      <c r="G308" s="1"/>
      <c r="H308" s="1"/>
      <c r="I308" s="1"/>
      <c r="J308" s="1"/>
      <c r="K308" s="1"/>
    </row>
    <row r="309" spans="5:11">
      <c r="E309" s="1"/>
      <c r="F309" s="1"/>
      <c r="G309" s="1"/>
      <c r="H309" s="1"/>
      <c r="I309" s="1"/>
      <c r="J309" s="1"/>
      <c r="K309" s="1"/>
    </row>
    <row r="310" spans="5:11">
      <c r="E310" s="1"/>
      <c r="F310" s="1"/>
      <c r="G310" s="1"/>
      <c r="H310" s="1"/>
      <c r="I310" s="1"/>
      <c r="J310" s="1"/>
      <c r="K310" s="1"/>
    </row>
    <row r="311" spans="5:11">
      <c r="E311" s="1"/>
      <c r="F311" s="1"/>
      <c r="G311" s="1"/>
      <c r="H311" s="1"/>
      <c r="I311" s="1"/>
      <c r="J311" s="1"/>
      <c r="K311" s="1"/>
    </row>
    <row r="312" spans="5:11">
      <c r="E312" s="1"/>
      <c r="F312" s="1"/>
      <c r="G312" s="1"/>
      <c r="H312" s="1"/>
      <c r="I312" s="1"/>
      <c r="J312" s="1"/>
      <c r="K312" s="1"/>
    </row>
    <row r="313" spans="5:11">
      <c r="E313" s="1"/>
      <c r="F313" s="1"/>
      <c r="G313" s="1"/>
      <c r="H313" s="1"/>
      <c r="I313" s="1"/>
      <c r="J313" s="1"/>
      <c r="K313" s="1"/>
    </row>
    <row r="314" spans="5:11">
      <c r="E314" s="1"/>
      <c r="F314" s="1"/>
      <c r="G314" s="1"/>
      <c r="H314" s="1"/>
      <c r="I314" s="1"/>
      <c r="J314" s="1"/>
      <c r="K314" s="1"/>
    </row>
    <row r="315" spans="5:11">
      <c r="E315" s="1"/>
      <c r="F315" s="1"/>
      <c r="G315" s="1"/>
      <c r="H315" s="1"/>
      <c r="I315" s="1"/>
      <c r="J315" s="1"/>
      <c r="K315" s="1"/>
    </row>
    <row r="316" spans="5:11">
      <c r="E316" s="1"/>
      <c r="F316" s="1"/>
      <c r="G316" s="1"/>
      <c r="H316" s="1"/>
      <c r="I316" s="1"/>
      <c r="J316" s="1"/>
      <c r="K316" s="1"/>
    </row>
    <row r="317" spans="5:11">
      <c r="E317" s="1"/>
      <c r="F317" s="1"/>
      <c r="G317" s="1"/>
      <c r="H317" s="1"/>
      <c r="I317" s="1"/>
      <c r="J317" s="1"/>
      <c r="K317" s="1"/>
    </row>
    <row r="318" spans="5:11">
      <c r="E318" s="1"/>
      <c r="F318" s="1"/>
      <c r="G318" s="1"/>
      <c r="H318" s="1"/>
      <c r="I318" s="1"/>
      <c r="J318" s="1"/>
      <c r="K318" s="1"/>
    </row>
    <row r="319" spans="5:11">
      <c r="E319" s="1"/>
      <c r="F319" s="1"/>
      <c r="G319" s="1"/>
      <c r="H319" s="1"/>
      <c r="I319" s="1"/>
      <c r="J319" s="1"/>
      <c r="K319" s="1"/>
    </row>
    <row r="320" spans="5:11">
      <c r="E320" s="1"/>
      <c r="F320" s="1"/>
      <c r="G320" s="1"/>
      <c r="H320" s="1"/>
      <c r="I320" s="1"/>
      <c r="J320" s="1"/>
      <c r="K320" s="1"/>
    </row>
    <row r="321" spans="5:11">
      <c r="E321" s="1"/>
      <c r="F321" s="1"/>
      <c r="G321" s="1"/>
      <c r="H321" s="1"/>
      <c r="I321" s="1"/>
      <c r="J321" s="1"/>
      <c r="K321" s="1"/>
    </row>
    <row r="322" spans="5:11">
      <c r="E322" s="1"/>
      <c r="F322" s="1"/>
      <c r="G322" s="1"/>
      <c r="H322" s="1"/>
      <c r="I322" s="1"/>
      <c r="J322" s="1"/>
      <c r="K322" s="1"/>
    </row>
    <row r="323" spans="5:11">
      <c r="E323" s="1"/>
      <c r="F323" s="1"/>
      <c r="G323" s="1"/>
      <c r="H323" s="1"/>
      <c r="I323" s="1"/>
      <c r="J323" s="1"/>
      <c r="K323" s="1"/>
    </row>
    <row r="324" spans="5:11">
      <c r="E324" s="1"/>
      <c r="F324" s="1"/>
      <c r="G324" s="1"/>
      <c r="H324" s="1"/>
      <c r="I324" s="1"/>
      <c r="J324" s="1"/>
      <c r="K324" s="1"/>
    </row>
    <row r="325" spans="5:11">
      <c r="E325" s="1"/>
      <c r="F325" s="1"/>
      <c r="G325" s="1"/>
      <c r="H325" s="1"/>
      <c r="I325" s="1"/>
      <c r="J325" s="1"/>
      <c r="K325" s="1"/>
    </row>
    <row r="326" spans="5:11">
      <c r="E326" s="1"/>
      <c r="F326" s="1"/>
      <c r="G326" s="1"/>
      <c r="H326" s="1"/>
      <c r="I326" s="1"/>
      <c r="J326" s="1"/>
      <c r="K326" s="1"/>
    </row>
    <row r="327" spans="5:11">
      <c r="E327" s="1"/>
      <c r="F327" s="1"/>
      <c r="G327" s="1"/>
      <c r="H327" s="1"/>
      <c r="I327" s="1"/>
      <c r="J327" s="1"/>
      <c r="K327" s="1"/>
    </row>
    <row r="328" spans="5:11">
      <c r="E328" s="1"/>
      <c r="F328" s="1"/>
      <c r="G328" s="1"/>
      <c r="H328" s="1"/>
      <c r="I328" s="1"/>
      <c r="J328" s="1"/>
      <c r="K328" s="1"/>
    </row>
    <row r="329" spans="5:11">
      <c r="E329" s="1"/>
      <c r="F329" s="1"/>
      <c r="G329" s="1"/>
      <c r="H329" s="1"/>
      <c r="I329" s="1"/>
      <c r="J329" s="1"/>
      <c r="K329" s="1"/>
    </row>
    <row r="330" spans="5:11">
      <c r="E330" s="1"/>
      <c r="F330" s="1"/>
      <c r="G330" s="1"/>
      <c r="H330" s="1"/>
      <c r="I330" s="1"/>
      <c r="J330" s="1"/>
      <c r="K330" s="1"/>
    </row>
    <row r="331" spans="5:11">
      <c r="E331" s="1"/>
      <c r="F331" s="1"/>
      <c r="G331" s="1"/>
      <c r="H331" s="1"/>
      <c r="I331" s="1"/>
      <c r="J331" s="1"/>
      <c r="K331" s="1"/>
    </row>
    <row r="332" spans="5:11">
      <c r="E332" s="1"/>
      <c r="F332" s="1"/>
      <c r="G332" s="1"/>
      <c r="H332" s="1"/>
      <c r="I332" s="1"/>
      <c r="J332" s="1"/>
      <c r="K332" s="1"/>
    </row>
    <row r="333" spans="5:11">
      <c r="E333" s="1"/>
      <c r="F333" s="1"/>
      <c r="G333" s="1"/>
      <c r="H333" s="1"/>
      <c r="I333" s="1"/>
      <c r="J333" s="1"/>
      <c r="K333" s="1"/>
    </row>
    <row r="334" spans="5:11">
      <c r="E334" s="1"/>
      <c r="F334" s="1"/>
      <c r="G334" s="1"/>
      <c r="H334" s="1"/>
      <c r="I334" s="1"/>
      <c r="J334" s="1"/>
      <c r="K334" s="1"/>
    </row>
    <row r="335" spans="5:11">
      <c r="E335" s="1"/>
      <c r="F335" s="1"/>
      <c r="G335" s="1"/>
      <c r="H335" s="1"/>
      <c r="I335" s="1"/>
      <c r="J335" s="1"/>
      <c r="K335" s="1"/>
    </row>
    <row r="336" spans="5:11">
      <c r="E336" s="1"/>
      <c r="F336" s="1"/>
      <c r="G336" s="1"/>
      <c r="H336" s="1"/>
      <c r="I336" s="1"/>
      <c r="J336" s="1"/>
      <c r="K336" s="1"/>
    </row>
    <row r="337" spans="5:11">
      <c r="E337" s="1"/>
      <c r="F337" s="1"/>
      <c r="G337" s="1"/>
      <c r="H337" s="1"/>
      <c r="I337" s="1"/>
      <c r="J337" s="1"/>
      <c r="K337" s="1"/>
    </row>
    <row r="338" spans="5:11">
      <c r="E338" s="1"/>
      <c r="F338" s="1"/>
      <c r="G338" s="1"/>
      <c r="H338" s="1"/>
      <c r="I338" s="1"/>
      <c r="J338" s="1"/>
      <c r="K338" s="1"/>
    </row>
    <row r="339" spans="5:11">
      <c r="E339" s="1"/>
      <c r="F339" s="1"/>
      <c r="G339" s="1"/>
      <c r="H339" s="1"/>
      <c r="I339" s="1"/>
      <c r="J339" s="1"/>
      <c r="K339" s="1"/>
    </row>
    <row r="340" spans="5:11">
      <c r="E340" s="1"/>
      <c r="F340" s="1"/>
      <c r="G340" s="1"/>
      <c r="H340" s="1"/>
      <c r="I340" s="1"/>
      <c r="J340" s="1"/>
      <c r="K340" s="1"/>
    </row>
    <row r="341" spans="5:11">
      <c r="E341" s="1"/>
      <c r="F341" s="1"/>
      <c r="G341" s="1"/>
      <c r="H341" s="1"/>
      <c r="I341" s="1"/>
      <c r="J341" s="1"/>
      <c r="K341" s="1"/>
    </row>
    <row r="342" spans="5:11">
      <c r="E342" s="1"/>
      <c r="F342" s="1"/>
      <c r="G342" s="1"/>
      <c r="H342" s="1"/>
      <c r="I342" s="1"/>
      <c r="J342" s="1"/>
      <c r="K342" s="1"/>
    </row>
    <row r="343" spans="5:11">
      <c r="E343" s="1"/>
      <c r="F343" s="1"/>
      <c r="G343" s="1"/>
      <c r="H343" s="1"/>
      <c r="I343" s="1"/>
      <c r="J343" s="1"/>
      <c r="K343" s="1"/>
    </row>
    <row r="344" spans="5:11">
      <c r="E344" s="1"/>
      <c r="F344" s="1"/>
      <c r="G344" s="1"/>
      <c r="H344" s="1"/>
      <c r="I344" s="1"/>
      <c r="J344" s="1"/>
      <c r="K344" s="1"/>
    </row>
    <row r="345" spans="5:11">
      <c r="E345" s="1"/>
      <c r="F345" s="1"/>
      <c r="G345" s="1"/>
      <c r="H345" s="1"/>
      <c r="I345" s="1"/>
      <c r="J345" s="1"/>
      <c r="K345" s="1"/>
    </row>
    <row r="346" spans="5:11">
      <c r="E346" s="1"/>
      <c r="F346" s="1"/>
      <c r="G346" s="1"/>
      <c r="H346" s="1"/>
      <c r="I346" s="1"/>
      <c r="J346" s="1"/>
      <c r="K346" s="1"/>
    </row>
    <row r="347" spans="5:11">
      <c r="E347" s="1"/>
      <c r="F347" s="1"/>
      <c r="G347" s="1"/>
      <c r="H347" s="1"/>
      <c r="I347" s="1"/>
      <c r="J347" s="1"/>
      <c r="K347" s="1"/>
    </row>
    <row r="348" spans="5:11">
      <c r="E348" s="1"/>
      <c r="F348" s="1"/>
      <c r="G348" s="1"/>
      <c r="H348" s="1"/>
      <c r="I348" s="1"/>
      <c r="J348" s="1"/>
      <c r="K348" s="1"/>
    </row>
    <row r="349" spans="5:11">
      <c r="E349" s="1"/>
      <c r="F349" s="1"/>
      <c r="G349" s="1"/>
      <c r="H349" s="1"/>
      <c r="I349" s="1"/>
      <c r="J349" s="1"/>
      <c r="K349" s="1"/>
    </row>
    <row r="350" spans="5:11">
      <c r="E350" s="1"/>
      <c r="F350" s="1"/>
      <c r="G350" s="1"/>
      <c r="H350" s="1"/>
      <c r="I350" s="1"/>
      <c r="J350" s="1"/>
      <c r="K350" s="1"/>
    </row>
    <row r="351" spans="5:11">
      <c r="E351" s="1"/>
      <c r="F351" s="1"/>
      <c r="G351" s="1"/>
      <c r="H351" s="1"/>
      <c r="I351" s="1"/>
      <c r="J351" s="1"/>
      <c r="K351" s="1"/>
    </row>
    <row r="352" spans="5:11">
      <c r="E352" s="1"/>
      <c r="F352" s="1"/>
      <c r="G352" s="1"/>
      <c r="H352" s="1"/>
      <c r="I352" s="1"/>
      <c r="J352" s="1"/>
      <c r="K352" s="1"/>
    </row>
    <row r="353" spans="5:11">
      <c r="E353" s="1"/>
      <c r="F353" s="1"/>
      <c r="G353" s="1"/>
      <c r="H353" s="1"/>
      <c r="I353" s="1"/>
      <c r="J353" s="1"/>
      <c r="K353" s="1"/>
    </row>
    <row r="354" spans="5:11">
      <c r="E354" s="1"/>
      <c r="F354" s="1"/>
      <c r="G354" s="1"/>
      <c r="H354" s="1"/>
      <c r="I354" s="1"/>
      <c r="J354" s="1"/>
      <c r="K354" s="1"/>
    </row>
    <row r="355" spans="5:11">
      <c r="E355" s="1"/>
      <c r="F355" s="1"/>
      <c r="G355" s="1"/>
      <c r="H355" s="1"/>
      <c r="I355" s="1"/>
      <c r="J355" s="1"/>
      <c r="K355" s="1"/>
    </row>
    <row r="356" spans="5:11">
      <c r="E356" s="1"/>
      <c r="F356" s="1"/>
      <c r="G356" s="1"/>
      <c r="H356" s="1"/>
      <c r="I356" s="1"/>
      <c r="J356" s="1"/>
      <c r="K356" s="1"/>
    </row>
    <row r="357" spans="5:11">
      <c r="E357" s="1"/>
      <c r="F357" s="1"/>
      <c r="G357" s="1"/>
      <c r="H357" s="1"/>
      <c r="I357" s="1"/>
      <c r="J357" s="1"/>
      <c r="K357" s="1"/>
    </row>
    <row r="358" spans="5:11">
      <c r="E358" s="1"/>
      <c r="F358" s="1"/>
      <c r="G358" s="1"/>
      <c r="H358" s="1"/>
      <c r="I358" s="1"/>
      <c r="J358" s="1"/>
      <c r="K358" s="1"/>
    </row>
    <row r="359" spans="5:11">
      <c r="E359" s="1"/>
      <c r="F359" s="1"/>
      <c r="G359" s="1"/>
      <c r="H359" s="1"/>
      <c r="I359" s="1"/>
      <c r="J359" s="1"/>
      <c r="K359" s="1"/>
    </row>
    <row r="360" spans="5:11">
      <c r="E360" s="1"/>
      <c r="F360" s="1"/>
      <c r="G360" s="1"/>
      <c r="H360" s="1"/>
      <c r="I360" s="1"/>
      <c r="J360" s="1"/>
      <c r="K360" s="1"/>
    </row>
    <row r="361" spans="5:11">
      <c r="E361" s="1"/>
      <c r="F361" s="1"/>
      <c r="G361" s="1"/>
      <c r="H361" s="1"/>
      <c r="I361" s="1"/>
      <c r="J361" s="1"/>
      <c r="K361" s="1"/>
    </row>
    <row r="362" spans="5:11">
      <c r="E362" s="1"/>
      <c r="F362" s="1"/>
      <c r="G362" s="1"/>
      <c r="H362" s="1"/>
      <c r="I362" s="1"/>
      <c r="J362" s="1"/>
      <c r="K362" s="1"/>
    </row>
    <row r="363" spans="5:11">
      <c r="E363" s="1"/>
      <c r="F363" s="1"/>
      <c r="G363" s="1"/>
      <c r="H363" s="1"/>
      <c r="I363" s="1"/>
      <c r="J363" s="1"/>
      <c r="K363" s="1"/>
    </row>
    <row r="364" spans="5:11">
      <c r="E364" s="1"/>
      <c r="F364" s="1"/>
      <c r="G364" s="1"/>
      <c r="H364" s="1"/>
      <c r="I364" s="1"/>
      <c r="J364" s="1"/>
      <c r="K364" s="1"/>
    </row>
    <row r="365" spans="5:11">
      <c r="E365" s="1"/>
      <c r="F365" s="1"/>
      <c r="G365" s="1"/>
      <c r="H365" s="1"/>
      <c r="I365" s="1"/>
      <c r="J365" s="1"/>
      <c r="K365" s="1"/>
    </row>
    <row r="366" spans="5:11">
      <c r="E366" s="1"/>
      <c r="F366" s="1"/>
      <c r="G366" s="1"/>
      <c r="H366" s="1"/>
      <c r="I366" s="1"/>
      <c r="J366" s="1"/>
      <c r="K366" s="1"/>
    </row>
    <row r="367" spans="5:11">
      <c r="E367" s="1"/>
      <c r="F367" s="1"/>
      <c r="G367" s="1"/>
      <c r="H367" s="1"/>
      <c r="I367" s="1"/>
      <c r="J367" s="1"/>
      <c r="K367" s="1"/>
    </row>
    <row r="368" spans="5:11">
      <c r="E368" s="1"/>
      <c r="F368" s="1"/>
      <c r="G368" s="1"/>
      <c r="H368" s="1"/>
      <c r="I368" s="1"/>
      <c r="J368" s="1"/>
      <c r="K368" s="1"/>
    </row>
    <row r="369" spans="5:11">
      <c r="E369" s="1"/>
      <c r="F369" s="1"/>
      <c r="G369" s="1"/>
      <c r="H369" s="1"/>
      <c r="I369" s="1"/>
      <c r="J369" s="1"/>
      <c r="K369" s="1"/>
    </row>
    <row r="370" spans="5:11">
      <c r="E370" s="1"/>
      <c r="F370" s="1"/>
      <c r="G370" s="1"/>
      <c r="H370" s="1"/>
      <c r="I370" s="1"/>
      <c r="J370" s="1"/>
      <c r="K370" s="1"/>
    </row>
    <row r="371" spans="5:11">
      <c r="E371" s="1"/>
      <c r="F371" s="1"/>
      <c r="G371" s="1"/>
      <c r="H371" s="1"/>
      <c r="I371" s="1"/>
      <c r="J371" s="1"/>
      <c r="K371" s="1"/>
    </row>
    <row r="372" spans="5:11">
      <c r="E372" s="1"/>
      <c r="F372" s="1"/>
      <c r="G372" s="1"/>
      <c r="H372" s="1"/>
      <c r="I372" s="1"/>
      <c r="J372" s="1"/>
      <c r="K372" s="1"/>
    </row>
    <row r="373" spans="5:11">
      <c r="E373" s="1"/>
      <c r="F373" s="1"/>
      <c r="G373" s="1"/>
      <c r="H373" s="1"/>
      <c r="I373" s="1"/>
      <c r="J373" s="1"/>
      <c r="K373" s="1"/>
    </row>
    <row r="374" spans="5:11">
      <c r="E374" s="1"/>
      <c r="F374" s="1"/>
      <c r="G374" s="1"/>
      <c r="H374" s="1"/>
      <c r="I374" s="1"/>
      <c r="J374" s="1"/>
      <c r="K374" s="1"/>
    </row>
    <row r="375" spans="5:11">
      <c r="E375" s="1"/>
      <c r="F375" s="1"/>
      <c r="G375" s="1"/>
      <c r="H375" s="1"/>
      <c r="I375" s="1"/>
      <c r="J375" s="1"/>
      <c r="K375" s="1"/>
    </row>
    <row r="376" spans="5:11">
      <c r="E376" s="1"/>
      <c r="F376" s="1"/>
      <c r="G376" s="1"/>
      <c r="H376" s="1"/>
      <c r="I376" s="1"/>
      <c r="J376" s="1"/>
      <c r="K376" s="1"/>
    </row>
    <row r="377" spans="5:11">
      <c r="E377" s="1"/>
      <c r="F377" s="1"/>
      <c r="G377" s="1"/>
      <c r="H377" s="1"/>
      <c r="I377" s="1"/>
      <c r="J377" s="1"/>
      <c r="K377" s="1"/>
    </row>
    <row r="378" spans="5:11">
      <c r="E378" s="1"/>
      <c r="F378" s="1"/>
      <c r="G378" s="1"/>
      <c r="H378" s="1"/>
      <c r="I378" s="1"/>
      <c r="J378" s="1"/>
      <c r="K378" s="1"/>
    </row>
    <row r="379" spans="5:11">
      <c r="E379" s="1"/>
      <c r="F379" s="1"/>
      <c r="G379" s="1"/>
      <c r="H379" s="1"/>
      <c r="I379" s="1"/>
      <c r="J379" s="1"/>
      <c r="K379" s="1"/>
    </row>
    <row r="380" spans="5:11">
      <c r="E380" s="1"/>
      <c r="F380" s="1"/>
      <c r="G380" s="1"/>
      <c r="H380" s="1"/>
      <c r="I380" s="1"/>
      <c r="J380" s="1"/>
      <c r="K380" s="1"/>
    </row>
    <row r="381" spans="5:11">
      <c r="E381" s="1"/>
      <c r="F381" s="1"/>
      <c r="G381" s="1"/>
      <c r="H381" s="1"/>
      <c r="I381" s="1"/>
      <c r="J381" s="1"/>
      <c r="K381" s="1"/>
    </row>
    <row r="382" spans="5:11">
      <c r="E382" s="1"/>
      <c r="F382" s="1"/>
      <c r="G382" s="1"/>
      <c r="H382" s="1"/>
      <c r="I382" s="1"/>
      <c r="J382" s="1"/>
      <c r="K382" s="1"/>
    </row>
    <row r="383" spans="5:11">
      <c r="E383" s="1"/>
      <c r="F383" s="1"/>
      <c r="G383" s="1"/>
      <c r="H383" s="1"/>
      <c r="I383" s="1"/>
      <c r="J383" s="1"/>
      <c r="K383" s="1"/>
    </row>
    <row r="384" spans="5:11">
      <c r="E384" s="1"/>
      <c r="F384" s="1"/>
      <c r="G384" s="1"/>
      <c r="H384" s="1"/>
      <c r="I384" s="1"/>
      <c r="J384" s="1"/>
      <c r="K384" s="1"/>
    </row>
    <row r="385" spans="5:11">
      <c r="E385" s="1"/>
      <c r="F385" s="1"/>
      <c r="G385" s="1"/>
      <c r="H385" s="1"/>
      <c r="I385" s="1"/>
      <c r="J385" s="1"/>
      <c r="K385" s="1"/>
    </row>
    <row r="386" spans="5:11">
      <c r="E386" s="1"/>
      <c r="F386" s="1"/>
      <c r="G386" s="1"/>
      <c r="H386" s="1"/>
      <c r="I386" s="1"/>
      <c r="J386" s="1"/>
      <c r="K386" s="1"/>
    </row>
    <row r="387" spans="5:11">
      <c r="E387" s="1"/>
      <c r="F387" s="1"/>
      <c r="G387" s="1"/>
      <c r="H387" s="1"/>
      <c r="I387" s="1"/>
      <c r="J387" s="1"/>
      <c r="K387" s="1"/>
    </row>
    <row r="388" spans="5:11">
      <c r="E388" s="1"/>
      <c r="F388" s="1"/>
      <c r="G388" s="1"/>
      <c r="H388" s="1"/>
      <c r="I388" s="1"/>
      <c r="J388" s="1"/>
      <c r="K388" s="1"/>
    </row>
    <row r="389" spans="5:11">
      <c r="E389" s="1"/>
      <c r="F389" s="1"/>
      <c r="G389" s="1"/>
      <c r="H389" s="1"/>
      <c r="I389" s="1"/>
      <c r="J389" s="1"/>
      <c r="K389" s="1"/>
    </row>
    <row r="390" spans="5:11">
      <c r="E390" s="1"/>
      <c r="F390" s="1"/>
      <c r="G390" s="1"/>
      <c r="H390" s="1"/>
      <c r="I390" s="1"/>
      <c r="J390" s="1"/>
      <c r="K390" s="1"/>
    </row>
    <row r="391" spans="5:11">
      <c r="E391" s="1"/>
      <c r="F391" s="1"/>
      <c r="G391" s="1"/>
      <c r="H391" s="1"/>
      <c r="I391" s="1"/>
      <c r="J391" s="1"/>
      <c r="K391" s="1"/>
    </row>
    <row r="392" spans="5:11">
      <c r="E392" s="1"/>
      <c r="F392" s="1"/>
      <c r="G392" s="1"/>
      <c r="H392" s="1"/>
      <c r="I392" s="1"/>
      <c r="J392" s="1"/>
      <c r="K392" s="1"/>
    </row>
    <row r="393" spans="5:11">
      <c r="E393" s="1"/>
      <c r="F393" s="1"/>
      <c r="G393" s="1"/>
      <c r="H393" s="1"/>
      <c r="I393" s="1"/>
      <c r="J393" s="1"/>
      <c r="K393" s="1"/>
    </row>
    <row r="394" spans="5:11">
      <c r="E394" s="1"/>
      <c r="F394" s="1"/>
      <c r="G394" s="1"/>
      <c r="H394" s="1"/>
      <c r="I394" s="1"/>
      <c r="J394" s="1"/>
      <c r="K394" s="1"/>
    </row>
    <row r="395" spans="5:11">
      <c r="E395" s="1"/>
      <c r="F395" s="1"/>
      <c r="G395" s="1"/>
      <c r="H395" s="1"/>
      <c r="I395" s="1"/>
      <c r="J395" s="1"/>
      <c r="K395" s="1"/>
    </row>
    <row r="396" spans="5:11">
      <c r="E396" s="1"/>
      <c r="F396" s="1"/>
      <c r="G396" s="1"/>
      <c r="H396" s="1"/>
      <c r="I396" s="1"/>
      <c r="J396" s="1"/>
      <c r="K396" s="1"/>
    </row>
    <row r="397" spans="5:11">
      <c r="E397" s="1"/>
      <c r="F397" s="1"/>
      <c r="G397" s="1"/>
      <c r="H397" s="1"/>
      <c r="I397" s="1"/>
      <c r="J397" s="1"/>
      <c r="K397" s="1"/>
    </row>
    <row r="398" spans="5:11">
      <c r="E398" s="1"/>
      <c r="F398" s="1"/>
      <c r="G398" s="1"/>
      <c r="H398" s="1"/>
      <c r="I398" s="1"/>
      <c r="J398" s="1"/>
      <c r="K398" s="1"/>
    </row>
    <row r="399" spans="5:11">
      <c r="E399" s="1"/>
      <c r="F399" s="1"/>
      <c r="G399" s="1"/>
      <c r="H399" s="1"/>
      <c r="I399" s="1"/>
      <c r="J399" s="1"/>
      <c r="K399" s="1"/>
    </row>
    <row r="400" spans="5:11">
      <c r="E400" s="1"/>
      <c r="F400" s="1"/>
      <c r="G400" s="1"/>
      <c r="H400" s="1"/>
      <c r="I400" s="1"/>
      <c r="J400" s="1"/>
      <c r="K400" s="1"/>
    </row>
    <row r="401" spans="5:11">
      <c r="E401" s="1"/>
      <c r="F401" s="1"/>
      <c r="G401" s="1"/>
      <c r="H401" s="1"/>
      <c r="I401" s="1"/>
      <c r="J401" s="1"/>
      <c r="K401" s="1"/>
    </row>
    <row r="402" spans="5:11">
      <c r="E402" s="1"/>
      <c r="F402" s="1"/>
      <c r="G402" s="1"/>
      <c r="H402" s="1"/>
      <c r="I402" s="1"/>
      <c r="J402" s="1"/>
      <c r="K402" s="1"/>
    </row>
    <row r="403" spans="5:11">
      <c r="E403" s="1"/>
      <c r="F403" s="1"/>
      <c r="G403" s="1"/>
      <c r="H403" s="1"/>
      <c r="I403" s="1"/>
      <c r="J403" s="1"/>
      <c r="K403" s="1"/>
    </row>
    <row r="404" spans="5:11">
      <c r="E404" s="1"/>
      <c r="F404" s="1"/>
      <c r="G404" s="1"/>
      <c r="H404" s="1"/>
      <c r="I404" s="1"/>
      <c r="J404" s="1"/>
      <c r="K404" s="1"/>
    </row>
    <row r="405" spans="5:11">
      <c r="E405" s="1"/>
      <c r="F405" s="1"/>
      <c r="G405" s="1"/>
      <c r="H405" s="1"/>
      <c r="I405" s="1"/>
      <c r="J405" s="1"/>
      <c r="K405" s="1"/>
    </row>
    <row r="406" spans="5:11">
      <c r="E406" s="1"/>
      <c r="F406" s="1"/>
      <c r="G406" s="1"/>
      <c r="H406" s="1"/>
      <c r="I406" s="1"/>
      <c r="J406" s="1"/>
      <c r="K406" s="1"/>
    </row>
    <row r="407" spans="5:11">
      <c r="E407" s="1"/>
      <c r="F407" s="1"/>
      <c r="G407" s="1"/>
      <c r="H407" s="1"/>
      <c r="I407" s="1"/>
      <c r="J407" s="1"/>
      <c r="K407" s="1"/>
    </row>
    <row r="408" spans="5:11">
      <c r="E408" s="1"/>
      <c r="F408" s="1"/>
      <c r="G408" s="1"/>
      <c r="H408" s="1"/>
      <c r="I408" s="1"/>
      <c r="J408" s="1"/>
      <c r="K408" s="1"/>
    </row>
    <row r="409" spans="5:11">
      <c r="E409" s="1"/>
      <c r="F409" s="1"/>
      <c r="G409" s="1"/>
      <c r="H409" s="1"/>
      <c r="I409" s="1"/>
      <c r="J409" s="1"/>
      <c r="K409" s="1"/>
    </row>
    <row r="410" spans="5:11">
      <c r="E410" s="1"/>
      <c r="F410" s="1"/>
      <c r="G410" s="1"/>
      <c r="H410" s="1"/>
      <c r="I410" s="1"/>
      <c r="J410" s="1"/>
      <c r="K410" s="1"/>
    </row>
    <row r="411" spans="5:11">
      <c r="E411" s="1"/>
      <c r="F411" s="1"/>
      <c r="G411" s="1"/>
      <c r="H411" s="1"/>
      <c r="I411" s="1"/>
      <c r="J411" s="1"/>
      <c r="K411" s="1"/>
    </row>
    <row r="412" spans="5:11">
      <c r="E412" s="1"/>
      <c r="F412" s="1"/>
      <c r="G412" s="1"/>
      <c r="H412" s="1"/>
      <c r="I412" s="1"/>
      <c r="J412" s="1"/>
      <c r="K412" s="1"/>
    </row>
    <row r="413" spans="5:11">
      <c r="E413" s="1"/>
      <c r="F413" s="1"/>
      <c r="G413" s="1"/>
      <c r="H413" s="1"/>
      <c r="I413" s="1"/>
      <c r="J413" s="1"/>
      <c r="K413" s="1"/>
    </row>
    <row r="414" spans="5:11">
      <c r="E414" s="1"/>
      <c r="F414" s="1"/>
      <c r="G414" s="1"/>
      <c r="H414" s="1"/>
      <c r="I414" s="1"/>
      <c r="J414" s="1"/>
      <c r="K414" s="1"/>
    </row>
    <row r="415" spans="5:11">
      <c r="E415" s="1"/>
      <c r="F415" s="1"/>
      <c r="G415" s="1"/>
      <c r="H415" s="1"/>
      <c r="I415" s="1"/>
      <c r="J415" s="1"/>
      <c r="K415" s="1"/>
    </row>
    <row r="416" spans="5:11">
      <c r="E416" s="1"/>
      <c r="F416" s="1"/>
      <c r="G416" s="1"/>
      <c r="H416" s="1"/>
      <c r="I416" s="1"/>
      <c r="J416" s="1"/>
      <c r="K416" s="1"/>
    </row>
    <row r="417" spans="5:11">
      <c r="E417" s="1"/>
      <c r="F417" s="1"/>
      <c r="G417" s="1"/>
      <c r="H417" s="1"/>
      <c r="I417" s="1"/>
      <c r="J417" s="1"/>
      <c r="K417" s="1"/>
    </row>
    <row r="418" spans="5:11">
      <c r="E418" s="1"/>
      <c r="F418" s="1"/>
      <c r="G418" s="1"/>
      <c r="H418" s="1"/>
      <c r="I418" s="1"/>
      <c r="J418" s="1"/>
      <c r="K418" s="1"/>
    </row>
    <row r="419" spans="5:11">
      <c r="E419" s="1"/>
      <c r="F419" s="1"/>
      <c r="G419" s="1"/>
      <c r="H419" s="1"/>
      <c r="I419" s="1"/>
      <c r="J419" s="1"/>
      <c r="K419" s="1"/>
    </row>
    <row r="420" spans="5:11">
      <c r="E420" s="1"/>
      <c r="F420" s="1"/>
      <c r="G420" s="1"/>
      <c r="H420" s="1"/>
      <c r="I420" s="1"/>
      <c r="J420" s="1"/>
      <c r="K420" s="1"/>
    </row>
    <row r="421" spans="5:11">
      <c r="E421" s="1"/>
      <c r="F421" s="1"/>
      <c r="G421" s="1"/>
      <c r="H421" s="1"/>
      <c r="I421" s="1"/>
      <c r="J421" s="1"/>
      <c r="K421" s="1"/>
    </row>
    <row r="422" spans="5:11">
      <c r="E422" s="1"/>
      <c r="F422" s="1"/>
      <c r="G422" s="1"/>
      <c r="H422" s="1"/>
      <c r="I422" s="1"/>
      <c r="J422" s="1"/>
      <c r="K422" s="1"/>
    </row>
    <row r="423" spans="5:11">
      <c r="E423" s="1"/>
      <c r="F423" s="1"/>
      <c r="G423" s="1"/>
      <c r="H423" s="1"/>
      <c r="I423" s="1"/>
      <c r="J423" s="1"/>
      <c r="K423" s="1"/>
    </row>
    <row r="424" spans="5:11">
      <c r="E424" s="1"/>
      <c r="F424" s="1"/>
      <c r="G424" s="1"/>
      <c r="H424" s="1"/>
      <c r="I424" s="1"/>
      <c r="J424" s="1"/>
      <c r="K424" s="1"/>
    </row>
    <row r="425" spans="5:11">
      <c r="E425" s="1"/>
      <c r="F425" s="1"/>
      <c r="G425" s="1"/>
      <c r="H425" s="1"/>
      <c r="I425" s="1"/>
      <c r="J425" s="1"/>
      <c r="K425" s="1"/>
    </row>
    <row r="426" spans="5:11">
      <c r="E426" s="1"/>
      <c r="F426" s="1"/>
      <c r="G426" s="1"/>
      <c r="H426" s="1"/>
      <c r="I426" s="1"/>
      <c r="J426" s="1"/>
      <c r="K426" s="1"/>
    </row>
    <row r="427" spans="5:11">
      <c r="E427" s="1"/>
      <c r="F427" s="1"/>
      <c r="G427" s="1"/>
      <c r="H427" s="1"/>
      <c r="I427" s="1"/>
      <c r="J427" s="1"/>
      <c r="K427" s="1"/>
    </row>
    <row r="428" spans="5:11">
      <c r="E428" s="1"/>
      <c r="F428" s="1"/>
      <c r="G428" s="1"/>
      <c r="H428" s="1"/>
      <c r="I428" s="1"/>
      <c r="J428" s="1"/>
      <c r="K428" s="1"/>
    </row>
    <row r="429" spans="5:11">
      <c r="E429" s="1"/>
      <c r="F429" s="1"/>
      <c r="G429" s="1"/>
      <c r="H429" s="1"/>
      <c r="I429" s="1"/>
      <c r="J429" s="1"/>
      <c r="K429" s="1"/>
    </row>
    <row r="430" spans="5:11">
      <c r="E430" s="1"/>
      <c r="F430" s="1"/>
      <c r="G430" s="1"/>
      <c r="H430" s="1"/>
      <c r="I430" s="1"/>
      <c r="J430" s="1"/>
      <c r="K430" s="1"/>
    </row>
    <row r="431" spans="5:11">
      <c r="E431" s="1"/>
      <c r="F431" s="1"/>
      <c r="G431" s="1"/>
      <c r="H431" s="1"/>
      <c r="I431" s="1"/>
      <c r="J431" s="1"/>
      <c r="K431" s="1"/>
    </row>
    <row r="432" spans="5:11">
      <c r="E432" s="1"/>
      <c r="F432" s="1"/>
      <c r="G432" s="1"/>
      <c r="H432" s="1"/>
      <c r="I432" s="1"/>
      <c r="J432" s="1"/>
      <c r="K432" s="1"/>
    </row>
    <row r="433" spans="5:11">
      <c r="E433" s="1"/>
      <c r="F433" s="1"/>
      <c r="G433" s="1"/>
      <c r="H433" s="1"/>
      <c r="I433" s="1"/>
      <c r="J433" s="1"/>
      <c r="K433" s="1"/>
    </row>
    <row r="434" spans="5:11">
      <c r="E434" s="1"/>
      <c r="F434" s="1"/>
      <c r="G434" s="1"/>
      <c r="H434" s="1"/>
      <c r="I434" s="1"/>
      <c r="J434" s="1"/>
      <c r="K434" s="1"/>
    </row>
    <row r="435" spans="5:11">
      <c r="E435" s="1"/>
      <c r="F435" s="1"/>
      <c r="G435" s="1"/>
      <c r="H435" s="1"/>
      <c r="I435" s="1"/>
      <c r="J435" s="1"/>
      <c r="K435" s="1"/>
    </row>
    <row r="436" spans="5:11">
      <c r="E436" s="1"/>
      <c r="F436" s="1"/>
      <c r="G436" s="1"/>
      <c r="H436" s="1"/>
      <c r="I436" s="1"/>
      <c r="J436" s="1"/>
      <c r="K436" s="1"/>
    </row>
    <row r="437" spans="5:11">
      <c r="E437" s="1"/>
      <c r="F437" s="1"/>
      <c r="G437" s="1"/>
      <c r="H437" s="1"/>
      <c r="I437" s="1"/>
      <c r="J437" s="1"/>
      <c r="K437" s="1"/>
    </row>
    <row r="438" spans="5:11">
      <c r="E438" s="1"/>
      <c r="F438" s="1"/>
      <c r="G438" s="1"/>
      <c r="H438" s="1"/>
      <c r="I438" s="1"/>
      <c r="J438" s="1"/>
      <c r="K438" s="1"/>
    </row>
    <row r="439" spans="5:11">
      <c r="E439" s="1"/>
      <c r="F439" s="1"/>
      <c r="G439" s="1"/>
      <c r="H439" s="1"/>
      <c r="I439" s="1"/>
      <c r="J439" s="1"/>
      <c r="K439" s="1"/>
    </row>
    <row r="440" spans="5:11">
      <c r="E440" s="1"/>
      <c r="F440" s="1"/>
      <c r="G440" s="1"/>
      <c r="H440" s="1"/>
      <c r="I440" s="1"/>
      <c r="J440" s="1"/>
      <c r="K440" s="1"/>
    </row>
    <row r="441" spans="5:11">
      <c r="E441" s="1"/>
      <c r="F441" s="1"/>
      <c r="G441" s="1"/>
      <c r="H441" s="1"/>
      <c r="I441" s="1"/>
      <c r="J441" s="1"/>
      <c r="K441" s="1"/>
    </row>
    <row r="442" spans="5:11">
      <c r="E442" s="1"/>
      <c r="F442" s="1"/>
      <c r="G442" s="1"/>
      <c r="H442" s="1"/>
      <c r="I442" s="1"/>
      <c r="J442" s="1"/>
      <c r="K442" s="1"/>
    </row>
    <row r="443" spans="5:11">
      <c r="E443" s="1"/>
      <c r="F443" s="1"/>
      <c r="G443" s="1"/>
      <c r="H443" s="1"/>
      <c r="I443" s="1"/>
      <c r="J443" s="1"/>
      <c r="K443" s="1"/>
    </row>
    <row r="444" spans="5:11">
      <c r="E444" s="1"/>
      <c r="F444" s="1"/>
      <c r="G444" s="1"/>
      <c r="H444" s="1"/>
      <c r="I444" s="1"/>
      <c r="J444" s="1"/>
      <c r="K444" s="1"/>
    </row>
    <row r="445" spans="5:11">
      <c r="E445" s="1"/>
      <c r="F445" s="1"/>
      <c r="G445" s="1"/>
      <c r="H445" s="1"/>
      <c r="I445" s="1"/>
      <c r="J445" s="1"/>
      <c r="K445" s="1"/>
    </row>
    <row r="446" spans="5:11">
      <c r="E446" s="1"/>
      <c r="F446" s="1"/>
      <c r="G446" s="1"/>
      <c r="H446" s="1"/>
      <c r="I446" s="1"/>
      <c r="J446" s="1"/>
      <c r="K446" s="1"/>
    </row>
    <row r="447" spans="5:11">
      <c r="E447" s="1"/>
      <c r="F447" s="1"/>
      <c r="G447" s="1"/>
      <c r="H447" s="1"/>
      <c r="I447" s="1"/>
      <c r="J447" s="1"/>
      <c r="K447" s="1"/>
    </row>
    <row r="448" spans="5:11">
      <c r="E448" s="1"/>
      <c r="F448" s="1"/>
      <c r="G448" s="1"/>
      <c r="H448" s="1"/>
      <c r="I448" s="1"/>
      <c r="J448" s="1"/>
      <c r="K448" s="1"/>
    </row>
    <row r="449" spans="5:11">
      <c r="E449" s="1"/>
      <c r="F449" s="1"/>
      <c r="G449" s="1"/>
      <c r="H449" s="1"/>
      <c r="I449" s="1"/>
      <c r="J449" s="1"/>
      <c r="K449" s="1"/>
    </row>
    <row r="450" spans="5:11">
      <c r="E450" s="1"/>
      <c r="F450" s="1"/>
      <c r="G450" s="1"/>
      <c r="H450" s="1"/>
      <c r="I450" s="1"/>
      <c r="J450" s="1"/>
      <c r="K450" s="1"/>
    </row>
    <row r="451" spans="5:11">
      <c r="E451" s="1"/>
      <c r="F451" s="1"/>
      <c r="G451" s="1"/>
      <c r="H451" s="1"/>
      <c r="I451" s="1"/>
      <c r="J451" s="1"/>
      <c r="K451" s="1"/>
    </row>
    <row r="452" spans="5:11">
      <c r="E452" s="1"/>
      <c r="F452" s="1"/>
      <c r="G452" s="1"/>
      <c r="H452" s="1"/>
      <c r="I452" s="1"/>
      <c r="J452" s="1"/>
      <c r="K452" s="1"/>
    </row>
    <row r="453" spans="5:11">
      <c r="E453" s="1"/>
      <c r="F453" s="1"/>
      <c r="G453" s="1"/>
      <c r="H453" s="1"/>
      <c r="I453" s="1"/>
      <c r="J453" s="1"/>
      <c r="K453" s="1"/>
    </row>
    <row r="454" spans="5:11">
      <c r="E454" s="1"/>
      <c r="F454" s="1"/>
      <c r="G454" s="1"/>
      <c r="H454" s="1"/>
      <c r="I454" s="1"/>
      <c r="J454" s="1"/>
      <c r="K454" s="1"/>
    </row>
    <row r="455" spans="5:11">
      <c r="E455" s="1"/>
      <c r="F455" s="1"/>
      <c r="G455" s="1"/>
      <c r="H455" s="1"/>
      <c r="I455" s="1"/>
      <c r="J455" s="1"/>
      <c r="K455" s="1"/>
    </row>
    <row r="456" spans="5:11">
      <c r="E456" s="1"/>
      <c r="F456" s="1"/>
      <c r="G456" s="1"/>
      <c r="H456" s="1"/>
      <c r="I456" s="1"/>
      <c r="J456" s="1"/>
      <c r="K456" s="1"/>
    </row>
    <row r="457" spans="5:11">
      <c r="E457" s="1"/>
      <c r="F457" s="1"/>
      <c r="G457" s="1"/>
      <c r="H457" s="1"/>
      <c r="I457" s="1"/>
      <c r="J457" s="1"/>
      <c r="K457" s="1"/>
    </row>
    <row r="458" spans="5:11">
      <c r="E458" s="1"/>
      <c r="F458" s="1"/>
      <c r="G458" s="1"/>
      <c r="H458" s="1"/>
      <c r="I458" s="1"/>
      <c r="J458" s="1"/>
      <c r="K458" s="1"/>
    </row>
    <row r="459" spans="5:11">
      <c r="E459" s="1"/>
      <c r="F459" s="1"/>
      <c r="G459" s="1"/>
      <c r="H459" s="1"/>
      <c r="I459" s="1"/>
      <c r="J459" s="1"/>
      <c r="K459" s="1"/>
    </row>
    <row r="460" spans="5:11">
      <c r="E460" s="1"/>
      <c r="F460" s="1"/>
      <c r="G460" s="1"/>
      <c r="H460" s="1"/>
      <c r="I460" s="1"/>
      <c r="J460" s="1"/>
      <c r="K460" s="1"/>
    </row>
    <row r="461" spans="5:11">
      <c r="E461" s="1"/>
      <c r="F461" s="1"/>
      <c r="G461" s="1"/>
      <c r="H461" s="1"/>
      <c r="I461" s="1"/>
      <c r="J461" s="1"/>
      <c r="K461" s="1"/>
    </row>
    <row r="462" spans="5:11">
      <c r="E462" s="1"/>
      <c r="F462" s="1"/>
      <c r="G462" s="1"/>
      <c r="H462" s="1"/>
      <c r="I462" s="1"/>
      <c r="J462" s="1"/>
      <c r="K462" s="1"/>
    </row>
    <row r="463" spans="5:11">
      <c r="E463" s="1"/>
      <c r="F463" s="1"/>
      <c r="G463" s="1"/>
      <c r="H463" s="1"/>
      <c r="I463" s="1"/>
      <c r="J463" s="1"/>
      <c r="K463" s="1"/>
    </row>
    <row r="464" spans="5:11">
      <c r="E464" s="1"/>
      <c r="F464" s="1"/>
      <c r="G464" s="1"/>
      <c r="H464" s="1"/>
      <c r="I464" s="1"/>
      <c r="J464" s="1"/>
      <c r="K464" s="1"/>
    </row>
    <row r="465" spans="5:11">
      <c r="E465" s="1"/>
      <c r="F465" s="1"/>
      <c r="G465" s="1"/>
      <c r="H465" s="1"/>
      <c r="I465" s="1"/>
      <c r="J465" s="1"/>
      <c r="K465" s="1"/>
    </row>
    <row r="466" spans="5:11">
      <c r="E466" s="1"/>
      <c r="F466" s="1"/>
      <c r="G466" s="1"/>
      <c r="H466" s="1"/>
      <c r="I466" s="1"/>
      <c r="J466" s="1"/>
      <c r="K466" s="1"/>
    </row>
    <row r="467" spans="5:11">
      <c r="E467" s="1"/>
      <c r="F467" s="1"/>
      <c r="G467" s="1"/>
      <c r="H467" s="1"/>
      <c r="I467" s="1"/>
      <c r="J467" s="1"/>
      <c r="K467" s="1"/>
    </row>
    <row r="468" spans="5:11">
      <c r="E468" s="1"/>
      <c r="F468" s="1"/>
      <c r="G468" s="1"/>
      <c r="H468" s="1"/>
      <c r="I468" s="1"/>
      <c r="J468" s="1"/>
      <c r="K468" s="1"/>
    </row>
    <row r="469" spans="5:11">
      <c r="E469" s="1"/>
      <c r="F469" s="1"/>
      <c r="G469" s="1"/>
      <c r="H469" s="1"/>
      <c r="I469" s="1"/>
      <c r="J469" s="1"/>
      <c r="K469" s="1"/>
    </row>
    <row r="470" spans="5:11">
      <c r="E470" s="1"/>
      <c r="F470" s="1"/>
      <c r="G470" s="1"/>
      <c r="H470" s="1"/>
      <c r="I470" s="1"/>
      <c r="J470" s="1"/>
      <c r="K470" s="1"/>
    </row>
    <row r="471" spans="5:11">
      <c r="E471" s="1"/>
      <c r="F471" s="1"/>
      <c r="G471" s="1"/>
      <c r="H471" s="1"/>
      <c r="I471" s="1"/>
      <c r="J471" s="1"/>
      <c r="K471" s="1"/>
    </row>
    <row r="472" spans="5:11">
      <c r="E472" s="1"/>
      <c r="F472" s="1"/>
      <c r="G472" s="1"/>
      <c r="H472" s="1"/>
      <c r="I472" s="1"/>
      <c r="J472" s="1"/>
      <c r="K472" s="1"/>
    </row>
    <row r="473" spans="5:11">
      <c r="E473" s="1"/>
      <c r="F473" s="1"/>
      <c r="G473" s="1"/>
      <c r="H473" s="1"/>
      <c r="I473" s="1"/>
      <c r="J473" s="1"/>
      <c r="K473" s="1"/>
    </row>
    <row r="474" spans="5:11">
      <c r="E474" s="1"/>
      <c r="F474" s="1"/>
      <c r="G474" s="1"/>
      <c r="H474" s="1"/>
      <c r="I474" s="1"/>
      <c r="J474" s="1"/>
      <c r="K474" s="1"/>
    </row>
    <row r="475" spans="5:11">
      <c r="E475" s="1"/>
      <c r="F475" s="1"/>
      <c r="G475" s="1"/>
      <c r="H475" s="1"/>
      <c r="I475" s="1"/>
      <c r="J475" s="1"/>
      <c r="K475" s="1"/>
    </row>
    <row r="476" spans="5:11">
      <c r="E476" s="1"/>
      <c r="F476" s="1"/>
      <c r="G476" s="1"/>
      <c r="H476" s="1"/>
      <c r="I476" s="1"/>
      <c r="J476" s="1"/>
      <c r="K476" s="1"/>
    </row>
    <row r="477" spans="5:11">
      <c r="E477" s="1"/>
      <c r="F477" s="1"/>
      <c r="G477" s="1"/>
      <c r="H477" s="1"/>
      <c r="I477" s="1"/>
      <c r="J477" s="1"/>
      <c r="K477" s="1"/>
    </row>
    <row r="478" spans="5:11">
      <c r="E478" s="1"/>
      <c r="F478" s="1"/>
      <c r="G478" s="1"/>
      <c r="H478" s="1"/>
      <c r="I478" s="1"/>
      <c r="J478" s="1"/>
      <c r="K478" s="1"/>
    </row>
    <row r="479" spans="5:11">
      <c r="E479" s="1"/>
      <c r="F479" s="1"/>
      <c r="G479" s="1"/>
      <c r="H479" s="1"/>
      <c r="I479" s="1"/>
      <c r="J479" s="1"/>
      <c r="K479" s="1"/>
    </row>
    <row r="480" spans="5:11">
      <c r="E480" s="1"/>
      <c r="F480" s="1"/>
      <c r="G480" s="1"/>
      <c r="H480" s="1"/>
      <c r="I480" s="1"/>
      <c r="J480" s="1"/>
      <c r="K480" s="1"/>
    </row>
    <row r="481" spans="5:11">
      <c r="E481" s="1"/>
      <c r="F481" s="1"/>
      <c r="G481" s="1"/>
      <c r="H481" s="1"/>
      <c r="I481" s="1"/>
      <c r="J481" s="1"/>
      <c r="K481" s="1"/>
    </row>
    <row r="482" spans="5:11">
      <c r="E482" s="1"/>
      <c r="F482" s="1"/>
      <c r="G482" s="1"/>
      <c r="H482" s="1"/>
      <c r="I482" s="1"/>
      <c r="J482" s="1"/>
      <c r="K482" s="1"/>
    </row>
    <row r="483" spans="5:11">
      <c r="E483" s="1"/>
      <c r="F483" s="1"/>
      <c r="G483" s="1"/>
      <c r="H483" s="1"/>
      <c r="I483" s="1"/>
      <c r="J483" s="1"/>
      <c r="K483" s="1"/>
    </row>
    <row r="484" spans="5:11">
      <c r="E484" s="1"/>
      <c r="F484" s="1"/>
      <c r="G484" s="1"/>
      <c r="H484" s="1"/>
      <c r="I484" s="1"/>
      <c r="J484" s="1"/>
      <c r="K484" s="1"/>
    </row>
    <row r="485" spans="5:11">
      <c r="E485" s="1"/>
      <c r="F485" s="1"/>
      <c r="G485" s="1"/>
      <c r="H485" s="1"/>
      <c r="I485" s="1"/>
      <c r="J485" s="1"/>
      <c r="K485" s="1"/>
    </row>
    <row r="486" spans="5:11">
      <c r="E486" s="1"/>
      <c r="F486" s="1"/>
      <c r="G486" s="1"/>
      <c r="H486" s="1"/>
      <c r="I486" s="1"/>
      <c r="J486" s="1"/>
      <c r="K486" s="1"/>
    </row>
    <row r="487" spans="5:11">
      <c r="E487" s="1"/>
      <c r="F487" s="1"/>
      <c r="G487" s="1"/>
      <c r="H487" s="1"/>
      <c r="I487" s="1"/>
      <c r="J487" s="1"/>
      <c r="K487" s="1"/>
    </row>
    <row r="488" spans="5:11">
      <c r="E488" s="1"/>
      <c r="F488" s="1"/>
      <c r="G488" s="1"/>
      <c r="H488" s="1"/>
      <c r="I488" s="1"/>
      <c r="J488" s="1"/>
      <c r="K488" s="1"/>
    </row>
    <row r="489" spans="5:11">
      <c r="E489" s="1"/>
      <c r="F489" s="1"/>
      <c r="G489" s="1"/>
      <c r="H489" s="1"/>
      <c r="I489" s="1"/>
      <c r="J489" s="1"/>
      <c r="K489" s="1"/>
    </row>
    <row r="490" spans="5:11">
      <c r="E490" s="1"/>
      <c r="F490" s="1"/>
      <c r="G490" s="1"/>
      <c r="H490" s="1"/>
      <c r="I490" s="1"/>
      <c r="J490" s="1"/>
      <c r="K490" s="1"/>
    </row>
    <row r="491" spans="5:11">
      <c r="E491" s="1"/>
      <c r="F491" s="1"/>
      <c r="G491" s="1"/>
      <c r="H491" s="1"/>
      <c r="I491" s="1"/>
      <c r="J491" s="1"/>
      <c r="K491" s="1"/>
    </row>
    <row r="492" spans="5:11">
      <c r="E492" s="1"/>
      <c r="F492" s="1"/>
      <c r="G492" s="1"/>
      <c r="H492" s="1"/>
      <c r="I492" s="1"/>
      <c r="J492" s="1"/>
      <c r="K492" s="1"/>
    </row>
    <row r="493" spans="5:11">
      <c r="E493" s="1"/>
      <c r="F493" s="1"/>
      <c r="G493" s="1"/>
      <c r="H493" s="1"/>
      <c r="I493" s="1"/>
      <c r="J493" s="1"/>
      <c r="K493" s="1"/>
    </row>
    <row r="494" spans="5:11">
      <c r="E494" s="1"/>
      <c r="F494" s="1"/>
      <c r="G494" s="1"/>
      <c r="H494" s="1"/>
      <c r="I494" s="1"/>
      <c r="J494" s="1"/>
      <c r="K494" s="1"/>
    </row>
    <row r="495" spans="5:11">
      <c r="E495" s="1"/>
      <c r="F495" s="1"/>
      <c r="G495" s="1"/>
      <c r="H495" s="1"/>
      <c r="I495" s="1"/>
      <c r="J495" s="1"/>
      <c r="K495" s="1"/>
    </row>
    <row r="496" spans="5:11">
      <c r="E496" s="1"/>
      <c r="F496" s="1"/>
      <c r="G496" s="1"/>
      <c r="H496" s="1"/>
      <c r="I496" s="1"/>
      <c r="J496" s="1"/>
      <c r="K496" s="1"/>
    </row>
    <row r="497" spans="5:11">
      <c r="E497" s="1"/>
      <c r="F497" s="1"/>
      <c r="G497" s="1"/>
      <c r="H497" s="1"/>
      <c r="I497" s="1"/>
      <c r="J497" s="1"/>
      <c r="K497" s="1"/>
    </row>
    <row r="498" spans="5:11">
      <c r="E498" s="1"/>
      <c r="F498" s="1"/>
      <c r="G498" s="1"/>
      <c r="H498" s="1"/>
      <c r="I498" s="1"/>
      <c r="J498" s="1"/>
      <c r="K498" s="1"/>
    </row>
    <row r="499" spans="5:11">
      <c r="E499" s="1"/>
      <c r="F499" s="1"/>
      <c r="G499" s="1"/>
      <c r="H499" s="1"/>
      <c r="I499" s="1"/>
      <c r="J499" s="1"/>
      <c r="K499" s="1"/>
    </row>
    <row r="500" spans="5:11">
      <c r="E500" s="1"/>
      <c r="F500" s="1"/>
      <c r="G500" s="1"/>
      <c r="H500" s="1"/>
      <c r="I500" s="1"/>
      <c r="J500" s="1"/>
      <c r="K500" s="1"/>
    </row>
    <row r="501" spans="5:11">
      <c r="E501" s="1"/>
      <c r="F501" s="1"/>
      <c r="G501" s="1"/>
      <c r="H501" s="1"/>
      <c r="I501" s="1"/>
      <c r="J501" s="1"/>
      <c r="K501" s="1"/>
    </row>
    <row r="502" spans="5:11">
      <c r="E502" s="1"/>
      <c r="F502" s="1"/>
      <c r="G502" s="1"/>
      <c r="H502" s="1"/>
      <c r="I502" s="1"/>
      <c r="J502" s="1"/>
      <c r="K502" s="1"/>
    </row>
    <row r="503" spans="5:11">
      <c r="E503" s="1"/>
      <c r="F503" s="1"/>
      <c r="G503" s="1"/>
      <c r="H503" s="1"/>
      <c r="I503" s="1"/>
      <c r="J503" s="1"/>
      <c r="K503" s="1"/>
    </row>
    <row r="504" spans="5:11">
      <c r="E504" s="1"/>
      <c r="F504" s="1"/>
      <c r="G504" s="1"/>
      <c r="H504" s="1"/>
      <c r="I504" s="1"/>
      <c r="J504" s="1"/>
      <c r="K504" s="1"/>
    </row>
    <row r="505" spans="5:11">
      <c r="E505" s="1"/>
      <c r="F505" s="1"/>
      <c r="G505" s="1"/>
      <c r="H505" s="1"/>
      <c r="I505" s="1"/>
      <c r="J505" s="1"/>
      <c r="K505" s="1"/>
    </row>
    <row r="506" spans="5:11">
      <c r="E506" s="1"/>
      <c r="F506" s="1"/>
      <c r="G506" s="1"/>
      <c r="H506" s="1"/>
      <c r="I506" s="1"/>
      <c r="J506" s="1"/>
      <c r="K506" s="1"/>
    </row>
    <row r="507" spans="5:11">
      <c r="E507" s="1"/>
      <c r="F507" s="1"/>
      <c r="G507" s="1"/>
      <c r="H507" s="1"/>
      <c r="I507" s="1"/>
      <c r="J507" s="1"/>
      <c r="K507" s="1"/>
    </row>
    <row r="508" spans="5:11">
      <c r="E508" s="1"/>
      <c r="F508" s="1"/>
      <c r="G508" s="1"/>
      <c r="H508" s="1"/>
      <c r="I508" s="1"/>
      <c r="J508" s="1"/>
      <c r="K508" s="1"/>
    </row>
    <row r="509" spans="5:11">
      <c r="E509" s="1"/>
      <c r="F509" s="1"/>
      <c r="G509" s="1"/>
      <c r="H509" s="1"/>
      <c r="I509" s="1"/>
      <c r="J509" s="1"/>
      <c r="K509" s="1"/>
    </row>
    <row r="510" spans="5:11">
      <c r="E510" s="1"/>
      <c r="F510" s="1"/>
      <c r="G510" s="1"/>
      <c r="H510" s="1"/>
      <c r="I510" s="1"/>
      <c r="J510" s="1"/>
      <c r="K510" s="1"/>
    </row>
    <row r="511" spans="5:11">
      <c r="E511" s="1"/>
      <c r="F511" s="1"/>
      <c r="G511" s="1"/>
      <c r="H511" s="1"/>
      <c r="I511" s="1"/>
      <c r="J511" s="1"/>
      <c r="K511" s="1"/>
    </row>
    <row r="512" spans="5:11">
      <c r="E512" s="1"/>
      <c r="F512" s="1"/>
      <c r="G512" s="1"/>
      <c r="H512" s="1"/>
      <c r="I512" s="1"/>
      <c r="J512" s="1"/>
      <c r="K512" s="1"/>
    </row>
    <row r="513" spans="5:11">
      <c r="E513" s="1"/>
      <c r="F513" s="1"/>
      <c r="G513" s="1"/>
      <c r="H513" s="1"/>
      <c r="I513" s="1"/>
      <c r="J513" s="1"/>
      <c r="K513" s="1"/>
    </row>
    <row r="514" spans="5:11">
      <c r="E514" s="1"/>
      <c r="F514" s="1"/>
      <c r="G514" s="1"/>
      <c r="H514" s="1"/>
      <c r="I514" s="1"/>
      <c r="J514" s="1"/>
      <c r="K514" s="1"/>
    </row>
    <row r="515" spans="5:11">
      <c r="E515" s="1"/>
      <c r="F515" s="1"/>
      <c r="G515" s="1"/>
      <c r="H515" s="1"/>
      <c r="I515" s="1"/>
      <c r="J515" s="1"/>
      <c r="K515" s="1"/>
    </row>
    <row r="516" spans="5:11">
      <c r="E516" s="1"/>
      <c r="F516" s="1"/>
      <c r="G516" s="1"/>
      <c r="H516" s="1"/>
      <c r="I516" s="1"/>
      <c r="J516" s="1"/>
      <c r="K516" s="1"/>
    </row>
    <row r="517" spans="5:11">
      <c r="E517" s="1"/>
      <c r="F517" s="1"/>
      <c r="G517" s="1"/>
      <c r="H517" s="1"/>
      <c r="I517" s="1"/>
      <c r="J517" s="1"/>
      <c r="K517" s="1"/>
    </row>
    <row r="518" spans="5:11">
      <c r="E518" s="1"/>
      <c r="F518" s="1"/>
      <c r="G518" s="1"/>
      <c r="H518" s="1"/>
      <c r="I518" s="1"/>
      <c r="J518" s="1"/>
      <c r="K518" s="1"/>
    </row>
    <row r="519" spans="5:11">
      <c r="E519" s="1"/>
      <c r="F519" s="1"/>
      <c r="G519" s="1"/>
      <c r="H519" s="1"/>
      <c r="I519" s="1"/>
      <c r="J519" s="1"/>
      <c r="K519" s="1"/>
    </row>
    <row r="520" spans="5:11">
      <c r="E520" s="1"/>
      <c r="F520" s="1"/>
      <c r="G520" s="1"/>
      <c r="H520" s="1"/>
      <c r="I520" s="1"/>
      <c r="J520" s="1"/>
      <c r="K520" s="1"/>
    </row>
    <row r="521" spans="5:11">
      <c r="E521" s="1"/>
      <c r="F521" s="1"/>
      <c r="G521" s="1"/>
      <c r="H521" s="1"/>
      <c r="I521" s="1"/>
      <c r="J521" s="1"/>
      <c r="K521" s="1"/>
    </row>
    <row r="522" spans="5:11">
      <c r="E522" s="1"/>
      <c r="F522" s="1"/>
      <c r="G522" s="1"/>
      <c r="H522" s="1"/>
      <c r="I522" s="1"/>
      <c r="J522" s="1"/>
      <c r="K522" s="1"/>
    </row>
    <row r="523" spans="5:11">
      <c r="E523" s="1"/>
      <c r="F523" s="1"/>
      <c r="G523" s="1"/>
      <c r="H523" s="1"/>
      <c r="I523" s="1"/>
      <c r="J523" s="1"/>
      <c r="K523" s="1"/>
    </row>
    <row r="524" spans="5:11">
      <c r="E524" s="1"/>
      <c r="F524" s="1"/>
      <c r="G524" s="1"/>
      <c r="H524" s="1"/>
      <c r="I524" s="1"/>
      <c r="J524" s="1"/>
      <c r="K524" s="1"/>
    </row>
    <row r="525" spans="5:11">
      <c r="E525" s="1"/>
      <c r="F525" s="1"/>
      <c r="G525" s="1"/>
      <c r="H525" s="1"/>
      <c r="I525" s="1"/>
      <c r="J525" s="1"/>
      <c r="K525" s="1"/>
    </row>
    <row r="526" spans="5:11">
      <c r="E526" s="1"/>
      <c r="F526" s="1"/>
      <c r="G526" s="1"/>
      <c r="H526" s="1"/>
      <c r="I526" s="1"/>
      <c r="J526" s="1"/>
      <c r="K526" s="1"/>
    </row>
    <row r="527" spans="5:11">
      <c r="E527" s="1"/>
      <c r="F527" s="1"/>
      <c r="G527" s="1"/>
      <c r="H527" s="1"/>
      <c r="I527" s="1"/>
      <c r="J527" s="1"/>
      <c r="K527" s="1"/>
    </row>
    <row r="528" spans="5:11">
      <c r="E528" s="1"/>
      <c r="F528" s="1"/>
      <c r="G528" s="1"/>
      <c r="H528" s="1"/>
      <c r="I528" s="1"/>
      <c r="J528" s="1"/>
      <c r="K528" s="1"/>
    </row>
    <row r="529" spans="5:11">
      <c r="E529" s="1"/>
      <c r="F529" s="1"/>
      <c r="G529" s="1"/>
      <c r="H529" s="1"/>
      <c r="I529" s="1"/>
      <c r="J529" s="1"/>
      <c r="K529" s="1"/>
    </row>
    <row r="530" spans="5:11">
      <c r="E530" s="1"/>
      <c r="F530" s="1"/>
      <c r="G530" s="1"/>
      <c r="H530" s="1"/>
      <c r="I530" s="1"/>
      <c r="J530" s="1"/>
      <c r="K530" s="1"/>
    </row>
    <row r="531" spans="5:11">
      <c r="E531" s="1"/>
      <c r="F531" s="1"/>
      <c r="G531" s="1"/>
      <c r="H531" s="1"/>
      <c r="I531" s="1"/>
      <c r="J531" s="1"/>
      <c r="K531" s="1"/>
    </row>
    <row r="532" spans="5:11">
      <c r="E532" s="1"/>
      <c r="F532" s="1"/>
      <c r="G532" s="1"/>
      <c r="H532" s="1"/>
      <c r="I532" s="1"/>
      <c r="J532" s="1"/>
      <c r="K532" s="1"/>
    </row>
    <row r="533" spans="5:11">
      <c r="E533" s="1"/>
      <c r="F533" s="1"/>
      <c r="G533" s="1"/>
      <c r="H533" s="1"/>
      <c r="I533" s="1"/>
      <c r="J533" s="1"/>
      <c r="K533" s="1"/>
    </row>
    <row r="534" spans="5:11">
      <c r="E534" s="1"/>
      <c r="F534" s="1"/>
      <c r="G534" s="1"/>
      <c r="H534" s="1"/>
      <c r="I534" s="1"/>
      <c r="J534" s="1"/>
      <c r="K534" s="1"/>
    </row>
    <row r="535" spans="5:11">
      <c r="E535" s="1"/>
      <c r="F535" s="1"/>
      <c r="G535" s="1"/>
      <c r="H535" s="1"/>
      <c r="I535" s="1"/>
      <c r="J535" s="1"/>
      <c r="K535" s="1"/>
    </row>
    <row r="536" spans="5:11">
      <c r="E536" s="1"/>
      <c r="F536" s="1"/>
      <c r="G536" s="1"/>
      <c r="H536" s="1"/>
      <c r="I536" s="1"/>
      <c r="J536" s="1"/>
      <c r="K536" s="1"/>
    </row>
    <row r="537" spans="5:11">
      <c r="E537" s="1"/>
      <c r="F537" s="1"/>
      <c r="G537" s="1"/>
      <c r="H537" s="1"/>
      <c r="I537" s="1"/>
      <c r="J537" s="1"/>
      <c r="K537" s="1"/>
    </row>
    <row r="538" spans="5:11">
      <c r="E538" s="1"/>
      <c r="F538" s="1"/>
      <c r="G538" s="1"/>
      <c r="H538" s="1"/>
      <c r="I538" s="1"/>
      <c r="J538" s="1"/>
      <c r="K538" s="1"/>
    </row>
    <row r="539" spans="5:11">
      <c r="E539" s="1"/>
      <c r="F539" s="1"/>
      <c r="G539" s="1"/>
      <c r="H539" s="1"/>
      <c r="I539" s="1"/>
      <c r="J539" s="1"/>
      <c r="K539" s="1"/>
    </row>
    <row r="540" spans="5:11">
      <c r="E540" s="1"/>
      <c r="F540" s="1"/>
      <c r="G540" s="1"/>
      <c r="H540" s="1"/>
      <c r="I540" s="1"/>
      <c r="J540" s="1"/>
      <c r="K540" s="1"/>
    </row>
    <row r="541" spans="5:11">
      <c r="E541" s="1"/>
      <c r="F541" s="1"/>
      <c r="G541" s="1"/>
      <c r="H541" s="1"/>
      <c r="I541" s="1"/>
      <c r="J541" s="1"/>
      <c r="K541" s="1"/>
    </row>
    <row r="542" spans="5:11">
      <c r="E542" s="1"/>
      <c r="F542" s="1"/>
      <c r="G542" s="1"/>
      <c r="H542" s="1"/>
      <c r="I542" s="1"/>
      <c r="J542" s="1"/>
      <c r="K542" s="1"/>
    </row>
    <row r="543" spans="5:11">
      <c r="E543" s="1"/>
      <c r="F543" s="1"/>
      <c r="G543" s="1"/>
      <c r="H543" s="1"/>
      <c r="I543" s="1"/>
      <c r="J543" s="1"/>
      <c r="K543" s="1"/>
    </row>
    <row r="544" spans="5:11">
      <c r="E544" s="1"/>
      <c r="F544" s="1"/>
      <c r="G544" s="1"/>
      <c r="H544" s="1"/>
      <c r="I544" s="1"/>
      <c r="J544" s="1"/>
      <c r="K544" s="1"/>
    </row>
    <row r="545" spans="5:11">
      <c r="E545" s="1"/>
      <c r="F545" s="1"/>
      <c r="G545" s="1"/>
      <c r="H545" s="1"/>
      <c r="I545" s="1"/>
      <c r="J545" s="1"/>
      <c r="K545" s="1"/>
    </row>
    <row r="546" spans="5:11">
      <c r="E546" s="1"/>
      <c r="F546" s="1"/>
      <c r="G546" s="1"/>
      <c r="H546" s="1"/>
      <c r="I546" s="1"/>
      <c r="J546" s="1"/>
      <c r="K546" s="1"/>
    </row>
    <row r="547" spans="5:11">
      <c r="E547" s="1"/>
      <c r="F547" s="1"/>
      <c r="G547" s="1"/>
      <c r="H547" s="1"/>
      <c r="I547" s="1"/>
      <c r="J547" s="1"/>
      <c r="K547" s="1"/>
    </row>
    <row r="548" spans="5:11">
      <c r="E548" s="1"/>
      <c r="F548" s="1"/>
      <c r="G548" s="1"/>
      <c r="H548" s="1"/>
      <c r="I548" s="1"/>
      <c r="J548" s="1"/>
      <c r="K548" s="1"/>
    </row>
    <row r="549" spans="5:11">
      <c r="E549" s="1"/>
      <c r="F549" s="1"/>
      <c r="G549" s="1"/>
      <c r="H549" s="1"/>
      <c r="I549" s="1"/>
      <c r="J549" s="1"/>
      <c r="K549" s="1"/>
    </row>
    <row r="550" spans="5:11">
      <c r="E550" s="1"/>
      <c r="F550" s="1"/>
      <c r="G550" s="1"/>
      <c r="H550" s="1"/>
      <c r="I550" s="1"/>
      <c r="J550" s="1"/>
      <c r="K550" s="1"/>
    </row>
    <row r="551" spans="5:11">
      <c r="E551" s="1"/>
      <c r="F551" s="1"/>
      <c r="G551" s="1"/>
      <c r="H551" s="1"/>
      <c r="I551" s="1"/>
      <c r="J551" s="1"/>
      <c r="K551" s="1"/>
    </row>
    <row r="552" spans="5:11">
      <c r="E552" s="1"/>
      <c r="F552" s="1"/>
      <c r="G552" s="1"/>
      <c r="H552" s="1"/>
      <c r="I552" s="1"/>
      <c r="J552" s="1"/>
      <c r="K552" s="1"/>
    </row>
    <row r="553" spans="5:11">
      <c r="E553" s="1"/>
      <c r="F553" s="1"/>
      <c r="G553" s="1"/>
      <c r="H553" s="1"/>
      <c r="I553" s="1"/>
      <c r="J553" s="1"/>
      <c r="K553" s="1"/>
    </row>
    <row r="554" spans="5:11">
      <c r="E554" s="1"/>
      <c r="F554" s="1"/>
      <c r="G554" s="1"/>
      <c r="H554" s="1"/>
      <c r="I554" s="1"/>
      <c r="J554" s="1"/>
      <c r="K554" s="1"/>
    </row>
    <row r="555" spans="5:11">
      <c r="E555" s="1"/>
      <c r="F555" s="1"/>
      <c r="G555" s="1"/>
      <c r="H555" s="1"/>
      <c r="I555" s="1"/>
      <c r="J555" s="1"/>
      <c r="K555" s="1"/>
    </row>
    <row r="556" spans="5:11">
      <c r="E556" s="1"/>
      <c r="F556" s="1"/>
      <c r="G556" s="1"/>
      <c r="H556" s="1"/>
      <c r="I556" s="1"/>
      <c r="J556" s="1"/>
      <c r="K556" s="1"/>
    </row>
    <row r="557" spans="5:11">
      <c r="E557" s="1"/>
      <c r="F557" s="1"/>
      <c r="G557" s="1"/>
      <c r="H557" s="1"/>
      <c r="I557" s="1"/>
      <c r="J557" s="1"/>
      <c r="K557" s="1"/>
    </row>
    <row r="558" spans="5:11">
      <c r="E558" s="1"/>
      <c r="F558" s="1"/>
      <c r="G558" s="1"/>
      <c r="H558" s="1"/>
      <c r="I558" s="1"/>
      <c r="J558" s="1"/>
      <c r="K558" s="1"/>
    </row>
    <row r="559" spans="5:11">
      <c r="E559" s="1"/>
      <c r="F559" s="1"/>
      <c r="G559" s="1"/>
      <c r="H559" s="1"/>
      <c r="I559" s="1"/>
      <c r="J559" s="1"/>
      <c r="K559" s="1"/>
    </row>
    <row r="560" spans="5:11">
      <c r="E560" s="1"/>
      <c r="F560" s="1"/>
      <c r="G560" s="1"/>
      <c r="H560" s="1"/>
      <c r="I560" s="1"/>
      <c r="J560" s="1"/>
      <c r="K560" s="1"/>
    </row>
    <row r="561" spans="5:11">
      <c r="E561" s="1"/>
      <c r="F561" s="1"/>
      <c r="G561" s="1"/>
      <c r="H561" s="1"/>
      <c r="I561" s="1"/>
      <c r="J561" s="1"/>
      <c r="K561" s="1"/>
    </row>
    <row r="562" spans="5:11">
      <c r="E562" s="1"/>
      <c r="F562" s="1"/>
      <c r="G562" s="1"/>
      <c r="H562" s="1"/>
      <c r="I562" s="1"/>
      <c r="J562" s="1"/>
      <c r="K562" s="1"/>
    </row>
    <row r="563" spans="5:11">
      <c r="E563" s="1"/>
      <c r="F563" s="1"/>
      <c r="G563" s="1"/>
      <c r="H563" s="1"/>
      <c r="I563" s="1"/>
      <c r="J563" s="1"/>
      <c r="K563" s="1"/>
    </row>
    <row r="564" spans="5:11">
      <c r="E564" s="1"/>
      <c r="F564" s="1"/>
      <c r="G564" s="1"/>
      <c r="H564" s="1"/>
      <c r="I564" s="1"/>
      <c r="J564" s="1"/>
      <c r="K564" s="1"/>
    </row>
    <row r="565" spans="5:11">
      <c r="E565" s="1"/>
      <c r="F565" s="1"/>
      <c r="G565" s="1"/>
      <c r="H565" s="1"/>
      <c r="I565" s="1"/>
      <c r="J565" s="1"/>
      <c r="K565" s="1"/>
    </row>
    <row r="566" spans="5:11">
      <c r="E566" s="1"/>
      <c r="F566" s="1"/>
      <c r="G566" s="1"/>
      <c r="H566" s="1"/>
      <c r="I566" s="1"/>
      <c r="J566" s="1"/>
      <c r="K566" s="1"/>
    </row>
    <row r="567" spans="5:11">
      <c r="E567" s="1"/>
      <c r="F567" s="1"/>
      <c r="G567" s="1"/>
      <c r="H567" s="1"/>
      <c r="I567" s="1"/>
      <c r="J567" s="1"/>
      <c r="K567" s="1"/>
    </row>
    <row r="568" spans="5:11">
      <c r="E568" s="1"/>
      <c r="F568" s="1"/>
      <c r="G568" s="1"/>
      <c r="H568" s="1"/>
      <c r="I568" s="1"/>
      <c r="J568" s="1"/>
      <c r="K568" s="1"/>
    </row>
    <row r="569" spans="5:11">
      <c r="E569" s="1"/>
      <c r="F569" s="1"/>
      <c r="G569" s="1"/>
      <c r="H569" s="1"/>
      <c r="I569" s="1"/>
      <c r="J569" s="1"/>
      <c r="K569" s="1"/>
    </row>
    <row r="570" spans="5:11">
      <c r="E570" s="1"/>
      <c r="F570" s="1"/>
      <c r="G570" s="1"/>
      <c r="H570" s="1"/>
      <c r="I570" s="1"/>
      <c r="J570" s="1"/>
      <c r="K570" s="1"/>
    </row>
    <row r="571" spans="5:11">
      <c r="E571" s="1"/>
      <c r="F571" s="1"/>
      <c r="G571" s="1"/>
      <c r="H571" s="1"/>
      <c r="I571" s="1"/>
      <c r="J571" s="1"/>
      <c r="K571" s="1"/>
    </row>
    <row r="572" spans="5:11">
      <c r="E572" s="1"/>
      <c r="F572" s="1"/>
      <c r="G572" s="1"/>
      <c r="H572" s="1"/>
      <c r="I572" s="1"/>
      <c r="J572" s="1"/>
      <c r="K572" s="1"/>
    </row>
    <row r="573" spans="5:11">
      <c r="E573" s="1"/>
      <c r="F573" s="1"/>
      <c r="G573" s="1"/>
      <c r="H573" s="1"/>
      <c r="I573" s="1"/>
      <c r="J573" s="1"/>
      <c r="K573" s="1"/>
    </row>
    <row r="574" spans="5:11">
      <c r="E574" s="1"/>
      <c r="F574" s="1"/>
      <c r="G574" s="1"/>
      <c r="H574" s="1"/>
      <c r="I574" s="1"/>
      <c r="J574" s="1"/>
      <c r="K574" s="1"/>
    </row>
    <row r="575" spans="5:11">
      <c r="E575" s="1"/>
      <c r="F575" s="1"/>
      <c r="G575" s="1"/>
      <c r="H575" s="1"/>
      <c r="I575" s="1"/>
      <c r="J575" s="1"/>
      <c r="K575" s="1"/>
    </row>
    <row r="576" spans="5:11">
      <c r="E576" s="1"/>
      <c r="F576" s="1"/>
      <c r="G576" s="1"/>
      <c r="H576" s="1"/>
      <c r="I576" s="1"/>
      <c r="J576" s="1"/>
      <c r="K576" s="1"/>
    </row>
    <row r="577" spans="5:11">
      <c r="E577" s="1"/>
      <c r="F577" s="1"/>
      <c r="G577" s="1"/>
      <c r="H577" s="1"/>
      <c r="I577" s="1"/>
      <c r="J577" s="1"/>
      <c r="K577" s="1"/>
    </row>
    <row r="578" spans="5:11">
      <c r="E578" s="1"/>
      <c r="F578" s="1"/>
      <c r="G578" s="1"/>
      <c r="H578" s="1"/>
      <c r="I578" s="1"/>
      <c r="J578" s="1"/>
      <c r="K578" s="1"/>
    </row>
    <row r="579" spans="5:11">
      <c r="E579" s="1"/>
      <c r="F579" s="1"/>
      <c r="G579" s="1"/>
      <c r="H579" s="1"/>
      <c r="I579" s="1"/>
      <c r="J579" s="1"/>
      <c r="K579" s="1"/>
    </row>
    <row r="580" spans="5:11">
      <c r="E580" s="1"/>
      <c r="F580" s="1"/>
      <c r="G580" s="1"/>
      <c r="H580" s="1"/>
      <c r="I580" s="1"/>
      <c r="J580" s="1"/>
      <c r="K580" s="1"/>
    </row>
    <row r="581" spans="5:11">
      <c r="E581" s="1"/>
      <c r="F581" s="1"/>
      <c r="G581" s="1"/>
      <c r="H581" s="1"/>
      <c r="I581" s="1"/>
      <c r="J581" s="1"/>
      <c r="K581" s="1"/>
    </row>
    <row r="582" spans="5:11">
      <c r="E582" s="1"/>
      <c r="F582" s="1"/>
      <c r="G582" s="1"/>
      <c r="H582" s="1"/>
      <c r="I582" s="1"/>
      <c r="J582" s="1"/>
      <c r="K582" s="1"/>
    </row>
    <row r="583" spans="5:11">
      <c r="E583" s="1"/>
      <c r="F583" s="1"/>
      <c r="G583" s="1"/>
      <c r="H583" s="1"/>
      <c r="I583" s="1"/>
      <c r="J583" s="1"/>
      <c r="K583" s="1"/>
    </row>
    <row r="584" spans="5:11">
      <c r="E584" s="1"/>
      <c r="F584" s="1"/>
      <c r="G584" s="1"/>
      <c r="H584" s="1"/>
      <c r="I584" s="1"/>
      <c r="J584" s="1"/>
      <c r="K584" s="1"/>
    </row>
    <row r="585" spans="5:11">
      <c r="E585" s="1"/>
      <c r="F585" s="1"/>
      <c r="G585" s="1"/>
      <c r="H585" s="1"/>
      <c r="I585" s="1"/>
      <c r="J585" s="1"/>
      <c r="K585" s="1"/>
    </row>
    <row r="586" spans="5:11">
      <c r="E586" s="1"/>
      <c r="F586" s="1"/>
      <c r="G586" s="1"/>
      <c r="H586" s="1"/>
      <c r="I586" s="1"/>
      <c r="J586" s="1"/>
      <c r="K586" s="1"/>
    </row>
    <row r="587" spans="5:11">
      <c r="E587" s="1"/>
      <c r="F587" s="1"/>
      <c r="G587" s="1"/>
      <c r="H587" s="1"/>
      <c r="I587" s="1"/>
      <c r="J587" s="1"/>
      <c r="K587" s="1"/>
    </row>
    <row r="588" spans="5:11">
      <c r="E588" s="1"/>
      <c r="F588" s="1"/>
      <c r="G588" s="1"/>
      <c r="H588" s="1"/>
      <c r="I588" s="1"/>
      <c r="J588" s="1"/>
      <c r="K588" s="1"/>
    </row>
    <row r="589" spans="5:11">
      <c r="E589" s="1"/>
      <c r="F589" s="1"/>
      <c r="G589" s="1"/>
      <c r="H589" s="1"/>
      <c r="I589" s="1"/>
      <c r="J589" s="1"/>
      <c r="K589" s="1"/>
    </row>
    <row r="590" spans="5:11">
      <c r="E590" s="1"/>
      <c r="F590" s="1"/>
      <c r="G590" s="1"/>
      <c r="H590" s="1"/>
      <c r="I590" s="1"/>
      <c r="J590" s="1"/>
      <c r="K590" s="1"/>
    </row>
    <row r="591" spans="5:11">
      <c r="E591" s="1"/>
      <c r="F591" s="1"/>
      <c r="G591" s="1"/>
      <c r="H591" s="1"/>
      <c r="I591" s="1"/>
      <c r="J591" s="1"/>
      <c r="K591" s="1"/>
    </row>
    <row r="592" spans="5:11">
      <c r="E592" s="1"/>
      <c r="F592" s="1"/>
      <c r="G592" s="1"/>
      <c r="H592" s="1"/>
      <c r="I592" s="1"/>
      <c r="J592" s="1"/>
      <c r="K592" s="1"/>
    </row>
    <row r="593" spans="5:11">
      <c r="E593" s="1"/>
      <c r="F593" s="1"/>
      <c r="G593" s="1"/>
      <c r="H593" s="1"/>
      <c r="I593" s="1"/>
      <c r="J593" s="1"/>
      <c r="K593" s="1"/>
    </row>
    <row r="594" spans="5:11">
      <c r="E594" s="1"/>
      <c r="F594" s="1"/>
      <c r="G594" s="1"/>
      <c r="H594" s="1"/>
      <c r="I594" s="1"/>
      <c r="J594" s="1"/>
      <c r="K594" s="1"/>
    </row>
    <row r="595" spans="5:11">
      <c r="E595" s="1"/>
      <c r="F595" s="1"/>
      <c r="G595" s="1"/>
      <c r="H595" s="1"/>
      <c r="I595" s="1"/>
      <c r="J595" s="1"/>
      <c r="K595" s="1"/>
    </row>
    <row r="596" spans="5:11">
      <c r="E596" s="1"/>
      <c r="F596" s="1"/>
      <c r="G596" s="1"/>
      <c r="H596" s="1"/>
      <c r="I596" s="1"/>
      <c r="J596" s="1"/>
      <c r="K596" s="1"/>
    </row>
    <row r="597" spans="5:11">
      <c r="E597" s="1"/>
      <c r="F597" s="1"/>
      <c r="G597" s="1"/>
      <c r="H597" s="1"/>
      <c r="I597" s="1"/>
      <c r="J597" s="1"/>
      <c r="K597" s="1"/>
    </row>
    <row r="598" spans="5:11">
      <c r="E598" s="1"/>
      <c r="F598" s="1"/>
      <c r="G598" s="1"/>
      <c r="H598" s="1"/>
      <c r="I598" s="1"/>
      <c r="J598" s="1"/>
      <c r="K598" s="1"/>
    </row>
    <row r="599" spans="5:11">
      <c r="E599" s="1"/>
      <c r="F599" s="1"/>
      <c r="G599" s="1"/>
      <c r="H599" s="1"/>
      <c r="I599" s="1"/>
      <c r="J599" s="1"/>
      <c r="K599" s="1"/>
    </row>
    <row r="600" spans="5:11">
      <c r="E600" s="1"/>
      <c r="F600" s="1"/>
      <c r="G600" s="1"/>
      <c r="H600" s="1"/>
      <c r="I600" s="1"/>
      <c r="J600" s="1"/>
      <c r="K600" s="1"/>
    </row>
    <row r="601" spans="5:11">
      <c r="E601" s="1"/>
      <c r="F601" s="1"/>
      <c r="G601" s="1"/>
      <c r="H601" s="1"/>
      <c r="I601" s="1"/>
      <c r="J601" s="1"/>
      <c r="K601" s="1"/>
    </row>
    <row r="602" spans="5:11">
      <c r="E602" s="1"/>
      <c r="F602" s="1"/>
      <c r="G602" s="1"/>
      <c r="H602" s="1"/>
      <c r="I602" s="1"/>
      <c r="J602" s="1"/>
      <c r="K602" s="1"/>
    </row>
    <row r="603" spans="5:11">
      <c r="E603" s="1"/>
      <c r="F603" s="1"/>
      <c r="G603" s="1"/>
      <c r="H603" s="1"/>
      <c r="I603" s="1"/>
      <c r="J603" s="1"/>
      <c r="K603" s="1"/>
    </row>
    <row r="604" spans="5:11">
      <c r="E604" s="1"/>
      <c r="F604" s="1"/>
      <c r="G604" s="1"/>
      <c r="H604" s="1"/>
      <c r="I604" s="1"/>
      <c r="J604" s="1"/>
      <c r="K604" s="1"/>
    </row>
    <row r="605" spans="5:11">
      <c r="E605" s="1"/>
      <c r="F605" s="1"/>
      <c r="G605" s="1"/>
      <c r="H605" s="1"/>
      <c r="I605" s="1"/>
      <c r="J605" s="1"/>
      <c r="K605" s="1"/>
    </row>
    <row r="606" spans="5:11">
      <c r="E606" s="1"/>
      <c r="F606" s="1"/>
      <c r="G606" s="1"/>
      <c r="H606" s="1"/>
      <c r="I606" s="1"/>
      <c r="J606" s="1"/>
      <c r="K606" s="1"/>
    </row>
    <row r="607" spans="5:11">
      <c r="E607" s="1"/>
      <c r="F607" s="1"/>
      <c r="G607" s="1"/>
      <c r="H607" s="1"/>
      <c r="I607" s="1"/>
      <c r="J607" s="1"/>
      <c r="K607" s="1"/>
    </row>
    <row r="608" spans="5:11">
      <c r="E608" s="1"/>
      <c r="F608" s="1"/>
      <c r="G608" s="1"/>
      <c r="H608" s="1"/>
      <c r="I608" s="1"/>
      <c r="J608" s="1"/>
      <c r="K608" s="1"/>
    </row>
    <row r="609" spans="5:11">
      <c r="E609" s="1"/>
      <c r="F609" s="1"/>
      <c r="G609" s="1"/>
      <c r="H609" s="1"/>
      <c r="I609" s="1"/>
      <c r="J609" s="1"/>
      <c r="K609" s="1"/>
    </row>
    <row r="610" spans="5:11">
      <c r="E610" s="1"/>
      <c r="F610" s="1"/>
      <c r="G610" s="1"/>
      <c r="H610" s="1"/>
      <c r="I610" s="1"/>
      <c r="J610" s="1"/>
      <c r="K610" s="1"/>
    </row>
    <row r="611" spans="5:11">
      <c r="E611" s="1"/>
      <c r="F611" s="1"/>
      <c r="G611" s="1"/>
      <c r="H611" s="1"/>
      <c r="I611" s="1"/>
      <c r="J611" s="1"/>
      <c r="K611" s="1"/>
    </row>
    <row r="612" spans="5:11">
      <c r="E612" s="1"/>
      <c r="F612" s="1"/>
      <c r="G612" s="1"/>
      <c r="H612" s="1"/>
      <c r="I612" s="1"/>
      <c r="J612" s="1"/>
      <c r="K612" s="1"/>
    </row>
    <row r="613" spans="5:11">
      <c r="E613" s="1"/>
      <c r="F613" s="1"/>
      <c r="G613" s="1"/>
      <c r="H613" s="1"/>
      <c r="I613" s="1"/>
      <c r="J613" s="1"/>
      <c r="K613" s="1"/>
    </row>
    <row r="614" spans="5:11">
      <c r="E614" s="1"/>
      <c r="F614" s="1"/>
      <c r="G614" s="1"/>
      <c r="H614" s="1"/>
      <c r="I614" s="1"/>
      <c r="J614" s="1"/>
      <c r="K614" s="1"/>
    </row>
    <row r="615" spans="5:11">
      <c r="E615" s="1"/>
      <c r="F615" s="1"/>
      <c r="G615" s="1"/>
      <c r="H615" s="1"/>
      <c r="I615" s="1"/>
      <c r="J615" s="1"/>
      <c r="K615" s="1"/>
    </row>
    <row r="616" spans="5:11">
      <c r="E616" s="1"/>
      <c r="F616" s="1"/>
      <c r="G616" s="1"/>
      <c r="H616" s="1"/>
      <c r="I616" s="1"/>
      <c r="J616" s="1"/>
      <c r="K616" s="1"/>
    </row>
    <row r="617" spans="5:11">
      <c r="E617" s="1"/>
      <c r="F617" s="1"/>
      <c r="G617" s="1"/>
      <c r="H617" s="1"/>
      <c r="I617" s="1"/>
      <c r="J617" s="1"/>
      <c r="K617" s="1"/>
    </row>
    <row r="618" spans="5:11">
      <c r="E618" s="1"/>
      <c r="F618" s="1"/>
      <c r="G618" s="1"/>
      <c r="H618" s="1"/>
      <c r="I618" s="1"/>
      <c r="J618" s="1"/>
      <c r="K618" s="1"/>
    </row>
    <row r="619" spans="5:11">
      <c r="E619" s="1"/>
      <c r="F619" s="1"/>
      <c r="G619" s="1"/>
      <c r="H619" s="1"/>
      <c r="I619" s="1"/>
      <c r="J619" s="1"/>
      <c r="K619" s="1"/>
    </row>
    <row r="620" spans="5:11">
      <c r="E620" s="1"/>
      <c r="F620" s="1"/>
      <c r="G620" s="1"/>
      <c r="H620" s="1"/>
      <c r="I620" s="1"/>
      <c r="J620" s="1"/>
      <c r="K620" s="1"/>
    </row>
    <row r="621" spans="5:11">
      <c r="E621" s="1"/>
      <c r="F621" s="1"/>
      <c r="G621" s="1"/>
      <c r="H621" s="1"/>
      <c r="I621" s="1"/>
      <c r="J621" s="1"/>
      <c r="K621" s="1"/>
    </row>
    <row r="622" spans="5:11">
      <c r="E622" s="1"/>
      <c r="F622" s="1"/>
      <c r="G622" s="1"/>
      <c r="H622" s="1"/>
      <c r="I622" s="1"/>
      <c r="J622" s="1"/>
      <c r="K622" s="1"/>
    </row>
    <row r="623" spans="5:11">
      <c r="E623" s="1"/>
      <c r="F623" s="1"/>
      <c r="G623" s="1"/>
      <c r="H623" s="1"/>
      <c r="I623" s="1"/>
      <c r="J623" s="1"/>
      <c r="K623" s="1"/>
    </row>
    <row r="624" spans="5:11">
      <c r="E624" s="1"/>
      <c r="F624" s="1"/>
      <c r="G624" s="1"/>
      <c r="H624" s="1"/>
      <c r="I624" s="1"/>
      <c r="J624" s="1"/>
      <c r="K624" s="1"/>
    </row>
    <row r="625" spans="5:11">
      <c r="E625" s="1"/>
      <c r="F625" s="1"/>
      <c r="G625" s="1"/>
      <c r="H625" s="1"/>
      <c r="I625" s="1"/>
      <c r="J625" s="1"/>
      <c r="K625" s="1"/>
    </row>
    <row r="626" spans="5:11">
      <c r="E626" s="1"/>
      <c r="F626" s="1"/>
      <c r="G626" s="1"/>
      <c r="H626" s="1"/>
      <c r="I626" s="1"/>
      <c r="J626" s="1"/>
      <c r="K626" s="1"/>
    </row>
    <row r="627" spans="5:11">
      <c r="E627" s="1"/>
      <c r="F627" s="1"/>
      <c r="G627" s="1"/>
      <c r="H627" s="1"/>
      <c r="I627" s="1"/>
      <c r="J627" s="1"/>
      <c r="K627" s="1"/>
    </row>
    <row r="628" spans="5:11">
      <c r="E628" s="1"/>
      <c r="F628" s="1"/>
      <c r="G628" s="1"/>
      <c r="H628" s="1"/>
      <c r="I628" s="1"/>
      <c r="J628" s="1"/>
      <c r="K628" s="1"/>
    </row>
    <row r="629" spans="5:11">
      <c r="E629" s="1"/>
      <c r="F629" s="1"/>
      <c r="G629" s="1"/>
      <c r="H629" s="1"/>
      <c r="I629" s="1"/>
      <c r="J629" s="1"/>
      <c r="K629" s="1"/>
    </row>
    <row r="630" spans="5:11">
      <c r="E630" s="1"/>
      <c r="F630" s="1"/>
      <c r="G630" s="1"/>
      <c r="H630" s="1"/>
      <c r="I630" s="1"/>
      <c r="J630" s="1"/>
      <c r="K630" s="1"/>
    </row>
    <row r="631" spans="5:11">
      <c r="E631" s="1"/>
      <c r="F631" s="1"/>
      <c r="G631" s="1"/>
      <c r="H631" s="1"/>
      <c r="I631" s="1"/>
      <c r="J631" s="1"/>
      <c r="K631" s="1"/>
    </row>
    <row r="632" spans="5:11">
      <c r="E632" s="1"/>
      <c r="F632" s="1"/>
      <c r="G632" s="1"/>
      <c r="H632" s="1"/>
      <c r="I632" s="1"/>
      <c r="J632" s="1"/>
      <c r="K632" s="1"/>
    </row>
    <row r="633" spans="5:11">
      <c r="E633" s="1"/>
      <c r="F633" s="1"/>
      <c r="G633" s="1"/>
      <c r="H633" s="1"/>
      <c r="I633" s="1"/>
      <c r="J633" s="1"/>
      <c r="K633" s="1"/>
    </row>
    <row r="634" spans="5:11">
      <c r="E634" s="1"/>
      <c r="F634" s="1"/>
      <c r="G634" s="1"/>
      <c r="H634" s="1"/>
      <c r="I634" s="1"/>
      <c r="J634" s="1"/>
      <c r="K634" s="1"/>
    </row>
    <row r="635" spans="5:11">
      <c r="E635" s="1"/>
      <c r="F635" s="1"/>
      <c r="G635" s="1"/>
      <c r="H635" s="1"/>
      <c r="I635" s="1"/>
      <c r="J635" s="1"/>
      <c r="K635" s="1"/>
    </row>
    <row r="636" spans="5:11">
      <c r="E636" s="1"/>
      <c r="F636" s="1"/>
      <c r="G636" s="1"/>
      <c r="H636" s="1"/>
      <c r="I636" s="1"/>
      <c r="J636" s="1"/>
      <c r="K636" s="1"/>
    </row>
    <row r="637" spans="5:11">
      <c r="E637" s="1"/>
      <c r="F637" s="1"/>
      <c r="G637" s="1"/>
      <c r="H637" s="1"/>
      <c r="I637" s="1"/>
      <c r="J637" s="1"/>
      <c r="K637" s="1"/>
    </row>
    <row r="638" spans="5:11">
      <c r="E638" s="1"/>
      <c r="F638" s="1"/>
      <c r="G638" s="1"/>
      <c r="H638" s="1"/>
      <c r="I638" s="1"/>
      <c r="J638" s="1"/>
      <c r="K638" s="1"/>
    </row>
    <row r="639" spans="5:11">
      <c r="E639" s="1"/>
      <c r="F639" s="1"/>
      <c r="G639" s="1"/>
      <c r="H639" s="1"/>
      <c r="I639" s="1"/>
      <c r="J639" s="1"/>
      <c r="K639" s="1"/>
    </row>
    <row r="640" spans="5:11">
      <c r="E640" s="1"/>
      <c r="F640" s="1"/>
      <c r="G640" s="1"/>
      <c r="H640" s="1"/>
      <c r="I640" s="1"/>
      <c r="J640" s="1"/>
      <c r="K640" s="1"/>
    </row>
    <row r="641" spans="5:11">
      <c r="E641" s="1"/>
      <c r="F641" s="1"/>
      <c r="G641" s="1"/>
      <c r="H641" s="1"/>
      <c r="I641" s="1"/>
      <c r="J641" s="1"/>
      <c r="K641" s="1"/>
    </row>
    <row r="642" spans="5:11">
      <c r="E642" s="1"/>
      <c r="F642" s="1"/>
      <c r="G642" s="1"/>
      <c r="H642" s="1"/>
      <c r="I642" s="1"/>
      <c r="J642" s="1"/>
      <c r="K642" s="1"/>
    </row>
    <row r="643" spans="5:11">
      <c r="E643" s="1"/>
      <c r="F643" s="1"/>
      <c r="G643" s="1"/>
      <c r="H643" s="1"/>
      <c r="I643" s="1"/>
      <c r="J643" s="1"/>
      <c r="K643" s="1"/>
    </row>
    <row r="644" spans="5:11">
      <c r="E644" s="1"/>
      <c r="F644" s="1"/>
      <c r="G644" s="1"/>
      <c r="H644" s="1"/>
      <c r="I644" s="1"/>
      <c r="J644" s="1"/>
      <c r="K644" s="1"/>
    </row>
    <row r="645" spans="5:11">
      <c r="E645" s="1"/>
      <c r="F645" s="1"/>
      <c r="G645" s="1"/>
      <c r="H645" s="1"/>
      <c r="I645" s="1"/>
      <c r="J645" s="1"/>
      <c r="K645" s="1"/>
    </row>
    <row r="646" spans="5:11">
      <c r="E646" s="1"/>
      <c r="F646" s="1"/>
      <c r="G646" s="1"/>
      <c r="H646" s="1"/>
      <c r="I646" s="1"/>
      <c r="J646" s="1"/>
      <c r="K646" s="1"/>
    </row>
    <row r="647" spans="5:11">
      <c r="E647" s="1"/>
      <c r="F647" s="1"/>
      <c r="G647" s="1"/>
      <c r="H647" s="1"/>
      <c r="I647" s="1"/>
      <c r="J647" s="1"/>
      <c r="K647" s="1"/>
    </row>
    <row r="648" spans="5:11">
      <c r="E648" s="1"/>
      <c r="F648" s="1"/>
      <c r="G648" s="1"/>
      <c r="H648" s="1"/>
      <c r="I648" s="1"/>
      <c r="J648" s="1"/>
      <c r="K648" s="1"/>
    </row>
    <row r="649" spans="5:11">
      <c r="E649" s="1"/>
      <c r="F649" s="1"/>
      <c r="G649" s="1"/>
      <c r="H649" s="1"/>
      <c r="I649" s="1"/>
      <c r="J649" s="1"/>
      <c r="K649" s="1"/>
    </row>
    <row r="650" spans="5:11">
      <c r="E650" s="1"/>
      <c r="F650" s="1"/>
      <c r="G650" s="1"/>
      <c r="H650" s="1"/>
      <c r="I650" s="1"/>
      <c r="J650" s="1"/>
      <c r="K650" s="1"/>
    </row>
    <row r="651" spans="5:11">
      <c r="E651" s="1"/>
      <c r="F651" s="1"/>
      <c r="G651" s="1"/>
      <c r="H651" s="1"/>
      <c r="I651" s="1"/>
      <c r="J651" s="1"/>
      <c r="K651" s="1"/>
    </row>
    <row r="652" spans="5:11">
      <c r="E652" s="1"/>
      <c r="F652" s="1"/>
      <c r="G652" s="1"/>
      <c r="H652" s="1"/>
      <c r="I652" s="1"/>
      <c r="J652" s="1"/>
      <c r="K652" s="1"/>
    </row>
    <row r="653" spans="5:11">
      <c r="E653" s="1"/>
      <c r="F653" s="1"/>
      <c r="G653" s="1"/>
      <c r="H653" s="1"/>
      <c r="I653" s="1"/>
      <c r="J653" s="1"/>
      <c r="K653" s="1"/>
    </row>
    <row r="654" spans="5:11">
      <c r="E654" s="1"/>
      <c r="F654" s="1"/>
      <c r="G654" s="1"/>
      <c r="H654" s="1"/>
      <c r="I654" s="1"/>
      <c r="J654" s="1"/>
      <c r="K654" s="1"/>
    </row>
    <row r="655" spans="5:11">
      <c r="E655" s="1"/>
      <c r="F655" s="1"/>
      <c r="G655" s="1"/>
      <c r="H655" s="1"/>
      <c r="I655" s="1"/>
      <c r="J655" s="1"/>
      <c r="K655" s="1"/>
    </row>
    <row r="656" spans="5:11">
      <c r="E656" s="1"/>
      <c r="F656" s="1"/>
      <c r="G656" s="1"/>
      <c r="H656" s="1"/>
      <c r="I656" s="1"/>
      <c r="J656" s="1"/>
      <c r="K656" s="1"/>
    </row>
    <row r="657" spans="5:11">
      <c r="E657" s="1"/>
      <c r="F657" s="1"/>
      <c r="G657" s="1"/>
      <c r="H657" s="1"/>
      <c r="I657" s="1"/>
      <c r="J657" s="1"/>
      <c r="K657" s="1"/>
    </row>
    <row r="658" spans="5:11">
      <c r="E658" s="1"/>
      <c r="F658" s="1"/>
      <c r="G658" s="1"/>
      <c r="H658" s="1"/>
      <c r="I658" s="1"/>
      <c r="J658" s="1"/>
      <c r="K658" s="1"/>
    </row>
    <row r="659" spans="5:11">
      <c r="E659" s="1"/>
      <c r="F659" s="1"/>
      <c r="G659" s="1"/>
      <c r="H659" s="1"/>
      <c r="I659" s="1"/>
      <c r="J659" s="1"/>
      <c r="K659" s="1"/>
    </row>
    <row r="660" spans="5:11">
      <c r="E660" s="1"/>
      <c r="F660" s="1"/>
      <c r="G660" s="1"/>
      <c r="H660" s="1"/>
      <c r="I660" s="1"/>
      <c r="J660" s="1"/>
      <c r="K660" s="1"/>
    </row>
    <row r="661" spans="5:11">
      <c r="E661" s="1"/>
      <c r="F661" s="1"/>
      <c r="G661" s="1"/>
      <c r="H661" s="1"/>
      <c r="I661" s="1"/>
      <c r="J661" s="1"/>
      <c r="K661" s="1"/>
    </row>
    <row r="662" spans="5:11">
      <c r="E662" s="1"/>
      <c r="F662" s="1"/>
      <c r="G662" s="1"/>
      <c r="H662" s="1"/>
      <c r="I662" s="1"/>
      <c r="J662" s="1"/>
      <c r="K662" s="1"/>
    </row>
    <row r="663" spans="5:11">
      <c r="E663" s="1"/>
      <c r="F663" s="1"/>
      <c r="G663" s="1"/>
      <c r="H663" s="1"/>
      <c r="I663" s="1"/>
      <c r="J663" s="1"/>
      <c r="K663" s="1"/>
    </row>
    <row r="664" spans="5:11">
      <c r="E664" s="1"/>
      <c r="F664" s="1"/>
      <c r="G664" s="1"/>
      <c r="H664" s="1"/>
      <c r="I664" s="1"/>
      <c r="J664" s="1"/>
      <c r="K664" s="1"/>
    </row>
    <row r="665" spans="5:11">
      <c r="E665" s="1"/>
      <c r="F665" s="1"/>
      <c r="G665" s="1"/>
      <c r="H665" s="1"/>
      <c r="I665" s="1"/>
      <c r="J665" s="1"/>
      <c r="K665" s="1"/>
    </row>
    <row r="666" spans="5:11">
      <c r="E666" s="1"/>
      <c r="F666" s="1"/>
      <c r="G666" s="1"/>
      <c r="H666" s="1"/>
      <c r="I666" s="1"/>
      <c r="J666" s="1"/>
      <c r="K666" s="1"/>
    </row>
    <row r="667" spans="5:11">
      <c r="E667" s="1"/>
      <c r="F667" s="1"/>
      <c r="G667" s="1"/>
      <c r="H667" s="1"/>
      <c r="I667" s="1"/>
      <c r="J667" s="1"/>
      <c r="K667" s="1"/>
    </row>
    <row r="668" spans="5:11">
      <c r="E668" s="1"/>
      <c r="F668" s="1"/>
      <c r="G668" s="1"/>
      <c r="H668" s="1"/>
      <c r="I668" s="1"/>
      <c r="J668" s="1"/>
      <c r="K668" s="1"/>
    </row>
    <row r="669" spans="5:11">
      <c r="E669" s="1"/>
      <c r="F669" s="1"/>
      <c r="G669" s="1"/>
      <c r="H669" s="1"/>
      <c r="I669" s="1"/>
      <c r="J669" s="1"/>
      <c r="K669" s="1"/>
    </row>
    <row r="670" spans="5:11">
      <c r="E670" s="1"/>
      <c r="F670" s="1"/>
      <c r="G670" s="1"/>
      <c r="H670" s="1"/>
      <c r="I670" s="1"/>
      <c r="J670" s="1"/>
      <c r="K670" s="1"/>
    </row>
    <row r="671" spans="5:11">
      <c r="E671" s="1"/>
      <c r="F671" s="1"/>
      <c r="G671" s="1"/>
      <c r="H671" s="1"/>
      <c r="I671" s="1"/>
      <c r="J671" s="1"/>
      <c r="K671" s="1"/>
    </row>
    <row r="672" spans="5:11">
      <c r="E672" s="1"/>
      <c r="F672" s="1"/>
      <c r="G672" s="1"/>
      <c r="H672" s="1"/>
      <c r="I672" s="1"/>
      <c r="J672" s="1"/>
      <c r="K672" s="1"/>
    </row>
    <row r="673" spans="5:11">
      <c r="E673" s="1"/>
      <c r="F673" s="1"/>
      <c r="G673" s="1"/>
      <c r="H673" s="1"/>
      <c r="I673" s="1"/>
      <c r="J673" s="1"/>
      <c r="K673" s="1"/>
    </row>
    <row r="674" spans="5:11">
      <c r="E674" s="1"/>
      <c r="F674" s="1"/>
      <c r="G674" s="1"/>
      <c r="H674" s="1"/>
      <c r="I674" s="1"/>
      <c r="J674" s="1"/>
      <c r="K674" s="1"/>
    </row>
    <row r="675" spans="5:11">
      <c r="E675" s="1"/>
      <c r="F675" s="1"/>
      <c r="G675" s="1"/>
      <c r="H675" s="1"/>
      <c r="I675" s="1"/>
      <c r="J675" s="1"/>
      <c r="K675" s="1"/>
    </row>
    <row r="676" spans="5:11">
      <c r="E676" s="1"/>
      <c r="F676" s="1"/>
      <c r="G676" s="1"/>
      <c r="H676" s="1"/>
      <c r="I676" s="1"/>
      <c r="J676" s="1"/>
      <c r="K676" s="1"/>
    </row>
    <row r="677" spans="5:11">
      <c r="E677" s="1"/>
      <c r="F677" s="1"/>
      <c r="G677" s="1"/>
      <c r="H677" s="1"/>
      <c r="I677" s="1"/>
      <c r="J677" s="1"/>
      <c r="K677" s="1"/>
    </row>
    <row r="678" spans="5:11">
      <c r="E678" s="1"/>
      <c r="F678" s="1"/>
      <c r="G678" s="1"/>
      <c r="H678" s="1"/>
      <c r="I678" s="1"/>
      <c r="J678" s="1"/>
      <c r="K678" s="1"/>
    </row>
    <row r="679" spans="5:11">
      <c r="E679" s="1"/>
      <c r="F679" s="1"/>
      <c r="G679" s="1"/>
      <c r="H679" s="1"/>
      <c r="I679" s="1"/>
      <c r="J679" s="1"/>
      <c r="K679" s="1"/>
    </row>
    <row r="680" spans="5:11">
      <c r="E680" s="1"/>
      <c r="F680" s="1"/>
      <c r="G680" s="1"/>
      <c r="H680" s="1"/>
      <c r="I680" s="1"/>
      <c r="J680" s="1"/>
      <c r="K680" s="1"/>
    </row>
    <row r="681" spans="5:11">
      <c r="E681" s="1"/>
      <c r="F681" s="1"/>
      <c r="G681" s="1"/>
      <c r="H681" s="1"/>
      <c r="I681" s="1"/>
      <c r="J681" s="1"/>
      <c r="K681" s="1"/>
    </row>
    <row r="682" spans="5:11">
      <c r="E682" s="1"/>
      <c r="F682" s="1"/>
      <c r="G682" s="1"/>
      <c r="H682" s="1"/>
      <c r="I682" s="1"/>
      <c r="J682" s="1"/>
      <c r="K682" s="1"/>
    </row>
    <row r="683" spans="5:11">
      <c r="E683" s="1"/>
      <c r="F683" s="1"/>
      <c r="G683" s="1"/>
      <c r="H683" s="1"/>
      <c r="I683" s="1"/>
      <c r="J683" s="1"/>
      <c r="K683" s="1"/>
    </row>
    <row r="684" spans="5:11">
      <c r="E684" s="1"/>
      <c r="F684" s="1"/>
      <c r="G684" s="1"/>
      <c r="H684" s="1"/>
      <c r="I684" s="1"/>
      <c r="J684" s="1"/>
      <c r="K684" s="1"/>
    </row>
    <row r="685" spans="5:11">
      <c r="E685" s="1"/>
      <c r="F685" s="1"/>
      <c r="G685" s="1"/>
      <c r="H685" s="1"/>
      <c r="I685" s="1"/>
      <c r="J685" s="1"/>
      <c r="K685" s="1"/>
    </row>
    <row r="686" spans="5:11">
      <c r="E686" s="1"/>
      <c r="F686" s="1"/>
      <c r="G686" s="1"/>
      <c r="H686" s="1"/>
      <c r="I686" s="1"/>
      <c r="J686" s="1"/>
      <c r="K686" s="1"/>
    </row>
    <row r="687" spans="5:11">
      <c r="E687" s="1"/>
      <c r="F687" s="1"/>
      <c r="G687" s="1"/>
      <c r="H687" s="1"/>
      <c r="I687" s="1"/>
      <c r="J687" s="1"/>
      <c r="K687" s="1"/>
    </row>
    <row r="688" spans="5:11">
      <c r="E688" s="1"/>
      <c r="F688" s="1"/>
      <c r="G688" s="1"/>
      <c r="H688" s="1"/>
      <c r="I688" s="1"/>
      <c r="J688" s="1"/>
      <c r="K688" s="1"/>
    </row>
    <row r="689" spans="5:11">
      <c r="E689" s="1"/>
      <c r="F689" s="1"/>
      <c r="G689" s="1"/>
      <c r="H689" s="1"/>
      <c r="I689" s="1"/>
      <c r="J689" s="1"/>
      <c r="K689" s="1"/>
    </row>
    <row r="690" spans="5:11">
      <c r="E690" s="1"/>
      <c r="F690" s="1"/>
      <c r="G690" s="1"/>
      <c r="H690" s="1"/>
      <c r="I690" s="1"/>
      <c r="J690" s="1"/>
      <c r="K690" s="1"/>
    </row>
    <row r="691" spans="5:11">
      <c r="E691" s="1"/>
      <c r="F691" s="1"/>
      <c r="G691" s="1"/>
      <c r="H691" s="1"/>
      <c r="I691" s="1"/>
      <c r="J691" s="1"/>
      <c r="K691" s="1"/>
    </row>
    <row r="692" spans="5:11">
      <c r="E692" s="1"/>
      <c r="F692" s="1"/>
      <c r="G692" s="1"/>
      <c r="H692" s="1"/>
      <c r="I692" s="1"/>
      <c r="J692" s="1"/>
      <c r="K692" s="1"/>
    </row>
    <row r="693" spans="5:11">
      <c r="E693" s="1"/>
      <c r="F693" s="1"/>
      <c r="G693" s="1"/>
      <c r="H693" s="1"/>
      <c r="I693" s="1"/>
      <c r="J693" s="1"/>
      <c r="K693" s="1"/>
    </row>
    <row r="694" spans="5:11">
      <c r="E694" s="1"/>
      <c r="F694" s="1"/>
      <c r="G694" s="1"/>
      <c r="H694" s="1"/>
      <c r="I694" s="1"/>
      <c r="J694" s="1"/>
      <c r="K694" s="1"/>
    </row>
    <row r="695" spans="5:11">
      <c r="E695" s="1"/>
      <c r="F695" s="1"/>
      <c r="G695" s="1"/>
      <c r="H695" s="1"/>
      <c r="I695" s="1"/>
      <c r="J695" s="1"/>
      <c r="K695" s="1"/>
    </row>
    <row r="696" spans="5:11">
      <c r="E696" s="1"/>
      <c r="F696" s="1"/>
      <c r="G696" s="1"/>
      <c r="H696" s="1"/>
      <c r="I696" s="1"/>
      <c r="J696" s="1"/>
      <c r="K696" s="1"/>
    </row>
    <row r="697" spans="5:11">
      <c r="E697" s="1"/>
      <c r="F697" s="1"/>
      <c r="G697" s="1"/>
      <c r="H697" s="1"/>
      <c r="I697" s="1"/>
      <c r="J697" s="1"/>
      <c r="K697" s="1"/>
    </row>
    <row r="698" spans="5:11">
      <c r="E698" s="1"/>
      <c r="F698" s="1"/>
      <c r="G698" s="1"/>
      <c r="H698" s="1"/>
      <c r="I698" s="1"/>
      <c r="J698" s="1"/>
      <c r="K698" s="1"/>
    </row>
    <row r="699" spans="5:11">
      <c r="E699" s="1"/>
      <c r="F699" s="1"/>
      <c r="G699" s="1"/>
      <c r="H699" s="1"/>
      <c r="I699" s="1"/>
      <c r="J699" s="1"/>
      <c r="K699" s="1"/>
    </row>
    <row r="700" spans="5:11">
      <c r="E700" s="1"/>
      <c r="F700" s="1"/>
      <c r="G700" s="1"/>
      <c r="H700" s="1"/>
      <c r="I700" s="1"/>
      <c r="J700" s="1"/>
      <c r="K700" s="1"/>
    </row>
    <row r="701" spans="5:11">
      <c r="E701" s="1"/>
      <c r="F701" s="1"/>
      <c r="G701" s="1"/>
      <c r="H701" s="1"/>
      <c r="I701" s="1"/>
      <c r="J701" s="1"/>
      <c r="K701" s="1"/>
    </row>
    <row r="702" spans="5:11">
      <c r="E702" s="1"/>
      <c r="F702" s="1"/>
      <c r="G702" s="1"/>
      <c r="H702" s="1"/>
      <c r="I702" s="1"/>
      <c r="J702" s="1"/>
      <c r="K702" s="1"/>
    </row>
    <row r="703" spans="5:11">
      <c r="E703" s="1"/>
      <c r="F703" s="1"/>
      <c r="G703" s="1"/>
      <c r="H703" s="1"/>
      <c r="I703" s="1"/>
      <c r="J703" s="1"/>
      <c r="K703" s="1"/>
    </row>
    <row r="704" spans="5:11">
      <c r="E704" s="1"/>
      <c r="F704" s="1"/>
      <c r="G704" s="1"/>
      <c r="H704" s="1"/>
      <c r="I704" s="1"/>
      <c r="J704" s="1"/>
      <c r="K704" s="1"/>
    </row>
    <row r="705" spans="5:11">
      <c r="E705" s="1"/>
      <c r="F705" s="1"/>
      <c r="G705" s="1"/>
      <c r="H705" s="1"/>
      <c r="I705" s="1"/>
      <c r="J705" s="1"/>
      <c r="K705" s="1"/>
    </row>
    <row r="706" spans="5:11">
      <c r="E706" s="1"/>
      <c r="F706" s="1"/>
      <c r="G706" s="1"/>
      <c r="H706" s="1"/>
      <c r="I706" s="1"/>
      <c r="J706" s="1"/>
      <c r="K706" s="1"/>
    </row>
    <row r="707" spans="5:11">
      <c r="E707" s="1"/>
      <c r="F707" s="1"/>
      <c r="G707" s="1"/>
      <c r="H707" s="1"/>
      <c r="I707" s="1"/>
      <c r="J707" s="1"/>
      <c r="K707" s="1"/>
    </row>
    <row r="708" spans="5:11">
      <c r="E708" s="1"/>
      <c r="F708" s="1"/>
      <c r="G708" s="1"/>
      <c r="H708" s="1"/>
      <c r="I708" s="1"/>
      <c r="J708" s="1"/>
      <c r="K708" s="1"/>
    </row>
    <row r="709" spans="5:11">
      <c r="E709" s="1"/>
      <c r="F709" s="1"/>
      <c r="G709" s="1"/>
      <c r="H709" s="1"/>
      <c r="I709" s="1"/>
      <c r="J709" s="1"/>
      <c r="K709" s="1"/>
    </row>
    <row r="710" spans="5:11">
      <c r="E710" s="1"/>
      <c r="F710" s="1"/>
      <c r="G710" s="1"/>
      <c r="H710" s="1"/>
      <c r="I710" s="1"/>
      <c r="J710" s="1"/>
      <c r="K710" s="1"/>
    </row>
    <row r="711" spans="5:11">
      <c r="E711" s="1"/>
      <c r="F711" s="1"/>
      <c r="G711" s="1"/>
      <c r="H711" s="1"/>
      <c r="I711" s="1"/>
      <c r="J711" s="1"/>
      <c r="K711" s="1"/>
    </row>
    <row r="712" spans="5:11">
      <c r="E712" s="1"/>
      <c r="F712" s="1"/>
      <c r="G712" s="1"/>
      <c r="H712" s="1"/>
      <c r="I712" s="1"/>
      <c r="J712" s="1"/>
      <c r="K712" s="1"/>
    </row>
    <row r="713" spans="5:11">
      <c r="E713" s="1"/>
      <c r="F713" s="1"/>
      <c r="G713" s="1"/>
      <c r="H713" s="1"/>
      <c r="I713" s="1"/>
      <c r="J713" s="1"/>
      <c r="K713" s="1"/>
    </row>
    <row r="714" spans="5:11">
      <c r="E714" s="1"/>
      <c r="F714" s="1"/>
      <c r="G714" s="1"/>
      <c r="H714" s="1"/>
      <c r="I714" s="1"/>
      <c r="J714" s="1"/>
      <c r="K714" s="1"/>
    </row>
    <row r="715" spans="5:11">
      <c r="E715" s="1"/>
      <c r="F715" s="1"/>
      <c r="G715" s="1"/>
      <c r="H715" s="1"/>
      <c r="I715" s="1"/>
      <c r="J715" s="1"/>
      <c r="K715" s="1"/>
    </row>
    <row r="716" spans="5:11">
      <c r="E716" s="1"/>
      <c r="F716" s="1"/>
      <c r="G716" s="1"/>
      <c r="H716" s="1"/>
      <c r="I716" s="1"/>
      <c r="J716" s="1"/>
      <c r="K716" s="1"/>
    </row>
    <row r="717" spans="5:11">
      <c r="E717" s="1"/>
      <c r="F717" s="1"/>
      <c r="G717" s="1"/>
      <c r="H717" s="1"/>
      <c r="I717" s="1"/>
      <c r="J717" s="1"/>
      <c r="K717" s="1"/>
    </row>
    <row r="718" spans="5:11">
      <c r="E718" s="1"/>
      <c r="F718" s="1"/>
      <c r="G718" s="1"/>
      <c r="H718" s="1"/>
      <c r="I718" s="1"/>
      <c r="J718" s="1"/>
      <c r="K718" s="1"/>
    </row>
    <row r="719" spans="5:11">
      <c r="E719" s="1"/>
      <c r="F719" s="1"/>
      <c r="G719" s="1"/>
      <c r="H719" s="1"/>
      <c r="I719" s="1"/>
      <c r="J719" s="1"/>
      <c r="K719" s="1"/>
    </row>
    <row r="720" spans="5:11">
      <c r="E720" s="1"/>
      <c r="F720" s="1"/>
      <c r="G720" s="1"/>
      <c r="H720" s="1"/>
      <c r="I720" s="1"/>
      <c r="J720" s="1"/>
      <c r="K720" s="1"/>
    </row>
    <row r="721" spans="5:11">
      <c r="E721" s="1"/>
      <c r="F721" s="1"/>
      <c r="G721" s="1"/>
      <c r="H721" s="1"/>
      <c r="I721" s="1"/>
      <c r="J721" s="1"/>
      <c r="K721" s="1"/>
    </row>
    <row r="722" spans="5:11">
      <c r="E722" s="1"/>
      <c r="F722" s="1"/>
      <c r="G722" s="1"/>
      <c r="H722" s="1"/>
      <c r="I722" s="1"/>
      <c r="J722" s="1"/>
      <c r="K722" s="1"/>
    </row>
    <row r="723" spans="5:11">
      <c r="E723" s="1"/>
      <c r="F723" s="1"/>
      <c r="G723" s="1"/>
      <c r="H723" s="1"/>
      <c r="I723" s="1"/>
      <c r="J723" s="1"/>
      <c r="K723" s="1"/>
    </row>
    <row r="724" spans="5:11">
      <c r="E724" s="1"/>
      <c r="F724" s="1"/>
      <c r="G724" s="1"/>
      <c r="H724" s="1"/>
      <c r="I724" s="1"/>
      <c r="J724" s="1"/>
      <c r="K724" s="1"/>
    </row>
    <row r="725" spans="5:11">
      <c r="E725" s="1"/>
      <c r="F725" s="1"/>
      <c r="G725" s="1"/>
      <c r="H725" s="1"/>
      <c r="I725" s="1"/>
      <c r="J725" s="1"/>
      <c r="K725" s="1"/>
    </row>
    <row r="726" spans="5:11">
      <c r="E726" s="1"/>
      <c r="F726" s="1"/>
      <c r="G726" s="1"/>
      <c r="H726" s="1"/>
      <c r="I726" s="1"/>
      <c r="J726" s="1"/>
      <c r="K726" s="1"/>
    </row>
    <row r="727" spans="5:11">
      <c r="E727" s="1"/>
      <c r="F727" s="1"/>
      <c r="G727" s="1"/>
      <c r="H727" s="1"/>
      <c r="I727" s="1"/>
      <c r="J727" s="1"/>
      <c r="K727" s="1"/>
    </row>
    <row r="728" spans="5:11">
      <c r="E728" s="1"/>
      <c r="F728" s="1"/>
      <c r="G728" s="1"/>
      <c r="H728" s="1"/>
      <c r="I728" s="1"/>
      <c r="J728" s="1"/>
      <c r="K728" s="1"/>
    </row>
    <row r="729" spans="5:11">
      <c r="E729" s="1"/>
      <c r="F729" s="1"/>
      <c r="G729" s="1"/>
      <c r="H729" s="1"/>
      <c r="I729" s="1"/>
      <c r="J729" s="1"/>
      <c r="K729" s="1"/>
    </row>
    <row r="730" spans="5:11">
      <c r="E730" s="1"/>
      <c r="F730" s="1"/>
      <c r="G730" s="1"/>
      <c r="H730" s="1"/>
      <c r="I730" s="1"/>
      <c r="J730" s="1"/>
      <c r="K730" s="1"/>
    </row>
    <row r="731" spans="5:11">
      <c r="E731" s="1"/>
      <c r="F731" s="1"/>
      <c r="G731" s="1"/>
      <c r="H731" s="1"/>
      <c r="I731" s="1"/>
      <c r="J731" s="1"/>
      <c r="K731" s="1"/>
    </row>
    <row r="732" spans="5:11">
      <c r="E732" s="1"/>
      <c r="F732" s="1"/>
      <c r="G732" s="1"/>
      <c r="H732" s="1"/>
      <c r="I732" s="1"/>
      <c r="J732" s="1"/>
      <c r="K732" s="1"/>
    </row>
    <row r="733" spans="5:11">
      <c r="E733" s="1"/>
      <c r="F733" s="1"/>
      <c r="G733" s="1"/>
      <c r="H733" s="1"/>
      <c r="I733" s="1"/>
      <c r="J733" s="1"/>
      <c r="K733" s="1"/>
    </row>
    <row r="734" spans="5:11">
      <c r="E734" s="1"/>
      <c r="F734" s="1"/>
      <c r="G734" s="1"/>
      <c r="H734" s="1"/>
      <c r="I734" s="1"/>
      <c r="J734" s="1"/>
      <c r="K734" s="1"/>
    </row>
    <row r="735" spans="5:11">
      <c r="E735" s="1"/>
      <c r="F735" s="1"/>
      <c r="G735" s="1"/>
      <c r="H735" s="1"/>
      <c r="I735" s="1"/>
      <c r="J735" s="1"/>
      <c r="K735" s="1"/>
    </row>
    <row r="736" spans="5:11">
      <c r="E736" s="1"/>
      <c r="F736" s="1"/>
      <c r="G736" s="1"/>
      <c r="H736" s="1"/>
      <c r="I736" s="1"/>
      <c r="J736" s="1"/>
      <c r="K736" s="1"/>
    </row>
    <row r="737" spans="5:11">
      <c r="E737" s="1"/>
      <c r="F737" s="1"/>
      <c r="G737" s="1"/>
      <c r="H737" s="1"/>
      <c r="I737" s="1"/>
      <c r="J737" s="1"/>
      <c r="K737" s="1"/>
    </row>
    <row r="738" spans="5:11">
      <c r="E738" s="1"/>
      <c r="F738" s="1"/>
      <c r="G738" s="1"/>
      <c r="H738" s="1"/>
      <c r="I738" s="1"/>
      <c r="J738" s="1"/>
      <c r="K738" s="1"/>
    </row>
    <row r="739" spans="5:11">
      <c r="E739" s="1"/>
      <c r="F739" s="1"/>
      <c r="G739" s="1"/>
      <c r="H739" s="1"/>
      <c r="I739" s="1"/>
      <c r="J739" s="1"/>
      <c r="K739" s="1"/>
    </row>
    <row r="740" spans="5:11">
      <c r="E740" s="1"/>
      <c r="F740" s="1"/>
      <c r="G740" s="1"/>
      <c r="H740" s="1"/>
      <c r="I740" s="1"/>
      <c r="J740" s="1"/>
      <c r="K740" s="1"/>
    </row>
    <row r="741" spans="5:11">
      <c r="E741" s="1"/>
      <c r="F741" s="1"/>
      <c r="G741" s="1"/>
      <c r="H741" s="1"/>
      <c r="I741" s="1"/>
      <c r="J741" s="1"/>
      <c r="K741" s="1"/>
    </row>
    <row r="742" spans="5:11">
      <c r="E742" s="1"/>
      <c r="F742" s="1"/>
      <c r="G742" s="1"/>
      <c r="H742" s="1"/>
      <c r="I742" s="1"/>
      <c r="J742" s="1"/>
      <c r="K742" s="1"/>
    </row>
    <row r="743" spans="5:11">
      <c r="E743" s="1"/>
      <c r="F743" s="1"/>
      <c r="G743" s="1"/>
      <c r="H743" s="1"/>
      <c r="I743" s="1"/>
      <c r="J743" s="1"/>
      <c r="K743" s="1"/>
    </row>
    <row r="744" spans="5:11">
      <c r="E744" s="1"/>
      <c r="F744" s="1"/>
      <c r="G744" s="1"/>
      <c r="H744" s="1"/>
      <c r="I744" s="1"/>
      <c r="J744" s="1"/>
      <c r="K744" s="1"/>
    </row>
    <row r="745" spans="5:11">
      <c r="E745" s="1"/>
      <c r="F745" s="1"/>
      <c r="G745" s="1"/>
      <c r="H745" s="1"/>
      <c r="I745" s="1"/>
      <c r="J745" s="1"/>
      <c r="K745" s="1"/>
    </row>
    <row r="746" spans="5:11">
      <c r="E746" s="1"/>
      <c r="F746" s="1"/>
      <c r="G746" s="1"/>
      <c r="H746" s="1"/>
      <c r="I746" s="1"/>
      <c r="J746" s="1"/>
      <c r="K746" s="1"/>
    </row>
    <row r="747" spans="5:11">
      <c r="E747" s="1"/>
      <c r="F747" s="1"/>
      <c r="G747" s="1"/>
      <c r="H747" s="1"/>
      <c r="I747" s="1"/>
      <c r="J747" s="1"/>
      <c r="K747" s="1"/>
    </row>
    <row r="748" spans="5:11">
      <c r="E748" s="1"/>
      <c r="F748" s="1"/>
      <c r="G748" s="1"/>
      <c r="H748" s="1"/>
      <c r="I748" s="1"/>
      <c r="J748" s="1"/>
      <c r="K748" s="1"/>
    </row>
    <row r="749" spans="5:11">
      <c r="E749" s="1"/>
      <c r="F749" s="1"/>
      <c r="G749" s="1"/>
      <c r="H749" s="1"/>
      <c r="I749" s="1"/>
      <c r="J749" s="1"/>
      <c r="K749" s="1"/>
    </row>
    <row r="750" spans="5:11">
      <c r="E750" s="1"/>
      <c r="F750" s="1"/>
      <c r="G750" s="1"/>
      <c r="H750" s="1"/>
      <c r="I750" s="1"/>
      <c r="J750" s="1"/>
      <c r="K750" s="1"/>
    </row>
    <row r="751" spans="5:11">
      <c r="E751" s="1"/>
      <c r="F751" s="1"/>
      <c r="G751" s="1"/>
      <c r="H751" s="1"/>
      <c r="I751" s="1"/>
      <c r="J751" s="1"/>
      <c r="K751" s="1"/>
    </row>
    <row r="752" spans="5:11">
      <c r="E752" s="1"/>
      <c r="F752" s="1"/>
      <c r="G752" s="1"/>
      <c r="H752" s="1"/>
      <c r="I752" s="1"/>
      <c r="J752" s="1"/>
      <c r="K752" s="1"/>
    </row>
    <row r="753" spans="5:11">
      <c r="E753" s="1"/>
      <c r="F753" s="1"/>
      <c r="G753" s="1"/>
      <c r="H753" s="1"/>
      <c r="I753" s="1"/>
      <c r="J753" s="1"/>
      <c r="K753" s="1"/>
    </row>
    <row r="754" spans="5:11">
      <c r="E754" s="1"/>
      <c r="F754" s="1"/>
      <c r="G754" s="1"/>
      <c r="H754" s="1"/>
      <c r="I754" s="1"/>
      <c r="J754" s="1"/>
      <c r="K754" s="1"/>
    </row>
    <row r="755" spans="5:11">
      <c r="E755" s="1"/>
      <c r="F755" s="1"/>
      <c r="G755" s="1"/>
      <c r="H755" s="1"/>
      <c r="I755" s="1"/>
      <c r="J755" s="1"/>
      <c r="K755" s="1"/>
    </row>
    <row r="756" spans="5:11">
      <c r="E756" s="1"/>
      <c r="F756" s="1"/>
      <c r="G756" s="1"/>
      <c r="H756" s="1"/>
      <c r="I756" s="1"/>
      <c r="J756" s="1"/>
      <c r="K756" s="1"/>
    </row>
    <row r="757" spans="5:11">
      <c r="E757" s="1"/>
      <c r="F757" s="1"/>
      <c r="G757" s="1"/>
      <c r="H757" s="1"/>
      <c r="I757" s="1"/>
      <c r="J757" s="1"/>
      <c r="K757" s="1"/>
    </row>
    <row r="758" spans="5:11">
      <c r="E758" s="1"/>
      <c r="F758" s="1"/>
      <c r="G758" s="1"/>
      <c r="H758" s="1"/>
      <c r="I758" s="1"/>
      <c r="J758" s="1"/>
      <c r="K758" s="1"/>
    </row>
    <row r="759" spans="5:11">
      <c r="E759" s="1"/>
      <c r="F759" s="1"/>
      <c r="G759" s="1"/>
      <c r="H759" s="1"/>
      <c r="I759" s="1"/>
      <c r="J759" s="1"/>
      <c r="K759" s="1"/>
    </row>
    <row r="760" spans="5:11">
      <c r="E760" s="1"/>
      <c r="F760" s="1"/>
      <c r="G760" s="1"/>
      <c r="H760" s="1"/>
      <c r="I760" s="1"/>
      <c r="J760" s="1"/>
      <c r="K760" s="1"/>
    </row>
    <row r="761" spans="5:11">
      <c r="E761" s="1"/>
      <c r="F761" s="1"/>
      <c r="G761" s="1"/>
      <c r="H761" s="1"/>
      <c r="I761" s="1"/>
      <c r="J761" s="1"/>
      <c r="K761" s="1"/>
    </row>
    <row r="762" spans="5:11">
      <c r="E762" s="1"/>
      <c r="F762" s="1"/>
      <c r="G762" s="1"/>
      <c r="H762" s="1"/>
      <c r="I762" s="1"/>
      <c r="J762" s="1"/>
      <c r="K762" s="1"/>
    </row>
    <row r="763" spans="5:11">
      <c r="E763" s="1"/>
      <c r="F763" s="1"/>
      <c r="G763" s="1"/>
      <c r="H763" s="1"/>
      <c r="I763" s="1"/>
      <c r="J763" s="1"/>
      <c r="K763" s="1"/>
    </row>
    <row r="764" spans="5:11">
      <c r="E764" s="1"/>
      <c r="F764" s="1"/>
      <c r="G764" s="1"/>
      <c r="H764" s="1"/>
      <c r="I764" s="1"/>
      <c r="J764" s="1"/>
      <c r="K764" s="1"/>
    </row>
    <row r="765" spans="5:11">
      <c r="E765" s="1"/>
      <c r="F765" s="1"/>
      <c r="G765" s="1"/>
      <c r="H765" s="1"/>
      <c r="I765" s="1"/>
      <c r="J765" s="1"/>
      <c r="K765" s="1"/>
    </row>
    <row r="766" spans="5:11">
      <c r="E766" s="1"/>
      <c r="F766" s="1"/>
      <c r="G766" s="1"/>
      <c r="H766" s="1"/>
      <c r="I766" s="1"/>
      <c r="J766" s="1"/>
      <c r="K766" s="1"/>
    </row>
    <row r="767" spans="5:11">
      <c r="E767" s="1"/>
      <c r="F767" s="1"/>
      <c r="G767" s="1"/>
      <c r="H767" s="1"/>
      <c r="I767" s="1"/>
      <c r="J767" s="1"/>
      <c r="K767" s="1"/>
    </row>
    <row r="768" spans="5:11">
      <c r="E768" s="1"/>
      <c r="F768" s="1"/>
      <c r="G768" s="1"/>
      <c r="H768" s="1"/>
      <c r="I768" s="1"/>
      <c r="J768" s="1"/>
      <c r="K768" s="1"/>
    </row>
    <row r="769" spans="5:11">
      <c r="E769" s="1"/>
      <c r="F769" s="1"/>
      <c r="G769" s="1"/>
      <c r="H769" s="1"/>
      <c r="I769" s="1"/>
      <c r="J769" s="1"/>
      <c r="K769" s="1"/>
    </row>
    <row r="770" spans="5:11">
      <c r="E770" s="1"/>
      <c r="F770" s="1"/>
      <c r="G770" s="1"/>
      <c r="H770" s="1"/>
      <c r="I770" s="1"/>
      <c r="J770" s="1"/>
      <c r="K770" s="1"/>
    </row>
    <row r="771" spans="5:11">
      <c r="E771" s="1"/>
      <c r="F771" s="1"/>
      <c r="G771" s="1"/>
      <c r="H771" s="1"/>
      <c r="I771" s="1"/>
      <c r="J771" s="1"/>
      <c r="K771" s="1"/>
    </row>
    <row r="772" spans="5:11">
      <c r="E772" s="1"/>
      <c r="F772" s="1"/>
      <c r="G772" s="1"/>
      <c r="H772" s="1"/>
      <c r="I772" s="1"/>
      <c r="J772" s="1"/>
      <c r="K772" s="1"/>
    </row>
    <row r="773" spans="5:11">
      <c r="E773" s="1"/>
      <c r="F773" s="1"/>
      <c r="G773" s="1"/>
      <c r="H773" s="1"/>
      <c r="I773" s="1"/>
      <c r="J773" s="1"/>
      <c r="K773" s="1"/>
    </row>
    <row r="774" spans="5:11">
      <c r="E774" s="1"/>
      <c r="F774" s="1"/>
      <c r="G774" s="1"/>
      <c r="H774" s="1"/>
      <c r="I774" s="1"/>
      <c r="J774" s="1"/>
      <c r="K774" s="1"/>
    </row>
    <row r="775" spans="5:11">
      <c r="E775" s="1"/>
      <c r="F775" s="1"/>
      <c r="G775" s="1"/>
      <c r="H775" s="1"/>
      <c r="I775" s="1"/>
      <c r="J775" s="1"/>
      <c r="K775" s="1"/>
    </row>
    <row r="776" spans="5:11">
      <c r="E776" s="1"/>
      <c r="F776" s="1"/>
      <c r="G776" s="1"/>
      <c r="H776" s="1"/>
      <c r="I776" s="1"/>
      <c r="J776" s="1"/>
      <c r="K776" s="1"/>
    </row>
    <row r="777" spans="5:11">
      <c r="E777" s="1"/>
      <c r="F777" s="1"/>
      <c r="G777" s="1"/>
      <c r="H777" s="1"/>
      <c r="I777" s="1"/>
      <c r="J777" s="1"/>
      <c r="K777" s="1"/>
    </row>
    <row r="778" spans="5:11">
      <c r="E778" s="1"/>
      <c r="F778" s="1"/>
      <c r="G778" s="1"/>
      <c r="H778" s="1"/>
      <c r="I778" s="1"/>
      <c r="J778" s="1"/>
      <c r="K778" s="1"/>
    </row>
    <row r="779" spans="5:11">
      <c r="E779" s="1"/>
      <c r="F779" s="1"/>
      <c r="G779" s="1"/>
      <c r="H779" s="1"/>
      <c r="I779" s="1"/>
      <c r="J779" s="1"/>
      <c r="K779" s="1"/>
    </row>
    <row r="780" spans="5:11">
      <c r="E780" s="1"/>
      <c r="F780" s="1"/>
      <c r="G780" s="1"/>
      <c r="H780" s="1"/>
      <c r="I780" s="1"/>
      <c r="J780" s="1"/>
      <c r="K780" s="1"/>
    </row>
    <row r="781" spans="5:11">
      <c r="E781" s="1"/>
      <c r="F781" s="1"/>
      <c r="G781" s="1"/>
      <c r="H781" s="1"/>
      <c r="I781" s="1"/>
      <c r="J781" s="1"/>
      <c r="K781" s="1"/>
    </row>
    <row r="782" spans="5:11">
      <c r="E782" s="1"/>
      <c r="F782" s="1"/>
      <c r="G782" s="1"/>
      <c r="H782" s="1"/>
      <c r="I782" s="1"/>
      <c r="J782" s="1"/>
      <c r="K782" s="1"/>
    </row>
    <row r="783" spans="5:11">
      <c r="E783" s="1"/>
      <c r="F783" s="1"/>
      <c r="G783" s="1"/>
      <c r="H783" s="1"/>
      <c r="I783" s="1"/>
      <c r="J783" s="1"/>
      <c r="K783" s="1"/>
    </row>
    <row r="784" spans="5:11">
      <c r="E784" s="1"/>
      <c r="F784" s="1"/>
      <c r="G784" s="1"/>
      <c r="H784" s="1"/>
      <c r="I784" s="1"/>
      <c r="J784" s="1"/>
      <c r="K784" s="1"/>
    </row>
    <row r="785" spans="5:11">
      <c r="E785" s="1"/>
      <c r="F785" s="1"/>
      <c r="G785" s="1"/>
      <c r="H785" s="1"/>
      <c r="I785" s="1"/>
      <c r="J785" s="1"/>
      <c r="K785" s="1"/>
    </row>
    <row r="786" spans="5:11">
      <c r="E786" s="1"/>
      <c r="F786" s="1"/>
      <c r="G786" s="1"/>
      <c r="H786" s="1"/>
      <c r="I786" s="1"/>
      <c r="J786" s="1"/>
      <c r="K786" s="1"/>
    </row>
    <row r="787" spans="5:11">
      <c r="E787" s="1"/>
      <c r="F787" s="1"/>
      <c r="G787" s="1"/>
      <c r="H787" s="1"/>
      <c r="I787" s="1"/>
      <c r="J787" s="1"/>
      <c r="K787" s="1"/>
    </row>
    <row r="788" spans="5:11">
      <c r="E788" s="1"/>
      <c r="F788" s="1"/>
      <c r="G788" s="1"/>
      <c r="H788" s="1"/>
      <c r="I788" s="1"/>
      <c r="J788" s="1"/>
      <c r="K788" s="1"/>
    </row>
    <row r="789" spans="5:11">
      <c r="E789" s="1"/>
      <c r="F789" s="1"/>
      <c r="G789" s="1"/>
      <c r="H789" s="1"/>
      <c r="I789" s="1"/>
      <c r="J789" s="1"/>
      <c r="K789" s="1"/>
    </row>
    <row r="790" spans="5:11">
      <c r="E790" s="1"/>
      <c r="F790" s="1"/>
      <c r="G790" s="1"/>
      <c r="H790" s="1"/>
      <c r="I790" s="1"/>
      <c r="J790" s="1"/>
      <c r="K790" s="1"/>
    </row>
    <row r="791" spans="5:11">
      <c r="E791" s="1"/>
      <c r="F791" s="1"/>
      <c r="G791" s="1"/>
      <c r="H791" s="1"/>
      <c r="I791" s="1"/>
      <c r="J791" s="1"/>
      <c r="K791" s="1"/>
    </row>
    <row r="792" spans="5:11">
      <c r="E792" s="1"/>
      <c r="F792" s="1"/>
      <c r="G792" s="1"/>
      <c r="H792" s="1"/>
      <c r="I792" s="1"/>
      <c r="J792" s="1"/>
      <c r="K792" s="1"/>
    </row>
    <row r="793" spans="5:11">
      <c r="E793" s="1"/>
      <c r="F793" s="1"/>
      <c r="G793" s="1"/>
      <c r="H793" s="1"/>
      <c r="I793" s="1"/>
      <c r="J793" s="1"/>
      <c r="K793" s="1"/>
    </row>
    <row r="794" spans="5:11">
      <c r="E794" s="1"/>
      <c r="F794" s="1"/>
      <c r="G794" s="1"/>
      <c r="H794" s="1"/>
      <c r="I794" s="1"/>
      <c r="J794" s="1"/>
      <c r="K794" s="1"/>
    </row>
    <row r="795" spans="5:11">
      <c r="E795" s="1"/>
      <c r="F795" s="1"/>
      <c r="G795" s="1"/>
      <c r="H795" s="1"/>
      <c r="I795" s="1"/>
      <c r="J795" s="1"/>
      <c r="K795" s="1"/>
    </row>
    <row r="796" spans="5:11">
      <c r="E796" s="1"/>
      <c r="F796" s="1"/>
      <c r="G796" s="1"/>
      <c r="H796" s="1"/>
      <c r="I796" s="1"/>
      <c r="J796" s="1"/>
      <c r="K796" s="1"/>
    </row>
    <row r="797" spans="5:11">
      <c r="E797" s="1"/>
      <c r="F797" s="1"/>
      <c r="G797" s="1"/>
      <c r="H797" s="1"/>
      <c r="I797" s="1"/>
      <c r="J797" s="1"/>
      <c r="K797" s="1"/>
    </row>
    <row r="798" spans="5:11">
      <c r="E798" s="1"/>
      <c r="F798" s="1"/>
      <c r="G798" s="1"/>
      <c r="H798" s="1"/>
      <c r="I798" s="1"/>
      <c r="J798" s="1"/>
      <c r="K798" s="1"/>
    </row>
    <row r="799" spans="5:11">
      <c r="E799" s="1"/>
      <c r="F799" s="1"/>
      <c r="G799" s="1"/>
      <c r="H799" s="1"/>
      <c r="I799" s="1"/>
      <c r="J799" s="1"/>
      <c r="K799" s="1"/>
    </row>
    <row r="800" spans="5:11">
      <c r="E800" s="1"/>
      <c r="F800" s="1"/>
      <c r="G800" s="1"/>
      <c r="H800" s="1"/>
      <c r="I800" s="1"/>
      <c r="J800" s="1"/>
      <c r="K800" s="1"/>
    </row>
    <row r="801" spans="5:11">
      <c r="E801" s="1"/>
      <c r="F801" s="1"/>
      <c r="G801" s="1"/>
      <c r="H801" s="1"/>
      <c r="I801" s="1"/>
      <c r="J801" s="1"/>
      <c r="K801" s="1"/>
    </row>
    <row r="802" spans="5:11">
      <c r="E802" s="1"/>
      <c r="F802" s="1"/>
      <c r="G802" s="1"/>
      <c r="H802" s="1"/>
      <c r="I802" s="1"/>
      <c r="J802" s="1"/>
      <c r="K802" s="1"/>
    </row>
    <row r="803" spans="5:11">
      <c r="E803" s="1"/>
      <c r="F803" s="1"/>
      <c r="G803" s="1"/>
      <c r="H803" s="1"/>
      <c r="I803" s="1"/>
      <c r="J803" s="1"/>
      <c r="K803" s="1"/>
    </row>
    <row r="804" spans="5:11">
      <c r="E804" s="1"/>
      <c r="F804" s="1"/>
      <c r="G804" s="1"/>
      <c r="H804" s="1"/>
      <c r="I804" s="1"/>
      <c r="J804" s="1"/>
      <c r="K804" s="1"/>
    </row>
    <row r="805" spans="5:11">
      <c r="E805" s="1"/>
      <c r="F805" s="1"/>
      <c r="G805" s="1"/>
      <c r="H805" s="1"/>
      <c r="I805" s="1"/>
      <c r="J805" s="1"/>
      <c r="K805" s="1"/>
    </row>
    <row r="806" spans="5:11">
      <c r="E806" s="1"/>
      <c r="F806" s="1"/>
      <c r="G806" s="1"/>
      <c r="H806" s="1"/>
      <c r="I806" s="1"/>
      <c r="J806" s="1"/>
      <c r="K806" s="1"/>
    </row>
    <row r="807" spans="5:11">
      <c r="E807" s="1"/>
      <c r="F807" s="1"/>
      <c r="G807" s="1"/>
      <c r="H807" s="1"/>
      <c r="I807" s="1"/>
      <c r="J807" s="1"/>
      <c r="K807" s="1"/>
    </row>
    <row r="808" spans="5:11">
      <c r="E808" s="1"/>
      <c r="F808" s="1"/>
      <c r="G808" s="1"/>
      <c r="H808" s="1"/>
      <c r="I808" s="1"/>
      <c r="J808" s="1"/>
      <c r="K808" s="1"/>
    </row>
    <row r="809" spans="5:11">
      <c r="E809" s="1"/>
      <c r="F809" s="1"/>
      <c r="G809" s="1"/>
      <c r="H809" s="1"/>
      <c r="I809" s="1"/>
      <c r="J809" s="1"/>
      <c r="K809" s="1"/>
    </row>
    <row r="810" spans="5:11">
      <c r="E810" s="1"/>
      <c r="F810" s="1"/>
      <c r="G810" s="1"/>
      <c r="H810" s="1"/>
      <c r="I810" s="1"/>
      <c r="J810" s="1"/>
      <c r="K810" s="1"/>
    </row>
    <row r="811" spans="5:11">
      <c r="E811" s="1"/>
      <c r="F811" s="1"/>
      <c r="G811" s="1"/>
      <c r="H811" s="1"/>
      <c r="I811" s="1"/>
      <c r="J811" s="1"/>
      <c r="K811" s="1"/>
    </row>
    <row r="812" spans="5:11">
      <c r="E812" s="1"/>
      <c r="F812" s="1"/>
      <c r="G812" s="1"/>
      <c r="H812" s="1"/>
      <c r="I812" s="1"/>
      <c r="J812" s="1"/>
      <c r="K812" s="1"/>
    </row>
    <row r="813" spans="5:11">
      <c r="E813" s="1"/>
      <c r="F813" s="1"/>
      <c r="G813" s="1"/>
      <c r="H813" s="1"/>
      <c r="I813" s="1"/>
      <c r="J813" s="1"/>
      <c r="K813" s="1"/>
    </row>
    <row r="814" spans="5:11">
      <c r="E814" s="1"/>
      <c r="F814" s="1"/>
      <c r="G814" s="1"/>
      <c r="H814" s="1"/>
      <c r="I814" s="1"/>
      <c r="J814" s="1"/>
      <c r="K814" s="1"/>
    </row>
    <row r="815" spans="5:11">
      <c r="E815" s="1"/>
      <c r="F815" s="1"/>
      <c r="G815" s="1"/>
      <c r="H815" s="1"/>
      <c r="I815" s="1"/>
      <c r="J815" s="1"/>
      <c r="K815" s="1"/>
    </row>
    <row r="816" spans="5:11">
      <c r="E816" s="1"/>
      <c r="F816" s="1"/>
      <c r="G816" s="1"/>
      <c r="H816" s="1"/>
      <c r="I816" s="1"/>
      <c r="J816" s="1"/>
      <c r="K816" s="1"/>
    </row>
    <row r="817" spans="5:11">
      <c r="E817" s="1"/>
      <c r="F817" s="1"/>
      <c r="G817" s="1"/>
      <c r="H817" s="1"/>
      <c r="I817" s="1"/>
      <c r="J817" s="1"/>
      <c r="K817" s="1"/>
    </row>
    <row r="818" spans="5:11">
      <c r="E818" s="1"/>
      <c r="F818" s="1"/>
      <c r="G818" s="1"/>
      <c r="H818" s="1"/>
      <c r="I818" s="1"/>
      <c r="J818" s="1"/>
      <c r="K818" s="1"/>
    </row>
    <row r="819" spans="5:11">
      <c r="E819" s="1"/>
      <c r="F819" s="1"/>
      <c r="G819" s="1"/>
      <c r="H819" s="1"/>
      <c r="I819" s="1"/>
      <c r="J819" s="1"/>
      <c r="K819" s="1"/>
    </row>
    <row r="820" spans="5:11">
      <c r="E820" s="1"/>
      <c r="F820" s="1"/>
      <c r="G820" s="1"/>
      <c r="H820" s="1"/>
      <c r="I820" s="1"/>
      <c r="J820" s="1"/>
      <c r="K820" s="1"/>
    </row>
    <row r="821" spans="5:11">
      <c r="E821" s="1"/>
      <c r="F821" s="1"/>
      <c r="G821" s="1"/>
      <c r="H821" s="1"/>
      <c r="I821" s="1"/>
      <c r="J821" s="1"/>
      <c r="K821" s="1"/>
    </row>
    <row r="822" spans="5:11">
      <c r="E822" s="1"/>
      <c r="F822" s="1"/>
      <c r="G822" s="1"/>
      <c r="H822" s="1"/>
      <c r="I822" s="1"/>
      <c r="J822" s="1"/>
      <c r="K822" s="1"/>
    </row>
    <row r="823" spans="5:11">
      <c r="E823" s="1"/>
      <c r="F823" s="1"/>
      <c r="G823" s="1"/>
      <c r="H823" s="1"/>
      <c r="I823" s="1"/>
      <c r="J823" s="1"/>
      <c r="K823" s="1"/>
    </row>
    <row r="824" spans="5:11">
      <c r="E824" s="1"/>
      <c r="F824" s="1"/>
      <c r="G824" s="1"/>
      <c r="H824" s="1"/>
      <c r="I824" s="1"/>
      <c r="J824" s="1"/>
      <c r="K824" s="1"/>
    </row>
    <row r="825" spans="5:11">
      <c r="E825" s="1"/>
      <c r="F825" s="1"/>
      <c r="G825" s="1"/>
      <c r="H825" s="1"/>
      <c r="I825" s="1"/>
      <c r="J825" s="1"/>
      <c r="K825" s="1"/>
    </row>
    <row r="826" spans="5:11">
      <c r="E826" s="1"/>
      <c r="F826" s="1"/>
      <c r="G826" s="1"/>
      <c r="H826" s="1"/>
      <c r="I826" s="1"/>
      <c r="J826" s="1"/>
      <c r="K826" s="1"/>
    </row>
    <row r="827" spans="5:11">
      <c r="E827" s="1"/>
      <c r="F827" s="1"/>
      <c r="G827" s="1"/>
      <c r="H827" s="1"/>
      <c r="I827" s="1"/>
      <c r="J827" s="1"/>
      <c r="K827" s="1"/>
    </row>
    <row r="828" spans="5:11">
      <c r="E828" s="1"/>
      <c r="F828" s="1"/>
      <c r="G828" s="1"/>
      <c r="H828" s="1"/>
      <c r="I828" s="1"/>
      <c r="J828" s="1"/>
      <c r="K828" s="1"/>
    </row>
    <row r="829" spans="5:11">
      <c r="E829" s="1"/>
      <c r="F829" s="1"/>
      <c r="G829" s="1"/>
      <c r="H829" s="1"/>
      <c r="I829" s="1"/>
      <c r="J829" s="1"/>
      <c r="K829" s="1"/>
    </row>
    <row r="830" spans="5:11">
      <c r="E830" s="1"/>
      <c r="F830" s="1"/>
      <c r="G830" s="1"/>
      <c r="H830" s="1"/>
      <c r="I830" s="1"/>
      <c r="J830" s="1"/>
      <c r="K830" s="1"/>
    </row>
    <row r="831" spans="5:11">
      <c r="E831" s="1"/>
      <c r="F831" s="1"/>
      <c r="G831" s="1"/>
      <c r="H831" s="1"/>
      <c r="I831" s="1"/>
      <c r="J831" s="1"/>
      <c r="K831" s="1"/>
    </row>
    <row r="832" spans="5:11">
      <c r="E832" s="1"/>
      <c r="F832" s="1"/>
      <c r="G832" s="1"/>
      <c r="H832" s="1"/>
      <c r="I832" s="1"/>
      <c r="J832" s="1"/>
      <c r="K832" s="1"/>
    </row>
    <row r="833" spans="5:11">
      <c r="E833" s="1"/>
      <c r="F833" s="1"/>
      <c r="G833" s="1"/>
      <c r="H833" s="1"/>
      <c r="I833" s="1"/>
      <c r="J833" s="1"/>
      <c r="K833" s="1"/>
    </row>
    <row r="834" spans="5:11">
      <c r="E834" s="1"/>
      <c r="F834" s="1"/>
      <c r="G834" s="1"/>
      <c r="H834" s="1"/>
      <c r="I834" s="1"/>
      <c r="J834" s="1"/>
      <c r="K834" s="1"/>
    </row>
    <row r="835" spans="5:11">
      <c r="E835" s="1"/>
      <c r="F835" s="1"/>
      <c r="G835" s="1"/>
      <c r="H835" s="1"/>
      <c r="I835" s="1"/>
      <c r="J835" s="1"/>
      <c r="K835" s="1"/>
    </row>
    <row r="836" spans="5:11">
      <c r="E836" s="1"/>
      <c r="F836" s="1"/>
      <c r="G836" s="1"/>
      <c r="H836" s="1"/>
      <c r="I836" s="1"/>
      <c r="J836" s="1"/>
      <c r="K836" s="1"/>
    </row>
    <row r="837" spans="5:11">
      <c r="E837" s="1"/>
      <c r="F837" s="1"/>
      <c r="G837" s="1"/>
      <c r="H837" s="1"/>
      <c r="I837" s="1"/>
      <c r="J837" s="1"/>
      <c r="K837" s="1"/>
    </row>
    <row r="838" spans="5:11">
      <c r="E838" s="1"/>
      <c r="F838" s="1"/>
      <c r="G838" s="1"/>
      <c r="H838" s="1"/>
      <c r="I838" s="1"/>
      <c r="J838" s="1"/>
      <c r="K838" s="1"/>
    </row>
    <row r="839" spans="5:11">
      <c r="E839" s="1"/>
      <c r="F839" s="1"/>
      <c r="G839" s="1"/>
      <c r="H839" s="1"/>
      <c r="I839" s="1"/>
      <c r="J839" s="1"/>
      <c r="K839" s="1"/>
    </row>
    <row r="840" spans="5:11">
      <c r="E840" s="1"/>
      <c r="F840" s="1"/>
      <c r="G840" s="1"/>
      <c r="H840" s="1"/>
      <c r="I840" s="1"/>
      <c r="J840" s="1"/>
      <c r="K840" s="1"/>
    </row>
    <row r="841" spans="5:11">
      <c r="E841" s="1"/>
      <c r="F841" s="1"/>
      <c r="G841" s="1"/>
      <c r="H841" s="1"/>
      <c r="I841" s="1"/>
      <c r="J841" s="1"/>
      <c r="K841" s="1"/>
    </row>
    <row r="842" spans="5:11">
      <c r="E842" s="1"/>
      <c r="F842" s="1"/>
      <c r="G842" s="1"/>
      <c r="H842" s="1"/>
      <c r="I842" s="1"/>
      <c r="J842" s="1"/>
      <c r="K842" s="1"/>
    </row>
    <row r="843" spans="5:11">
      <c r="E843" s="1"/>
      <c r="F843" s="1"/>
      <c r="G843" s="1"/>
      <c r="H843" s="1"/>
      <c r="I843" s="1"/>
      <c r="J843" s="1"/>
      <c r="K843" s="1"/>
    </row>
    <row r="844" spans="5:11">
      <c r="E844" s="1"/>
      <c r="F844" s="1"/>
      <c r="G844" s="1"/>
      <c r="H844" s="1"/>
      <c r="I844" s="1"/>
      <c r="J844" s="1"/>
      <c r="K844" s="1"/>
    </row>
    <row r="845" spans="5:11">
      <c r="E845" s="1"/>
      <c r="F845" s="1"/>
      <c r="G845" s="1"/>
      <c r="H845" s="1"/>
      <c r="I845" s="1"/>
      <c r="J845" s="1"/>
      <c r="K845" s="1"/>
    </row>
    <row r="846" spans="5:11">
      <c r="E846" s="1"/>
      <c r="F846" s="1"/>
      <c r="G846" s="1"/>
      <c r="H846" s="1"/>
      <c r="I846" s="1"/>
      <c r="J846" s="1"/>
      <c r="K846" s="1"/>
    </row>
    <row r="847" spans="5:11">
      <c r="E847" s="1"/>
      <c r="F847" s="1"/>
      <c r="G847" s="1"/>
      <c r="H847" s="1"/>
      <c r="I847" s="1"/>
      <c r="J847" s="1"/>
      <c r="K847" s="1"/>
    </row>
    <row r="848" spans="5:11">
      <c r="E848" s="1"/>
      <c r="F848" s="1"/>
      <c r="G848" s="1"/>
      <c r="H848" s="1"/>
      <c r="I848" s="1"/>
      <c r="J848" s="1"/>
      <c r="K848" s="1"/>
    </row>
    <row r="849" spans="5:11">
      <c r="E849" s="1"/>
      <c r="F849" s="1"/>
      <c r="G849" s="1"/>
      <c r="H849" s="1"/>
      <c r="I849" s="1"/>
      <c r="J849" s="1"/>
      <c r="K849" s="1"/>
    </row>
    <row r="850" spans="5:11">
      <c r="E850" s="1"/>
      <c r="F850" s="1"/>
      <c r="G850" s="1"/>
      <c r="H850" s="1"/>
      <c r="I850" s="1"/>
      <c r="J850" s="1"/>
      <c r="K850" s="1"/>
    </row>
    <row r="851" spans="5:11">
      <c r="E851" s="1"/>
      <c r="F851" s="1"/>
      <c r="G851" s="1"/>
      <c r="H851" s="1"/>
      <c r="I851" s="1"/>
      <c r="J851" s="1"/>
      <c r="K851" s="1"/>
    </row>
    <row r="852" spans="5:11">
      <c r="E852" s="1"/>
      <c r="F852" s="1"/>
      <c r="G852" s="1"/>
      <c r="H852" s="1"/>
      <c r="I852" s="1"/>
      <c r="J852" s="1"/>
      <c r="K852" s="1"/>
    </row>
    <row r="853" spans="5:11">
      <c r="E853" s="1"/>
      <c r="F853" s="1"/>
      <c r="G853" s="1"/>
      <c r="H853" s="1"/>
      <c r="I853" s="1"/>
      <c r="J853" s="1"/>
      <c r="K853" s="1"/>
    </row>
    <row r="854" spans="5:11">
      <c r="E854" s="1"/>
      <c r="F854" s="1"/>
      <c r="G854" s="1"/>
      <c r="H854" s="1"/>
      <c r="I854" s="1"/>
      <c r="J854" s="1"/>
      <c r="K854" s="1"/>
    </row>
    <row r="855" spans="5:11">
      <c r="E855" s="1"/>
      <c r="F855" s="1"/>
      <c r="G855" s="1"/>
      <c r="H855" s="1"/>
      <c r="I855" s="1"/>
      <c r="J855" s="1"/>
      <c r="K855" s="1"/>
    </row>
    <row r="856" spans="5:11">
      <c r="E856" s="1"/>
      <c r="F856" s="1"/>
      <c r="G856" s="1"/>
      <c r="H856" s="1"/>
      <c r="I856" s="1"/>
      <c r="J856" s="1"/>
      <c r="K856" s="1"/>
    </row>
    <row r="857" spans="5:11">
      <c r="E857" s="1"/>
      <c r="F857" s="1"/>
      <c r="G857" s="1"/>
      <c r="H857" s="1"/>
      <c r="I857" s="1"/>
      <c r="J857" s="1"/>
      <c r="K857" s="1"/>
    </row>
    <row r="858" spans="5:11">
      <c r="E858" s="1"/>
      <c r="F858" s="1"/>
      <c r="G858" s="1"/>
      <c r="H858" s="1"/>
      <c r="I858" s="1"/>
      <c r="J858" s="1"/>
      <c r="K858" s="1"/>
    </row>
    <row r="859" spans="5:11">
      <c r="E859" s="1"/>
      <c r="F859" s="1"/>
      <c r="G859" s="1"/>
      <c r="H859" s="1"/>
      <c r="I859" s="1"/>
      <c r="J859" s="1"/>
      <c r="K859" s="1"/>
    </row>
    <row r="860" spans="5:11">
      <c r="E860" s="1"/>
      <c r="F860" s="1"/>
      <c r="G860" s="1"/>
      <c r="H860" s="1"/>
      <c r="I860" s="1"/>
      <c r="J860" s="1"/>
      <c r="K860" s="1"/>
    </row>
    <row r="861" spans="5:11">
      <c r="E861" s="1"/>
      <c r="F861" s="1"/>
      <c r="G861" s="1"/>
      <c r="H861" s="1"/>
      <c r="I861" s="1"/>
      <c r="J861" s="1"/>
      <c r="K861" s="1"/>
    </row>
    <row r="862" spans="5:11">
      <c r="E862" s="1"/>
      <c r="F862" s="1"/>
      <c r="G862" s="1"/>
      <c r="H862" s="1"/>
      <c r="I862" s="1"/>
      <c r="J862" s="1"/>
      <c r="K862" s="1"/>
    </row>
    <row r="863" spans="5:11">
      <c r="E863" s="1"/>
      <c r="F863" s="1"/>
      <c r="G863" s="1"/>
      <c r="H863" s="1"/>
      <c r="I863" s="1"/>
      <c r="J863" s="1"/>
      <c r="K863" s="1"/>
    </row>
    <row r="864" spans="5:11">
      <c r="E864" s="1"/>
      <c r="F864" s="1"/>
      <c r="G864" s="1"/>
      <c r="H864" s="1"/>
      <c r="I864" s="1"/>
      <c r="J864" s="1"/>
      <c r="K864" s="1"/>
    </row>
    <row r="865" spans="5:11">
      <c r="E865" s="1"/>
      <c r="F865" s="1"/>
      <c r="G865" s="1"/>
      <c r="H865" s="1"/>
      <c r="I865" s="1"/>
      <c r="J865" s="1"/>
      <c r="K865" s="1"/>
    </row>
    <row r="866" spans="5:11">
      <c r="E866" s="1"/>
      <c r="F866" s="1"/>
      <c r="G866" s="1"/>
      <c r="H866" s="1"/>
      <c r="I866" s="1"/>
      <c r="J866" s="1"/>
      <c r="K866" s="1"/>
    </row>
    <row r="867" spans="5:11">
      <c r="E867" s="1"/>
      <c r="F867" s="1"/>
      <c r="G867" s="1"/>
      <c r="H867" s="1"/>
      <c r="I867" s="1"/>
      <c r="J867" s="1"/>
      <c r="K867" s="1"/>
    </row>
    <row r="868" spans="5:11">
      <c r="E868" s="1"/>
      <c r="F868" s="1"/>
      <c r="G868" s="1"/>
      <c r="H868" s="1"/>
      <c r="I868" s="1"/>
      <c r="J868" s="1"/>
      <c r="K868" s="1"/>
    </row>
    <row r="869" spans="5:11">
      <c r="E869" s="1"/>
      <c r="F869" s="1"/>
      <c r="G869" s="1"/>
      <c r="H869" s="1"/>
      <c r="I869" s="1"/>
      <c r="J869" s="1"/>
      <c r="K869" s="1"/>
    </row>
    <row r="870" spans="5:11">
      <c r="E870" s="1"/>
      <c r="F870" s="1"/>
      <c r="G870" s="1"/>
      <c r="H870" s="1"/>
      <c r="I870" s="1"/>
      <c r="J870" s="1"/>
      <c r="K870" s="1"/>
    </row>
    <row r="871" spans="5:11">
      <c r="E871" s="1"/>
      <c r="F871" s="1"/>
      <c r="G871" s="1"/>
      <c r="H871" s="1"/>
      <c r="I871" s="1"/>
      <c r="J871" s="1"/>
      <c r="K871" s="1"/>
    </row>
    <row r="872" spans="5:11">
      <c r="E872" s="1"/>
      <c r="F872" s="1"/>
      <c r="G872" s="1"/>
      <c r="H872" s="1"/>
      <c r="I872" s="1"/>
      <c r="J872" s="1"/>
      <c r="K872" s="1"/>
    </row>
    <row r="873" spans="5:11">
      <c r="E873" s="1"/>
      <c r="F873" s="1"/>
      <c r="G873" s="1"/>
      <c r="H873" s="1"/>
      <c r="I873" s="1"/>
      <c r="J873" s="1"/>
      <c r="K873" s="1"/>
    </row>
    <row r="874" spans="5:11">
      <c r="E874" s="1"/>
      <c r="F874" s="1"/>
      <c r="G874" s="1"/>
      <c r="H874" s="1"/>
      <c r="I874" s="1"/>
      <c r="J874" s="1"/>
      <c r="K874" s="1"/>
    </row>
    <row r="875" spans="5:11">
      <c r="E875" s="1"/>
      <c r="F875" s="1"/>
      <c r="G875" s="1"/>
      <c r="H875" s="1"/>
      <c r="I875" s="1"/>
      <c r="J875" s="1"/>
      <c r="K875" s="1"/>
    </row>
    <row r="876" spans="5:11">
      <c r="E876" s="1"/>
      <c r="F876" s="1"/>
      <c r="G876" s="1"/>
      <c r="H876" s="1"/>
      <c r="I876" s="1"/>
      <c r="J876" s="1"/>
      <c r="K876" s="1"/>
    </row>
    <row r="877" spans="5:11">
      <c r="E877" s="1"/>
      <c r="F877" s="1"/>
      <c r="G877" s="1"/>
      <c r="H877" s="1"/>
      <c r="I877" s="1"/>
      <c r="J877" s="1"/>
      <c r="K877" s="1"/>
    </row>
    <row r="878" spans="5:11">
      <c r="E878" s="1"/>
      <c r="F878" s="1"/>
      <c r="G878" s="1"/>
      <c r="H878" s="1"/>
      <c r="I878" s="1"/>
      <c r="J878" s="1"/>
      <c r="K878" s="1"/>
    </row>
    <row r="879" spans="5:11">
      <c r="E879" s="1"/>
      <c r="F879" s="1"/>
      <c r="G879" s="1"/>
      <c r="H879" s="1"/>
      <c r="I879" s="1"/>
      <c r="J879" s="1"/>
      <c r="K879" s="1"/>
    </row>
    <row r="880" spans="5:11">
      <c r="E880" s="1"/>
      <c r="F880" s="1"/>
      <c r="G880" s="1"/>
      <c r="H880" s="1"/>
      <c r="I880" s="1"/>
      <c r="J880" s="1"/>
      <c r="K880" s="1"/>
    </row>
    <row r="881" spans="5:11">
      <c r="E881" s="1"/>
      <c r="F881" s="1"/>
      <c r="G881" s="1"/>
      <c r="H881" s="1"/>
      <c r="I881" s="1"/>
      <c r="J881" s="1"/>
      <c r="K881" s="1"/>
    </row>
    <row r="882" spans="5:11">
      <c r="E882" s="1"/>
      <c r="F882" s="1"/>
      <c r="G882" s="1"/>
      <c r="H882" s="1"/>
      <c r="I882" s="1"/>
      <c r="J882" s="1"/>
      <c r="K882" s="1"/>
    </row>
    <row r="883" spans="5:11">
      <c r="E883" s="1"/>
      <c r="F883" s="1"/>
      <c r="G883" s="1"/>
      <c r="H883" s="1"/>
      <c r="I883" s="1"/>
      <c r="J883" s="1"/>
      <c r="K883" s="1"/>
    </row>
    <row r="884" spans="5:11">
      <c r="E884" s="1"/>
      <c r="F884" s="1"/>
      <c r="G884" s="1"/>
      <c r="H884" s="1"/>
      <c r="I884" s="1"/>
      <c r="J884" s="1"/>
      <c r="K884" s="1"/>
    </row>
    <row r="885" spans="5:11">
      <c r="E885" s="1"/>
      <c r="F885" s="1"/>
      <c r="G885" s="1"/>
      <c r="H885" s="1"/>
      <c r="I885" s="1"/>
      <c r="J885" s="1"/>
      <c r="K885" s="1"/>
    </row>
    <row r="886" spans="5:11">
      <c r="E886" s="1"/>
      <c r="F886" s="1"/>
      <c r="G886" s="1"/>
      <c r="H886" s="1"/>
      <c r="I886" s="1"/>
      <c r="J886" s="1"/>
      <c r="K886" s="1"/>
    </row>
    <row r="887" spans="5:11">
      <c r="E887" s="1"/>
      <c r="F887" s="1"/>
      <c r="G887" s="1"/>
      <c r="H887" s="1"/>
      <c r="I887" s="1"/>
      <c r="J887" s="1"/>
      <c r="K887" s="1"/>
    </row>
    <row r="888" spans="5:11">
      <c r="E888" s="1"/>
      <c r="F888" s="1"/>
      <c r="G888" s="1"/>
      <c r="H888" s="1"/>
      <c r="I888" s="1"/>
      <c r="J888" s="1"/>
      <c r="K888" s="1"/>
    </row>
    <row r="889" spans="5:11">
      <c r="E889" s="1"/>
      <c r="F889" s="1"/>
      <c r="G889" s="1"/>
      <c r="H889" s="1"/>
      <c r="I889" s="1"/>
      <c r="J889" s="1"/>
      <c r="K889" s="1"/>
    </row>
    <row r="890" spans="5:11">
      <c r="E890" s="1"/>
      <c r="F890" s="1"/>
      <c r="G890" s="1"/>
      <c r="H890" s="1"/>
      <c r="I890" s="1"/>
      <c r="J890" s="1"/>
      <c r="K890" s="1"/>
    </row>
    <row r="891" spans="5:11">
      <c r="E891" s="1"/>
      <c r="F891" s="1"/>
      <c r="G891" s="1"/>
      <c r="H891" s="1"/>
      <c r="I891" s="1"/>
      <c r="J891" s="1"/>
      <c r="K891" s="1"/>
    </row>
    <row r="892" spans="5:11">
      <c r="E892" s="1"/>
      <c r="F892" s="1"/>
      <c r="G892" s="1"/>
      <c r="H892" s="1"/>
      <c r="I892" s="1"/>
      <c r="J892" s="1"/>
      <c r="K892" s="1"/>
    </row>
    <row r="893" spans="5:11">
      <c r="E893" s="1"/>
      <c r="F893" s="1"/>
      <c r="G893" s="1"/>
      <c r="H893" s="1"/>
      <c r="I893" s="1"/>
      <c r="J893" s="1"/>
      <c r="K893" s="1"/>
    </row>
    <row r="894" spans="5:11">
      <c r="E894" s="1"/>
      <c r="F894" s="1"/>
      <c r="G894" s="1"/>
      <c r="H894" s="1"/>
      <c r="I894" s="1"/>
      <c r="J894" s="1"/>
      <c r="K894" s="1"/>
    </row>
    <row r="895" spans="5:11">
      <c r="E895" s="1"/>
      <c r="F895" s="1"/>
      <c r="G895" s="1"/>
      <c r="H895" s="1"/>
      <c r="I895" s="1"/>
      <c r="J895" s="1"/>
      <c r="K895" s="1"/>
    </row>
    <row r="896" spans="5:11">
      <c r="E896" s="1"/>
      <c r="F896" s="1"/>
      <c r="G896" s="1"/>
      <c r="H896" s="1"/>
      <c r="I896" s="1"/>
      <c r="J896" s="1"/>
      <c r="K896" s="1"/>
    </row>
    <row r="897" spans="5:11">
      <c r="E897" s="1"/>
      <c r="F897" s="1"/>
      <c r="G897" s="1"/>
      <c r="H897" s="1"/>
      <c r="I897" s="1"/>
      <c r="J897" s="1"/>
      <c r="K897" s="1"/>
    </row>
    <row r="898" spans="5:11">
      <c r="E898" s="1"/>
      <c r="F898" s="1"/>
      <c r="G898" s="1"/>
      <c r="H898" s="1"/>
      <c r="I898" s="1"/>
      <c r="J898" s="1"/>
      <c r="K898" s="1"/>
    </row>
    <row r="899" spans="5:11">
      <c r="E899" s="1"/>
      <c r="F899" s="1"/>
      <c r="G899" s="1"/>
      <c r="H899" s="1"/>
      <c r="I899" s="1"/>
      <c r="J899" s="1"/>
      <c r="K899" s="1"/>
    </row>
    <row r="900" spans="5:11">
      <c r="E900" s="1"/>
      <c r="F900" s="1"/>
      <c r="G900" s="1"/>
      <c r="H900" s="1"/>
      <c r="I900" s="1"/>
      <c r="J900" s="1"/>
      <c r="K900" s="1"/>
    </row>
    <row r="901" spans="5:11">
      <c r="E901" s="1"/>
      <c r="F901" s="1"/>
      <c r="G901" s="1"/>
      <c r="H901" s="1"/>
      <c r="I901" s="1"/>
      <c r="J901" s="1"/>
      <c r="K901" s="1"/>
    </row>
    <row r="902" spans="5:11">
      <c r="E902" s="1"/>
      <c r="F902" s="1"/>
      <c r="G902" s="1"/>
      <c r="H902" s="1"/>
      <c r="I902" s="1"/>
      <c r="J902" s="1"/>
      <c r="K902" s="1"/>
    </row>
    <row r="903" spans="5:11">
      <c r="E903" s="1"/>
      <c r="F903" s="1"/>
      <c r="G903" s="1"/>
      <c r="H903" s="1"/>
      <c r="I903" s="1"/>
      <c r="J903" s="1"/>
      <c r="K903" s="1"/>
    </row>
    <row r="904" spans="5:11">
      <c r="E904" s="1"/>
      <c r="F904" s="1"/>
      <c r="G904" s="1"/>
      <c r="H904" s="1"/>
      <c r="I904" s="1"/>
      <c r="J904" s="1"/>
      <c r="K904" s="1"/>
    </row>
    <row r="905" spans="5:11">
      <c r="E905" s="1"/>
      <c r="F905" s="1"/>
      <c r="G905" s="1"/>
      <c r="H905" s="1"/>
      <c r="I905" s="1"/>
      <c r="J905" s="1"/>
      <c r="K905" s="1"/>
    </row>
    <row r="906" spans="5:11">
      <c r="E906" s="1"/>
      <c r="F906" s="1"/>
      <c r="G906" s="1"/>
      <c r="H906" s="1"/>
      <c r="I906" s="1"/>
      <c r="J906" s="1"/>
      <c r="K906" s="1"/>
    </row>
    <row r="907" spans="5:11">
      <c r="E907" s="1"/>
      <c r="F907" s="1"/>
      <c r="G907" s="1"/>
      <c r="H907" s="1"/>
      <c r="I907" s="1"/>
      <c r="J907" s="1"/>
      <c r="K907" s="1"/>
    </row>
    <row r="908" spans="5:11">
      <c r="E908" s="1"/>
      <c r="F908" s="1"/>
      <c r="G908" s="1"/>
      <c r="H908" s="1"/>
      <c r="I908" s="1"/>
      <c r="J908" s="1"/>
      <c r="K908" s="1"/>
    </row>
    <row r="909" spans="5:11">
      <c r="E909" s="1"/>
      <c r="F909" s="1"/>
      <c r="G909" s="1"/>
      <c r="H909" s="1"/>
      <c r="I909" s="1"/>
      <c r="J909" s="1"/>
      <c r="K909" s="1"/>
    </row>
    <row r="910" spans="5:11">
      <c r="E910" s="1"/>
      <c r="F910" s="1"/>
      <c r="G910" s="1"/>
      <c r="H910" s="1"/>
      <c r="I910" s="1"/>
      <c r="J910" s="1"/>
      <c r="K910" s="1"/>
    </row>
    <row r="911" spans="5:11">
      <c r="E911" s="1"/>
      <c r="F911" s="1"/>
      <c r="G911" s="1"/>
      <c r="H911" s="1"/>
      <c r="I911" s="1"/>
      <c r="J911" s="1"/>
      <c r="K911" s="1"/>
    </row>
    <row r="912" spans="5:11">
      <c r="E912" s="1"/>
      <c r="F912" s="1"/>
      <c r="G912" s="1"/>
      <c r="H912" s="1"/>
      <c r="I912" s="1"/>
      <c r="J912" s="1"/>
      <c r="K912" s="1"/>
    </row>
    <row r="913" spans="5:11">
      <c r="E913" s="1"/>
      <c r="F913" s="1"/>
      <c r="G913" s="1"/>
      <c r="H913" s="1"/>
      <c r="I913" s="1"/>
      <c r="J913" s="1"/>
      <c r="K913" s="1"/>
    </row>
    <row r="914" spans="5:11">
      <c r="E914" s="1"/>
      <c r="F914" s="1"/>
      <c r="G914" s="1"/>
      <c r="H914" s="1"/>
      <c r="I914" s="1"/>
      <c r="J914" s="1"/>
      <c r="K914" s="1"/>
    </row>
    <row r="915" spans="5:11">
      <c r="E915" s="1"/>
      <c r="F915" s="1"/>
      <c r="G915" s="1"/>
      <c r="H915" s="1"/>
      <c r="I915" s="1"/>
      <c r="J915" s="1"/>
      <c r="K915" s="1"/>
    </row>
    <row r="916" spans="5:11">
      <c r="E916" s="1"/>
      <c r="F916" s="1"/>
      <c r="G916" s="1"/>
      <c r="H916" s="1"/>
      <c r="I916" s="1"/>
      <c r="J916" s="1"/>
      <c r="K916" s="1"/>
    </row>
    <row r="917" spans="5:11">
      <c r="E917" s="1"/>
      <c r="F917" s="1"/>
      <c r="G917" s="1"/>
      <c r="H917" s="1"/>
      <c r="I917" s="1"/>
      <c r="J917" s="1"/>
      <c r="K917" s="1"/>
    </row>
    <row r="918" spans="5:11">
      <c r="E918" s="1"/>
      <c r="F918" s="1"/>
      <c r="G918" s="1"/>
      <c r="H918" s="1"/>
      <c r="I918" s="1"/>
      <c r="J918" s="1"/>
      <c r="K918" s="1"/>
    </row>
    <row r="919" spans="5:11">
      <c r="E919" s="1"/>
      <c r="F919" s="1"/>
      <c r="G919" s="1"/>
      <c r="H919" s="1"/>
      <c r="I919" s="1"/>
      <c r="J919" s="1"/>
      <c r="K919" s="1"/>
    </row>
    <row r="920" spans="5:11">
      <c r="E920" s="1"/>
      <c r="F920" s="1"/>
      <c r="G920" s="1"/>
      <c r="H920" s="1"/>
      <c r="I920" s="1"/>
      <c r="J920" s="1"/>
      <c r="K920" s="1"/>
    </row>
    <row r="921" spans="5:11">
      <c r="E921" s="1"/>
      <c r="F921" s="1"/>
      <c r="G921" s="1"/>
      <c r="H921" s="1"/>
      <c r="I921" s="1"/>
      <c r="J921" s="1"/>
      <c r="K921" s="1"/>
    </row>
    <row r="922" spans="5:11">
      <c r="E922" s="1"/>
      <c r="F922" s="1"/>
      <c r="G922" s="1"/>
      <c r="H922" s="1"/>
      <c r="I922" s="1"/>
      <c r="J922" s="1"/>
      <c r="K922" s="1"/>
    </row>
    <row r="923" spans="5:11">
      <c r="E923" s="1"/>
      <c r="F923" s="1"/>
      <c r="G923" s="1"/>
      <c r="H923" s="1"/>
      <c r="I923" s="1"/>
      <c r="J923" s="1"/>
      <c r="K923" s="1"/>
    </row>
    <row r="924" spans="5:11">
      <c r="E924" s="1"/>
      <c r="F924" s="1"/>
      <c r="G924" s="1"/>
      <c r="H924" s="1"/>
      <c r="I924" s="1"/>
      <c r="J924" s="1"/>
      <c r="K924" s="1"/>
    </row>
    <row r="925" spans="5:11">
      <c r="E925" s="1"/>
      <c r="F925" s="1"/>
      <c r="G925" s="1"/>
      <c r="H925" s="1"/>
      <c r="I925" s="1"/>
      <c r="J925" s="1"/>
      <c r="K925" s="1"/>
    </row>
    <row r="926" spans="5:11">
      <c r="E926" s="1"/>
      <c r="F926" s="1"/>
      <c r="G926" s="1"/>
      <c r="H926" s="1"/>
      <c r="I926" s="1"/>
      <c r="J926" s="1"/>
      <c r="K926" s="1"/>
    </row>
    <row r="927" spans="5:11">
      <c r="E927" s="1"/>
      <c r="F927" s="1"/>
      <c r="G927" s="1"/>
      <c r="H927" s="1"/>
      <c r="I927" s="1"/>
      <c r="J927" s="1"/>
      <c r="K927" s="1"/>
    </row>
    <row r="928" spans="5:11">
      <c r="E928" s="1"/>
      <c r="F928" s="1"/>
      <c r="G928" s="1"/>
      <c r="H928" s="1"/>
      <c r="I928" s="1"/>
      <c r="J928" s="1"/>
      <c r="K928" s="1"/>
    </row>
    <row r="929" spans="5:11">
      <c r="E929" s="1"/>
      <c r="F929" s="1"/>
      <c r="G929" s="1"/>
      <c r="H929" s="1"/>
      <c r="I929" s="1"/>
      <c r="J929" s="1"/>
      <c r="K929" s="1"/>
    </row>
    <row r="930" spans="5:11">
      <c r="E930" s="1"/>
      <c r="F930" s="1"/>
      <c r="G930" s="1"/>
      <c r="H930" s="1"/>
      <c r="I930" s="1"/>
      <c r="J930" s="1"/>
      <c r="K930" s="1"/>
    </row>
    <row r="931" spans="5:11">
      <c r="E931" s="1"/>
      <c r="F931" s="1"/>
      <c r="G931" s="1"/>
      <c r="H931" s="1"/>
      <c r="I931" s="1"/>
      <c r="J931" s="1"/>
      <c r="K931" s="1"/>
    </row>
    <row r="932" spans="5:11">
      <c r="E932" s="1"/>
      <c r="F932" s="1"/>
      <c r="G932" s="1"/>
      <c r="H932" s="1"/>
      <c r="I932" s="1"/>
      <c r="J932" s="1"/>
      <c r="K932" s="1"/>
    </row>
    <row r="933" spans="5:11">
      <c r="E933" s="1"/>
      <c r="F933" s="1"/>
      <c r="G933" s="1"/>
      <c r="H933" s="1"/>
      <c r="I933" s="1"/>
      <c r="J933" s="1"/>
      <c r="K933" s="1"/>
    </row>
    <row r="934" spans="5:11">
      <c r="E934" s="1"/>
      <c r="F934" s="1"/>
      <c r="G934" s="1"/>
      <c r="H934" s="1"/>
      <c r="I934" s="1"/>
      <c r="J934" s="1"/>
      <c r="K934" s="1"/>
    </row>
    <row r="935" spans="5:11">
      <c r="E935" s="1"/>
      <c r="F935" s="1"/>
      <c r="G935" s="1"/>
      <c r="H935" s="1"/>
      <c r="I935" s="1"/>
      <c r="J935" s="1"/>
      <c r="K935" s="1"/>
    </row>
    <row r="936" spans="5:11">
      <c r="E936" s="1"/>
      <c r="F936" s="1"/>
      <c r="G936" s="1"/>
      <c r="H936" s="1"/>
      <c r="I936" s="1"/>
      <c r="J936" s="1"/>
      <c r="K936" s="1"/>
    </row>
    <row r="937" spans="5:11">
      <c r="E937" s="1"/>
      <c r="F937" s="1"/>
      <c r="G937" s="1"/>
      <c r="H937" s="1"/>
      <c r="I937" s="1"/>
      <c r="J937" s="1"/>
      <c r="K937" s="1"/>
    </row>
    <row r="938" spans="5:11">
      <c r="E938" s="1"/>
      <c r="F938" s="1"/>
      <c r="G938" s="1"/>
      <c r="H938" s="1"/>
      <c r="I938" s="1"/>
      <c r="J938" s="1"/>
      <c r="K938" s="1"/>
    </row>
    <row r="939" spans="5:11">
      <c r="E939" s="1"/>
      <c r="F939" s="1"/>
      <c r="G939" s="1"/>
      <c r="H939" s="1"/>
      <c r="I939" s="1"/>
      <c r="J939" s="1"/>
      <c r="K939" s="1"/>
    </row>
    <row r="940" spans="5:11">
      <c r="E940" s="1"/>
      <c r="F940" s="1"/>
      <c r="G940" s="1"/>
      <c r="H940" s="1"/>
      <c r="I940" s="1"/>
      <c r="J940" s="1"/>
      <c r="K940" s="1"/>
    </row>
    <row r="941" spans="5:11">
      <c r="E941" s="1"/>
      <c r="F941" s="1"/>
      <c r="G941" s="1"/>
      <c r="H941" s="1"/>
      <c r="I941" s="1"/>
      <c r="J941" s="1"/>
      <c r="K941" s="1"/>
    </row>
    <row r="942" spans="5:11">
      <c r="E942" s="1"/>
      <c r="F942" s="1"/>
      <c r="G942" s="1"/>
      <c r="H942" s="1"/>
      <c r="I942" s="1"/>
      <c r="J942" s="1"/>
      <c r="K942" s="1"/>
    </row>
    <row r="943" spans="5:11">
      <c r="E943" s="1"/>
      <c r="F943" s="1"/>
      <c r="G943" s="1"/>
      <c r="H943" s="1"/>
      <c r="I943" s="1"/>
      <c r="J943" s="1"/>
      <c r="K943" s="1"/>
    </row>
    <row r="944" spans="5:11">
      <c r="E944" s="1"/>
      <c r="F944" s="1"/>
      <c r="G944" s="1"/>
      <c r="H944" s="1"/>
      <c r="I944" s="1"/>
      <c r="J944" s="1"/>
      <c r="K944" s="1"/>
    </row>
    <row r="945" spans="5:11">
      <c r="E945" s="1"/>
      <c r="F945" s="1"/>
      <c r="G945" s="1"/>
      <c r="H945" s="1"/>
      <c r="I945" s="1"/>
      <c r="J945" s="1"/>
      <c r="K945" s="1"/>
    </row>
    <row r="946" spans="5:11">
      <c r="E946" s="1"/>
      <c r="F946" s="1"/>
      <c r="G946" s="1"/>
      <c r="H946" s="1"/>
      <c r="I946" s="1"/>
      <c r="J946" s="1"/>
      <c r="K946" s="1"/>
    </row>
    <row r="947" spans="5:11">
      <c r="E947" s="1"/>
      <c r="F947" s="1"/>
      <c r="G947" s="1"/>
      <c r="H947" s="1"/>
      <c r="I947" s="1"/>
      <c r="J947" s="1"/>
      <c r="K947" s="1"/>
    </row>
    <row r="948" spans="5:11">
      <c r="E948" s="1"/>
      <c r="F948" s="1"/>
      <c r="G948" s="1"/>
      <c r="H948" s="1"/>
      <c r="I948" s="1"/>
      <c r="J948" s="1"/>
      <c r="K948" s="1"/>
    </row>
    <row r="949" spans="5:11">
      <c r="E949" s="1"/>
      <c r="F949" s="1"/>
      <c r="G949" s="1"/>
      <c r="H949" s="1"/>
      <c r="I949" s="1"/>
      <c r="J949" s="1"/>
      <c r="K949" s="1"/>
    </row>
    <row r="950" spans="5:11">
      <c r="E950" s="1"/>
      <c r="F950" s="1"/>
      <c r="G950" s="1"/>
      <c r="H950" s="1"/>
      <c r="I950" s="1"/>
      <c r="J950" s="1"/>
      <c r="K950" s="1"/>
    </row>
    <row r="951" spans="5:11">
      <c r="E951" s="1"/>
      <c r="F951" s="1"/>
      <c r="G951" s="1"/>
      <c r="H951" s="1"/>
      <c r="I951" s="1"/>
      <c r="J951" s="1"/>
      <c r="K951" s="1"/>
    </row>
    <row r="952" spans="5:11">
      <c r="E952" s="1"/>
      <c r="F952" s="1"/>
      <c r="G952" s="1"/>
      <c r="H952" s="1"/>
      <c r="I952" s="1"/>
      <c r="J952" s="1"/>
      <c r="K952" s="1"/>
    </row>
    <row r="953" spans="5:11">
      <c r="E953" s="1"/>
      <c r="F953" s="1"/>
      <c r="G953" s="1"/>
      <c r="H953" s="1"/>
      <c r="I953" s="1"/>
      <c r="J953" s="1"/>
      <c r="K953" s="1"/>
    </row>
    <row r="954" spans="5:11">
      <c r="E954" s="1"/>
      <c r="F954" s="1"/>
      <c r="G954" s="1"/>
      <c r="H954" s="1"/>
      <c r="I954" s="1"/>
      <c r="J954" s="1"/>
      <c r="K954" s="1"/>
    </row>
    <row r="955" spans="5:11">
      <c r="E955" s="1"/>
      <c r="F955" s="1"/>
      <c r="G955" s="1"/>
      <c r="H955" s="1"/>
      <c r="I955" s="1"/>
      <c r="J955" s="1"/>
      <c r="K955" s="1"/>
    </row>
    <row r="956" spans="5:11">
      <c r="E956" s="1"/>
      <c r="F956" s="1"/>
      <c r="G956" s="1"/>
      <c r="H956" s="1"/>
      <c r="I956" s="1"/>
      <c r="J956" s="1"/>
      <c r="K956" s="1"/>
    </row>
    <row r="957" spans="5:11">
      <c r="E957" s="1"/>
      <c r="F957" s="1"/>
      <c r="G957" s="1"/>
      <c r="H957" s="1"/>
      <c r="I957" s="1"/>
      <c r="J957" s="1"/>
      <c r="K957" s="1"/>
    </row>
    <row r="958" spans="5:11">
      <c r="E958" s="1"/>
      <c r="F958" s="1"/>
      <c r="G958" s="1"/>
      <c r="H958" s="1"/>
      <c r="I958" s="1"/>
      <c r="J958" s="1"/>
      <c r="K958" s="1"/>
    </row>
    <row r="959" spans="5:11">
      <c r="E959" s="1"/>
      <c r="F959" s="1"/>
      <c r="G959" s="1"/>
      <c r="H959" s="1"/>
      <c r="I959" s="1"/>
      <c r="J959" s="1"/>
      <c r="K959" s="1"/>
    </row>
    <row r="960" spans="5:11">
      <c r="E960" s="1"/>
      <c r="F960" s="1"/>
      <c r="G960" s="1"/>
      <c r="H960" s="1"/>
      <c r="I960" s="1"/>
      <c r="J960" s="1"/>
      <c r="K960" s="1"/>
    </row>
    <row r="961" spans="5:11">
      <c r="E961" s="1"/>
      <c r="F961" s="1"/>
      <c r="G961" s="1"/>
      <c r="H961" s="1"/>
      <c r="I961" s="1"/>
      <c r="J961" s="1"/>
      <c r="K961" s="1"/>
    </row>
    <row r="962" spans="5:11">
      <c r="E962" s="1"/>
      <c r="F962" s="1"/>
      <c r="G962" s="1"/>
      <c r="H962" s="1"/>
      <c r="I962" s="1"/>
      <c r="J962" s="1"/>
      <c r="K962" s="1"/>
    </row>
    <row r="963" spans="5:11">
      <c r="E963" s="1"/>
      <c r="F963" s="1"/>
      <c r="G963" s="1"/>
      <c r="H963" s="1"/>
      <c r="I963" s="1"/>
      <c r="J963" s="1"/>
      <c r="K963" s="1"/>
    </row>
    <row r="964" spans="5:11">
      <c r="E964" s="1"/>
      <c r="F964" s="1"/>
      <c r="G964" s="1"/>
      <c r="H964" s="1"/>
      <c r="I964" s="1"/>
      <c r="J964" s="1"/>
      <c r="K964" s="1"/>
    </row>
    <row r="965" spans="5:11">
      <c r="E965" s="1"/>
      <c r="F965" s="1"/>
      <c r="G965" s="1"/>
      <c r="H965" s="1"/>
      <c r="I965" s="1"/>
      <c r="J965" s="1"/>
      <c r="K965" s="1"/>
    </row>
    <row r="966" spans="5:11">
      <c r="E966" s="1"/>
      <c r="F966" s="1"/>
      <c r="G966" s="1"/>
      <c r="H966" s="1"/>
      <c r="I966" s="1"/>
      <c r="J966" s="1"/>
      <c r="K966" s="1"/>
    </row>
    <row r="967" spans="5:11">
      <c r="E967" s="1"/>
      <c r="F967" s="1"/>
      <c r="G967" s="1"/>
      <c r="H967" s="1"/>
      <c r="I967" s="1"/>
      <c r="J967" s="1"/>
      <c r="K967" s="1"/>
    </row>
    <row r="968" spans="5:11">
      <c r="E968" s="1"/>
      <c r="F968" s="1"/>
      <c r="G968" s="1"/>
      <c r="H968" s="1"/>
      <c r="I968" s="1"/>
      <c r="J968" s="1"/>
      <c r="K968" s="1"/>
    </row>
    <row r="969" spans="5:11">
      <c r="E969" s="1"/>
      <c r="F969" s="1"/>
      <c r="G969" s="1"/>
      <c r="H969" s="1"/>
      <c r="I969" s="1"/>
      <c r="J969" s="1"/>
      <c r="K969" s="1"/>
    </row>
    <row r="970" spans="5:11">
      <c r="E970" s="1"/>
      <c r="F970" s="1"/>
      <c r="G970" s="1"/>
      <c r="H970" s="1"/>
      <c r="I970" s="1"/>
      <c r="J970" s="1"/>
      <c r="K970" s="1"/>
    </row>
    <row r="971" spans="5:11">
      <c r="E971" s="1"/>
      <c r="F971" s="1"/>
      <c r="G971" s="1"/>
      <c r="H971" s="1"/>
      <c r="I971" s="1"/>
      <c r="J971" s="1"/>
      <c r="K971" s="1"/>
    </row>
    <row r="972" spans="5:11">
      <c r="E972" s="1"/>
      <c r="F972" s="1"/>
      <c r="G972" s="1"/>
      <c r="H972" s="1"/>
      <c r="I972" s="1"/>
      <c r="J972" s="1"/>
      <c r="K972" s="1"/>
    </row>
    <row r="973" spans="5:11">
      <c r="E973" s="1"/>
      <c r="F973" s="1"/>
      <c r="G973" s="1"/>
      <c r="H973" s="1"/>
      <c r="I973" s="1"/>
      <c r="J973" s="1"/>
      <c r="K973" s="1"/>
    </row>
    <row r="974" spans="5:11">
      <c r="E974" s="1"/>
      <c r="F974" s="1"/>
      <c r="G974" s="1"/>
      <c r="H974" s="1"/>
      <c r="I974" s="1"/>
      <c r="J974" s="1"/>
      <c r="K974" s="1"/>
    </row>
    <row r="975" spans="5:11">
      <c r="E975" s="1"/>
      <c r="F975" s="1"/>
      <c r="G975" s="1"/>
      <c r="H975" s="1"/>
      <c r="I975" s="1"/>
      <c r="J975" s="1"/>
      <c r="K975" s="1"/>
    </row>
    <row r="976" spans="5:11">
      <c r="E976" s="1"/>
      <c r="F976" s="1"/>
      <c r="G976" s="1"/>
      <c r="H976" s="1"/>
      <c r="I976" s="1"/>
      <c r="J976" s="1"/>
      <c r="K976" s="1"/>
    </row>
    <row r="977" spans="5:11">
      <c r="E977" s="1"/>
      <c r="F977" s="1"/>
      <c r="G977" s="1"/>
      <c r="H977" s="1"/>
      <c r="I977" s="1"/>
      <c r="J977" s="1"/>
      <c r="K977" s="1"/>
    </row>
    <row r="978" spans="5:11">
      <c r="E978" s="1"/>
      <c r="F978" s="1"/>
      <c r="G978" s="1"/>
      <c r="H978" s="1"/>
      <c r="I978" s="1"/>
      <c r="J978" s="1"/>
      <c r="K978" s="1"/>
    </row>
    <row r="979" spans="5:11">
      <c r="E979" s="1"/>
      <c r="F979" s="1"/>
      <c r="G979" s="1"/>
      <c r="H979" s="1"/>
      <c r="I979" s="1"/>
      <c r="J979" s="1"/>
      <c r="K979" s="1"/>
    </row>
    <row r="980" spans="5:11">
      <c r="E980" s="1"/>
      <c r="F980" s="1"/>
      <c r="G980" s="1"/>
      <c r="H980" s="1"/>
      <c r="I980" s="1"/>
      <c r="J980" s="1"/>
      <c r="K980" s="1"/>
    </row>
    <row r="981" spans="5:11">
      <c r="E981" s="1"/>
      <c r="F981" s="1"/>
      <c r="G981" s="1"/>
      <c r="H981" s="1"/>
      <c r="I981" s="1"/>
      <c r="J981" s="1"/>
      <c r="K981" s="1"/>
    </row>
    <row r="982" spans="5:11">
      <c r="E982" s="1"/>
      <c r="F982" s="1"/>
      <c r="G982" s="1"/>
      <c r="H982" s="1"/>
      <c r="I982" s="1"/>
      <c r="J982" s="1"/>
      <c r="K982" s="1"/>
    </row>
    <row r="983" spans="5:11">
      <c r="E983" s="1"/>
      <c r="F983" s="1"/>
      <c r="G983" s="1"/>
      <c r="H983" s="1"/>
      <c r="I983" s="1"/>
      <c r="J983" s="1"/>
      <c r="K983" s="1"/>
    </row>
    <row r="984" spans="5:11">
      <c r="E984" s="1"/>
      <c r="F984" s="1"/>
      <c r="G984" s="1"/>
      <c r="H984" s="1"/>
      <c r="I984" s="1"/>
      <c r="J984" s="1"/>
      <c r="K984" s="1"/>
    </row>
    <row r="985" spans="5:11">
      <c r="E985" s="1"/>
      <c r="F985" s="1"/>
      <c r="G985" s="1"/>
      <c r="H985" s="1"/>
      <c r="I985" s="1"/>
      <c r="J985" s="1"/>
      <c r="K985" s="1"/>
    </row>
    <row r="986" spans="5:11">
      <c r="E986" s="1"/>
      <c r="F986" s="1"/>
      <c r="G986" s="1"/>
      <c r="H986" s="1"/>
      <c r="I986" s="1"/>
      <c r="J986" s="1"/>
      <c r="K986" s="1"/>
    </row>
    <row r="987" spans="5:11">
      <c r="E987" s="1"/>
      <c r="F987" s="1"/>
      <c r="G987" s="1"/>
      <c r="H987" s="1"/>
      <c r="I987" s="1"/>
      <c r="J987" s="1"/>
      <c r="K987" s="1"/>
    </row>
    <row r="988" spans="5:11">
      <c r="E988" s="1"/>
      <c r="F988" s="1"/>
      <c r="G988" s="1"/>
      <c r="H988" s="1"/>
      <c r="I988" s="1"/>
      <c r="J988" s="1"/>
      <c r="K988" s="1"/>
    </row>
    <row r="989" spans="5:11">
      <c r="E989" s="1"/>
      <c r="F989" s="1"/>
      <c r="G989" s="1"/>
      <c r="H989" s="1"/>
      <c r="I989" s="1"/>
      <c r="J989" s="1"/>
      <c r="K989" s="1"/>
    </row>
    <row r="990" spans="5:11">
      <c r="E990" s="1"/>
      <c r="F990" s="1"/>
      <c r="G990" s="1"/>
      <c r="H990" s="1"/>
      <c r="I990" s="1"/>
      <c r="J990" s="1"/>
      <c r="K990" s="1"/>
    </row>
    <row r="991" spans="5:11">
      <c r="E991" s="1"/>
      <c r="F991" s="1"/>
      <c r="G991" s="1"/>
      <c r="H991" s="1"/>
      <c r="I991" s="1"/>
      <c r="J991" s="1"/>
      <c r="K991" s="1"/>
    </row>
    <row r="992" spans="5:11">
      <c r="E992" s="1"/>
      <c r="F992" s="1"/>
      <c r="G992" s="1"/>
      <c r="H992" s="1"/>
      <c r="I992" s="1"/>
      <c r="J992" s="1"/>
      <c r="K992" s="1"/>
    </row>
    <row r="993" spans="5:11">
      <c r="E993" s="1"/>
      <c r="F993" s="1"/>
      <c r="G993" s="1"/>
      <c r="H993" s="1"/>
      <c r="I993" s="1"/>
      <c r="J993" s="1"/>
      <c r="K993" s="1"/>
    </row>
    <row r="994" spans="5:11">
      <c r="E994" s="1"/>
      <c r="F994" s="1"/>
      <c r="G994" s="1"/>
      <c r="H994" s="1"/>
      <c r="I994" s="1"/>
      <c r="J994" s="1"/>
      <c r="K994" s="1"/>
    </row>
    <row r="995" spans="5:11">
      <c r="E995" s="1"/>
      <c r="F995" s="1"/>
      <c r="G995" s="1"/>
      <c r="H995" s="1"/>
      <c r="I995" s="1"/>
      <c r="J995" s="1"/>
      <c r="K995" s="1"/>
    </row>
    <row r="996" spans="5:11">
      <c r="E996" s="1"/>
      <c r="F996" s="1"/>
      <c r="G996" s="1"/>
      <c r="H996" s="1"/>
      <c r="I996" s="1"/>
      <c r="J996" s="1"/>
      <c r="K996" s="1"/>
    </row>
  </sheetData>
  <mergeCells count="16">
    <mergeCell ref="D79:L79"/>
    <mergeCell ref="E86:F86"/>
    <mergeCell ref="T28:T30"/>
    <mergeCell ref="T31:T33"/>
    <mergeCell ref="E45:F45"/>
    <mergeCell ref="D47:L47"/>
    <mergeCell ref="E76:F76"/>
    <mergeCell ref="E77:F77"/>
    <mergeCell ref="O49:AB49"/>
    <mergeCell ref="O50:AB50"/>
    <mergeCell ref="T24:T27"/>
    <mergeCell ref="D2:L2"/>
    <mergeCell ref="D4:L4"/>
    <mergeCell ref="E18:F18"/>
    <mergeCell ref="D21:L21"/>
    <mergeCell ref="S21:U21"/>
  </mergeCells>
  <pageMargins left="0.7" right="0.7" top="0.75" bottom="0.75" header="0" footer="0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3:AG63"/>
  <sheetViews>
    <sheetView showGridLines="0" zoomScale="60" zoomScaleNormal="60" workbookViewId="0">
      <pane xSplit="2" ySplit="4" topLeftCell="D17" activePane="bottomRight" state="frozen"/>
      <selection pane="bottomRight" activeCell="H32" sqref="H32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2.77734375" customWidth="1"/>
    <col min="3" max="3" width="15.109375" customWidth="1"/>
    <col min="4" max="4" width="14.21875" customWidth="1"/>
    <col min="5" max="5" width="10.5546875" customWidth="1"/>
    <col min="6" max="6" width="11.44140625" customWidth="1"/>
    <col min="7" max="7" width="11.33203125" customWidth="1"/>
    <col min="8" max="8" width="11.6640625" customWidth="1"/>
    <col min="9" max="9" width="12.6640625" customWidth="1"/>
    <col min="10" max="10" width="12.332031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10.6640625" style="1" customWidth="1"/>
    <col min="18" max="18" width="14.6640625" customWidth="1"/>
    <col min="19" max="20" width="14.77734375" customWidth="1"/>
    <col min="21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7" t="s">
        <v>6</v>
      </c>
      <c r="H4" s="128" t="s">
        <v>7</v>
      </c>
      <c r="I4" s="128" t="s">
        <v>8</v>
      </c>
      <c r="J4" s="129" t="s">
        <v>9</v>
      </c>
      <c r="K4" s="274" t="s">
        <v>182</v>
      </c>
      <c r="L4" s="127" t="s">
        <v>10</v>
      </c>
      <c r="M4" s="128" t="s">
        <v>11</v>
      </c>
      <c r="N4" s="128" t="s">
        <v>12</v>
      </c>
      <c r="O4" s="146" t="s">
        <v>13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3.15">
      <c r="B5" s="130">
        <v>44136</v>
      </c>
      <c r="C5" s="131">
        <v>8810</v>
      </c>
      <c r="D5" s="135">
        <v>22140</v>
      </c>
      <c r="E5" s="135">
        <v>4190</v>
      </c>
      <c r="F5" s="136">
        <v>15170</v>
      </c>
      <c r="G5" s="140">
        <v>3845</v>
      </c>
      <c r="H5" s="137">
        <v>18809</v>
      </c>
      <c r="I5" s="137">
        <v>4164</v>
      </c>
      <c r="J5" s="138">
        <v>12477</v>
      </c>
      <c r="K5" s="276">
        <f>SUM(Table252346789[[#This Row],[Batan Daily Prod (bopd)]:[Odidi prod (bopd)]])</f>
        <v>39295</v>
      </c>
      <c r="L5" s="131">
        <f>Table252346789[[#This Row],[Batan Target (bopd)]]-Table252346789[[#This Row],[Batan Daily Prod (bopd)]]</f>
        <v>4965</v>
      </c>
      <c r="M5" s="132">
        <f>Table252346789[[#This Row],[Jones Creek Target (bopd)]]-Table252346789[[#This Row],[Jones Creek Prod (bopd)]]</f>
        <v>3331</v>
      </c>
      <c r="N5" s="132">
        <f>Table252346789[[#This Row],[Egwa Target (bopd)]]-Table252346789[[#This Row],[Egwa Prod (bopd)]]</f>
        <v>26</v>
      </c>
      <c r="O5" s="134">
        <f>Table252346789[[#This Row],[Odidi Target (bopd)]]-Table252346789[[#This Row],[Odidi prod (bopd)]]</f>
        <v>2693</v>
      </c>
      <c r="R5" s="144"/>
      <c r="S5" s="148" t="s">
        <v>148</v>
      </c>
      <c r="T5" s="152">
        <f>B17</f>
        <v>44148</v>
      </c>
      <c r="U5" s="152">
        <f>T5+1</f>
        <v>44149</v>
      </c>
      <c r="V5" s="152">
        <f>U5+1</f>
        <v>44150</v>
      </c>
      <c r="W5" s="152">
        <f>V5+1</f>
        <v>44151</v>
      </c>
      <c r="X5" s="152">
        <f>W5+1</f>
        <v>44152</v>
      </c>
    </row>
    <row r="6" spans="2:33" ht="21.6">
      <c r="B6" s="130">
        <v>44137</v>
      </c>
      <c r="C6" s="131">
        <v>8810</v>
      </c>
      <c r="D6" s="135">
        <v>22140</v>
      </c>
      <c r="E6" s="135">
        <v>4190</v>
      </c>
      <c r="F6" s="136">
        <v>15170</v>
      </c>
      <c r="G6" s="140">
        <v>3836</v>
      </c>
      <c r="H6" s="137">
        <v>18977</v>
      </c>
      <c r="I6" s="137">
        <v>2882</v>
      </c>
      <c r="J6" s="138">
        <v>13429</v>
      </c>
      <c r="K6" s="276">
        <f>SUM(Table252346789[[#This Row],[Batan Daily Prod (bopd)]:[Odidi prod (bopd)]])</f>
        <v>39124</v>
      </c>
      <c r="L6" s="131">
        <f>Table252346789[[#This Row],[Batan Target (bopd)]]-Table252346789[[#This Row],[Batan Daily Prod (bopd)]]</f>
        <v>4974</v>
      </c>
      <c r="M6" s="132">
        <f>Table252346789[[#This Row],[Jones Creek Target (bopd)]]-Table252346789[[#This Row],[Jones Creek Prod (bopd)]]</f>
        <v>3163</v>
      </c>
      <c r="N6" s="132">
        <f>Table252346789[[#This Row],[Egwa Target (bopd)]]-Table252346789[[#This Row],[Egwa Prod (bopd)]]</f>
        <v>1308</v>
      </c>
      <c r="O6" s="134">
        <f>Table252346789[[#This Row],[Odidi Target (bopd)]]-Table252346789[[#This Row],[Odidi prod (bopd)]]</f>
        <v>1741</v>
      </c>
      <c r="R6" s="145" t="s">
        <v>17</v>
      </c>
      <c r="S6" s="272">
        <v>22.14</v>
      </c>
      <c r="T6" s="268">
        <v>12.79</v>
      </c>
      <c r="U6" s="267">
        <v>17.72</v>
      </c>
      <c r="V6" s="268">
        <v>21.46</v>
      </c>
      <c r="W6" s="267">
        <v>15.38</v>
      </c>
      <c r="X6" s="268">
        <v>15.38</v>
      </c>
      <c r="Z6" s="297"/>
      <c r="AA6" s="298"/>
      <c r="AB6" s="298"/>
      <c r="AC6" s="298"/>
      <c r="AD6" s="244"/>
      <c r="AE6" s="244"/>
      <c r="AF6" s="245"/>
      <c r="AG6" s="245"/>
    </row>
    <row r="7" spans="2:33" ht="21.6">
      <c r="B7" s="130">
        <v>44138</v>
      </c>
      <c r="C7" s="131">
        <v>8810</v>
      </c>
      <c r="D7" s="135">
        <v>22140</v>
      </c>
      <c r="E7" s="135">
        <v>4190</v>
      </c>
      <c r="F7" s="136">
        <v>15170</v>
      </c>
      <c r="G7" s="131">
        <v>3802</v>
      </c>
      <c r="H7" s="137">
        <v>18556</v>
      </c>
      <c r="I7" s="132">
        <v>2389</v>
      </c>
      <c r="J7" s="134">
        <v>12214</v>
      </c>
      <c r="K7" s="276">
        <f>SUM(Table252346789[[#This Row],[Batan Daily Prod (bopd)]:[Odidi prod (bopd)]])</f>
        <v>36961</v>
      </c>
      <c r="L7" s="131">
        <f>Table252346789[[#This Row],[Batan Target (bopd)]]-Table252346789[[#This Row],[Batan Daily Prod (bopd)]]</f>
        <v>5008</v>
      </c>
      <c r="M7" s="132">
        <f>Table252346789[[#This Row],[Jones Creek Target (bopd)]]-Table252346789[[#This Row],[Jones Creek Prod (bopd)]]</f>
        <v>3584</v>
      </c>
      <c r="N7" s="132">
        <f>Table252346789[[#This Row],[Egwa Target (bopd)]]-Table252346789[[#This Row],[Egwa Prod (bopd)]]</f>
        <v>1801</v>
      </c>
      <c r="O7" s="134">
        <f>Table252346789[[#This Row],[Odidi Target (bopd)]]-Table252346789[[#This Row],[Odidi prod (bopd)]]</f>
        <v>2956</v>
      </c>
      <c r="R7" s="145" t="s">
        <v>19</v>
      </c>
      <c r="S7" s="272">
        <v>15.17</v>
      </c>
      <c r="T7" s="268">
        <v>4.5990000000000002</v>
      </c>
      <c r="U7" s="267">
        <v>10.029</v>
      </c>
      <c r="V7" s="268">
        <v>11.273999999999999</v>
      </c>
      <c r="W7" s="267">
        <v>11.223000000000001</v>
      </c>
      <c r="X7" s="300">
        <v>11.223000000000001</v>
      </c>
      <c r="Z7" s="297"/>
      <c r="AA7" s="298"/>
      <c r="AB7" s="298"/>
      <c r="AC7" s="298"/>
      <c r="AD7" s="244"/>
      <c r="AE7" s="246"/>
      <c r="AF7" s="246"/>
      <c r="AG7" s="246"/>
    </row>
    <row r="8" spans="2:33" ht="21.6">
      <c r="B8" s="130">
        <v>44139</v>
      </c>
      <c r="C8" s="131">
        <v>8810</v>
      </c>
      <c r="D8" s="135">
        <v>22140</v>
      </c>
      <c r="E8" s="135">
        <v>4190</v>
      </c>
      <c r="F8" s="136">
        <v>15170</v>
      </c>
      <c r="G8" s="131">
        <v>3928</v>
      </c>
      <c r="H8" s="137">
        <v>19940</v>
      </c>
      <c r="I8" s="137">
        <v>3268</v>
      </c>
      <c r="J8" s="138">
        <v>12768</v>
      </c>
      <c r="K8" s="276">
        <f>SUM(Table252346789[[#This Row],[Batan Daily Prod (bopd)]:[Odidi prod (bopd)]])</f>
        <v>39904</v>
      </c>
      <c r="L8" s="131">
        <f>Table252346789[[#This Row],[Batan Target (bopd)]]-Table252346789[[#This Row],[Batan Daily Prod (bopd)]]</f>
        <v>4882</v>
      </c>
      <c r="M8" s="132">
        <f>Table252346789[[#This Row],[Jones Creek Target (bopd)]]-Table252346789[[#This Row],[Jones Creek Prod (bopd)]]</f>
        <v>2200</v>
      </c>
      <c r="N8" s="132">
        <f>Table252346789[[#This Row],[Egwa Target (bopd)]]-Table252346789[[#This Row],[Egwa Prod (bopd)]]</f>
        <v>922</v>
      </c>
      <c r="O8" s="134">
        <f>Table252346789[[#This Row],[Odidi Target (bopd)]]-Table252346789[[#This Row],[Odidi prod (bopd)]]</f>
        <v>2402</v>
      </c>
      <c r="R8" s="145" t="s">
        <v>16</v>
      </c>
      <c r="S8" s="272">
        <v>8.81</v>
      </c>
      <c r="T8" s="268">
        <v>0</v>
      </c>
      <c r="U8" s="269">
        <v>2.15</v>
      </c>
      <c r="V8" s="268">
        <v>3.0310000000000001</v>
      </c>
      <c r="W8" s="269">
        <v>3.0680000000000001</v>
      </c>
      <c r="X8" s="268">
        <v>3.0680000000000001</v>
      </c>
      <c r="Z8" s="298"/>
      <c r="AA8" s="299"/>
      <c r="AB8" s="298"/>
      <c r="AC8" s="299"/>
      <c r="AD8" s="244"/>
      <c r="AE8" s="244"/>
      <c r="AF8" s="244"/>
      <c r="AG8" s="244"/>
    </row>
    <row r="9" spans="2:33" ht="21.6">
      <c r="B9" s="130">
        <v>44140</v>
      </c>
      <c r="C9" s="131">
        <v>8810</v>
      </c>
      <c r="D9" s="135">
        <v>22140</v>
      </c>
      <c r="E9" s="135">
        <v>4190</v>
      </c>
      <c r="F9" s="136">
        <v>15170</v>
      </c>
      <c r="G9" s="131">
        <v>3890</v>
      </c>
      <c r="H9" s="132">
        <v>18579</v>
      </c>
      <c r="I9" s="132">
        <v>1684</v>
      </c>
      <c r="J9" s="134">
        <v>13381</v>
      </c>
      <c r="K9" s="276">
        <f>SUM(Table252346789[[#This Row],[Batan Daily Prod (bopd)]:[Odidi prod (bopd)]])</f>
        <v>37534</v>
      </c>
      <c r="L9" s="131">
        <f>Table252346789[[#This Row],[Batan Target (bopd)]]-Table252346789[[#This Row],[Batan Daily Prod (bopd)]]</f>
        <v>4920</v>
      </c>
      <c r="M9" s="132">
        <f>Table252346789[[#This Row],[Jones Creek Target (bopd)]]-Table252346789[[#This Row],[Jones Creek Prod (bopd)]]</f>
        <v>3561</v>
      </c>
      <c r="N9" s="132">
        <f>Table252346789[[#This Row],[Egwa Target (bopd)]]-Table252346789[[#This Row],[Egwa Prod (bopd)]]</f>
        <v>2506</v>
      </c>
      <c r="O9" s="134">
        <f>Table252346789[[#This Row],[Odidi Target (bopd)]]-Table252346789[[#This Row],[Odidi prod (bopd)]]</f>
        <v>1789</v>
      </c>
      <c r="R9" s="145" t="s">
        <v>18</v>
      </c>
      <c r="S9" s="273">
        <v>4.1900000000000004</v>
      </c>
      <c r="T9" s="270">
        <v>0</v>
      </c>
      <c r="U9" s="269">
        <v>0</v>
      </c>
      <c r="V9" s="270">
        <v>0</v>
      </c>
      <c r="W9" s="269">
        <v>0</v>
      </c>
      <c r="X9" s="270">
        <v>0</v>
      </c>
      <c r="AA9" s="242"/>
      <c r="AB9" s="243"/>
      <c r="AC9" s="244"/>
      <c r="AD9" s="244"/>
      <c r="AE9" s="244"/>
      <c r="AF9" s="245"/>
      <c r="AG9" s="245"/>
    </row>
    <row r="10" spans="2:33" ht="21.6">
      <c r="B10" s="130">
        <v>44141</v>
      </c>
      <c r="C10" s="131">
        <v>8810</v>
      </c>
      <c r="D10" s="135">
        <v>22140</v>
      </c>
      <c r="E10" s="135">
        <v>4190</v>
      </c>
      <c r="F10" s="136">
        <v>15170</v>
      </c>
      <c r="G10" s="131">
        <v>3913</v>
      </c>
      <c r="H10" s="132">
        <v>19997</v>
      </c>
      <c r="I10" s="132">
        <v>1608</v>
      </c>
      <c r="J10" s="138">
        <v>12555</v>
      </c>
      <c r="K10" s="276">
        <f>SUM(Table252346789[[#This Row],[Batan Daily Prod (bopd)]:[Odidi prod (bopd)]])</f>
        <v>38073</v>
      </c>
      <c r="L10" s="131">
        <f>Table252346789[[#This Row],[Batan Target (bopd)]]-Table252346789[[#This Row],[Batan Daily Prod (bopd)]]</f>
        <v>4897</v>
      </c>
      <c r="M10" s="132">
        <f>Table252346789[[#This Row],[Jones Creek Target (bopd)]]-Table252346789[[#This Row],[Jones Creek Prod (bopd)]]</f>
        <v>2143</v>
      </c>
      <c r="N10" s="132">
        <f>Table252346789[[#This Row],[Egwa Target (bopd)]]-Table252346789[[#This Row],[Egwa Prod (bopd)]]</f>
        <v>2582</v>
      </c>
      <c r="O10" s="134">
        <f>Table252346789[[#This Row],[Odidi Target (bopd)]]-Table252346789[[#This Row],[Odidi prod (bopd)]]</f>
        <v>2615</v>
      </c>
    </row>
    <row r="11" spans="2:33" ht="21.6">
      <c r="B11" s="130">
        <v>44142</v>
      </c>
      <c r="C11" s="131">
        <v>8810</v>
      </c>
      <c r="D11" s="135">
        <v>22140</v>
      </c>
      <c r="E11" s="135">
        <v>4190</v>
      </c>
      <c r="F11" s="136">
        <v>15170</v>
      </c>
      <c r="G11" s="131">
        <v>3917</v>
      </c>
      <c r="H11" s="132">
        <v>19672</v>
      </c>
      <c r="I11" s="132">
        <v>2853</v>
      </c>
      <c r="J11" s="134">
        <v>12746</v>
      </c>
      <c r="K11" s="276">
        <f>SUM(Table252346789[[#This Row],[Batan Daily Prod (bopd)]:[Odidi prod (bopd)]])</f>
        <v>39188</v>
      </c>
      <c r="L11" s="131">
        <f>Table252346789[[#This Row],[Batan Target (bopd)]]-Table252346789[[#This Row],[Batan Daily Prod (bopd)]]</f>
        <v>4893</v>
      </c>
      <c r="M11" s="132">
        <f>Table252346789[[#This Row],[Jones Creek Target (bopd)]]-Table252346789[[#This Row],[Jones Creek Prod (bopd)]]</f>
        <v>2468</v>
      </c>
      <c r="N11" s="132">
        <f>Table252346789[[#This Row],[Egwa Target (bopd)]]-Table252346789[[#This Row],[Egwa Prod (bopd)]]</f>
        <v>1337</v>
      </c>
      <c r="O11" s="134">
        <f>Table252346789[[#This Row],[Odidi Target (bopd)]]-Table252346789[[#This Row],[Odidi prod (bopd)]]</f>
        <v>2424</v>
      </c>
    </row>
    <row r="12" spans="2:33" ht="21.6">
      <c r="B12" s="130">
        <v>44143</v>
      </c>
      <c r="C12" s="131">
        <v>8810</v>
      </c>
      <c r="D12" s="135">
        <v>22140</v>
      </c>
      <c r="E12" s="135">
        <v>4190</v>
      </c>
      <c r="F12" s="136">
        <v>15170</v>
      </c>
      <c r="G12" s="131">
        <v>3763</v>
      </c>
      <c r="H12" s="137">
        <v>19566</v>
      </c>
      <c r="I12" s="132">
        <v>2061</v>
      </c>
      <c r="J12" s="138">
        <v>12742</v>
      </c>
      <c r="K12" s="276">
        <f>SUM(Table252346789[[#This Row],[Batan Daily Prod (bopd)]:[Odidi prod (bopd)]])</f>
        <v>38132</v>
      </c>
      <c r="L12" s="131">
        <f>Table252346789[[#This Row],[Batan Target (bopd)]]-Table252346789[[#This Row],[Batan Daily Prod (bopd)]]</f>
        <v>5047</v>
      </c>
      <c r="M12" s="132">
        <f>Table252346789[[#This Row],[Jones Creek Target (bopd)]]-Table252346789[[#This Row],[Jones Creek Prod (bopd)]]</f>
        <v>2574</v>
      </c>
      <c r="N12" s="132">
        <f>Table252346789[[#This Row],[Egwa Target (bopd)]]-Table252346789[[#This Row],[Egwa Prod (bopd)]]</f>
        <v>2129</v>
      </c>
      <c r="O12" s="134">
        <f>Table252346789[[#This Row],[Odidi Target (bopd)]]-Table252346789[[#This Row],[Odidi prod (bopd)]]</f>
        <v>2428</v>
      </c>
      <c r="P12" s="42"/>
      <c r="Q12" s="42"/>
    </row>
    <row r="13" spans="2:33" ht="21.6">
      <c r="B13" s="130">
        <v>44144</v>
      </c>
      <c r="C13" s="131">
        <v>8810</v>
      </c>
      <c r="D13" s="135">
        <v>22140</v>
      </c>
      <c r="E13" s="135">
        <v>4190</v>
      </c>
      <c r="F13" s="136">
        <v>15170</v>
      </c>
      <c r="G13" s="131">
        <v>3952</v>
      </c>
      <c r="H13" s="137">
        <v>19609</v>
      </c>
      <c r="I13" s="137">
        <v>2242</v>
      </c>
      <c r="J13" s="138">
        <v>13897</v>
      </c>
      <c r="K13" s="276">
        <f>SUM(Table252346789[[#This Row],[Batan Daily Prod (bopd)]:[Odidi prod (bopd)]])</f>
        <v>39700</v>
      </c>
      <c r="L13" s="131">
        <f>Table252346789[[#This Row],[Batan Target (bopd)]]-Table252346789[[#This Row],[Batan Daily Prod (bopd)]]</f>
        <v>4858</v>
      </c>
      <c r="M13" s="132">
        <f>Table252346789[[#This Row],[Jones Creek Target (bopd)]]-Table252346789[[#This Row],[Jones Creek Prod (bopd)]]</f>
        <v>2531</v>
      </c>
      <c r="N13" s="132">
        <f>Table252346789[[#This Row],[Egwa Target (bopd)]]-Table252346789[[#This Row],[Egwa Prod (bopd)]]</f>
        <v>1948</v>
      </c>
      <c r="O13" s="134">
        <f>Table252346789[[#This Row],[Odidi Target (bopd)]]-Table252346789[[#This Row],[Odidi prod (bopd)]]</f>
        <v>1273</v>
      </c>
    </row>
    <row r="14" spans="2:33" ht="21.6">
      <c r="B14" s="130">
        <v>44145</v>
      </c>
      <c r="C14" s="131">
        <v>8810</v>
      </c>
      <c r="D14" s="135">
        <v>22140</v>
      </c>
      <c r="E14" s="135">
        <v>4190</v>
      </c>
      <c r="F14" s="136">
        <v>15170</v>
      </c>
      <c r="G14" s="131">
        <v>3980</v>
      </c>
      <c r="H14" s="137">
        <v>19407</v>
      </c>
      <c r="I14" s="137">
        <v>3117</v>
      </c>
      <c r="J14" s="138">
        <v>13572</v>
      </c>
      <c r="K14" s="276">
        <f>SUM(Table252346789[[#This Row],[Batan Daily Prod (bopd)]:[Odidi prod (bopd)]])</f>
        <v>40076</v>
      </c>
      <c r="L14" s="131">
        <f>Table252346789[[#This Row],[Batan Target (bopd)]]-Table252346789[[#This Row],[Batan Daily Prod (bopd)]]</f>
        <v>4830</v>
      </c>
      <c r="M14" s="132">
        <f>Table252346789[[#This Row],[Jones Creek Target (bopd)]]-Table252346789[[#This Row],[Jones Creek Prod (bopd)]]</f>
        <v>2733</v>
      </c>
      <c r="N14" s="132">
        <f>Table252346789[[#This Row],[Egwa Target (bopd)]]-Table252346789[[#This Row],[Egwa Prod (bopd)]]</f>
        <v>1073</v>
      </c>
      <c r="O14" s="134">
        <f>Table252346789[[#This Row],[Odidi Target (bopd)]]-Table252346789[[#This Row],[Odidi prod (bopd)]]</f>
        <v>1598</v>
      </c>
    </row>
    <row r="15" spans="2:33" ht="21.6">
      <c r="B15" s="130">
        <v>44146</v>
      </c>
      <c r="C15" s="131">
        <v>8810</v>
      </c>
      <c r="D15" s="135">
        <v>22140</v>
      </c>
      <c r="E15" s="135">
        <v>4190</v>
      </c>
      <c r="F15" s="136">
        <v>15170</v>
      </c>
      <c r="G15" s="131">
        <v>1768</v>
      </c>
      <c r="H15" s="137">
        <v>19490</v>
      </c>
      <c r="I15" s="137">
        <v>0</v>
      </c>
      <c r="J15" s="138">
        <v>13936</v>
      </c>
      <c r="K15" s="276">
        <f>SUM(Table252346789[[#This Row],[Batan Daily Prod (bopd)]:[Odidi prod (bopd)]])</f>
        <v>35194</v>
      </c>
      <c r="L15" s="131">
        <f>Table252346789[[#This Row],[Batan Target (bopd)]]-Table252346789[[#This Row],[Batan Daily Prod (bopd)]]</f>
        <v>7042</v>
      </c>
      <c r="M15" s="132">
        <f>Table252346789[[#This Row],[Jones Creek Target (bopd)]]-Table252346789[[#This Row],[Jones Creek Prod (bopd)]]</f>
        <v>2650</v>
      </c>
      <c r="N15" s="132">
        <f>Table252346789[[#This Row],[Egwa Target (bopd)]]-Table252346789[[#This Row],[Egwa Prod (bopd)]]</f>
        <v>4190</v>
      </c>
      <c r="O15" s="134">
        <f>Table252346789[[#This Row],[Odidi Target (bopd)]]-Table252346789[[#This Row],[Odidi prod (bopd)]]</f>
        <v>1234</v>
      </c>
    </row>
    <row r="16" spans="2:33" ht="21.6">
      <c r="B16" s="130">
        <v>44147</v>
      </c>
      <c r="C16" s="131">
        <v>8810</v>
      </c>
      <c r="D16" s="135">
        <v>22140</v>
      </c>
      <c r="E16" s="135">
        <v>4190</v>
      </c>
      <c r="F16" s="136">
        <v>15170</v>
      </c>
      <c r="G16" s="131">
        <v>1797</v>
      </c>
      <c r="H16" s="137">
        <v>13439</v>
      </c>
      <c r="I16" s="132">
        <v>0</v>
      </c>
      <c r="J16" s="138">
        <v>13661</v>
      </c>
      <c r="K16" s="276">
        <f>SUM(Table252346789[[#This Row],[Batan Daily Prod (bopd)]:[Odidi prod (bopd)]])</f>
        <v>28897</v>
      </c>
      <c r="L16" s="131">
        <f>Table252346789[[#This Row],[Batan Target (bopd)]]-Table252346789[[#This Row],[Batan Daily Prod (bopd)]]</f>
        <v>7013</v>
      </c>
      <c r="M16" s="132">
        <f>Table252346789[[#This Row],[Jones Creek Target (bopd)]]-Table252346789[[#This Row],[Jones Creek Prod (bopd)]]</f>
        <v>8701</v>
      </c>
      <c r="N16" s="132">
        <f>Table252346789[[#This Row],[Egwa Target (bopd)]]-Table252346789[[#This Row],[Egwa Prod (bopd)]]</f>
        <v>4190</v>
      </c>
      <c r="O16" s="134">
        <f>Table252346789[[#This Row],[Odidi Target (bopd)]]-Table252346789[[#This Row],[Odidi prod (bopd)]]</f>
        <v>1509</v>
      </c>
    </row>
    <row r="17" spans="2:15" ht="21.6">
      <c r="B17" s="130">
        <v>44148</v>
      </c>
      <c r="C17" s="131">
        <v>8810</v>
      </c>
      <c r="D17" s="135">
        <v>22140</v>
      </c>
      <c r="E17" s="135">
        <v>4190</v>
      </c>
      <c r="F17" s="136">
        <v>15170</v>
      </c>
      <c r="G17" s="140">
        <v>0</v>
      </c>
      <c r="H17" s="137">
        <v>7657</v>
      </c>
      <c r="I17" s="132">
        <v>0</v>
      </c>
      <c r="J17" s="138">
        <v>6904</v>
      </c>
      <c r="K17" s="276">
        <f>SUM(Table252346789[[#This Row],[Batan Daily Prod (bopd)]:[Odidi prod (bopd)]])</f>
        <v>14561</v>
      </c>
      <c r="L17" s="131">
        <f>Table252346789[[#This Row],[Batan Target (bopd)]]-Table252346789[[#This Row],[Batan Daily Prod (bopd)]]</f>
        <v>8810</v>
      </c>
      <c r="M17" s="132">
        <f>Table252346789[[#This Row],[Jones Creek Target (bopd)]]-Table252346789[[#This Row],[Jones Creek Prod (bopd)]]</f>
        <v>14483</v>
      </c>
      <c r="N17" s="132">
        <f>Table252346789[[#This Row],[Egwa Target (bopd)]]-Table252346789[[#This Row],[Egwa Prod (bopd)]]</f>
        <v>4190</v>
      </c>
      <c r="O17" s="134">
        <f>Table252346789[[#This Row],[Odidi Target (bopd)]]-Table252346789[[#This Row],[Odidi prod (bopd)]]</f>
        <v>8266</v>
      </c>
    </row>
    <row r="18" spans="2:15" ht="21.6">
      <c r="B18" s="130">
        <v>44149</v>
      </c>
      <c r="C18" s="131">
        <v>8810</v>
      </c>
      <c r="D18" s="135">
        <v>22140</v>
      </c>
      <c r="E18" s="135">
        <v>4190</v>
      </c>
      <c r="F18" s="136">
        <v>15170</v>
      </c>
      <c r="G18" s="131">
        <v>0</v>
      </c>
      <c r="H18" s="137">
        <v>12788</v>
      </c>
      <c r="I18" s="132">
        <v>0</v>
      </c>
      <c r="J18" s="138">
        <v>4599</v>
      </c>
      <c r="K18" s="276">
        <f>SUM(Table252346789[[#This Row],[Batan Daily Prod (bopd)]:[Odidi prod (bopd)]])</f>
        <v>17387</v>
      </c>
      <c r="L18" s="131">
        <f>Table252346789[[#This Row],[Batan Target (bopd)]]-Table252346789[[#This Row],[Batan Daily Prod (bopd)]]</f>
        <v>8810</v>
      </c>
      <c r="M18" s="132">
        <f>Table252346789[[#This Row],[Jones Creek Target (bopd)]]-Table252346789[[#This Row],[Jones Creek Prod (bopd)]]</f>
        <v>9352</v>
      </c>
      <c r="N18" s="132">
        <f>Table252346789[[#This Row],[Egwa Target (bopd)]]-Table252346789[[#This Row],[Egwa Prod (bopd)]]</f>
        <v>4190</v>
      </c>
      <c r="O18" s="134">
        <f>Table252346789[[#This Row],[Odidi Target (bopd)]]-Table252346789[[#This Row],[Odidi prod (bopd)]]</f>
        <v>10571</v>
      </c>
    </row>
    <row r="19" spans="2:15" ht="21.6">
      <c r="B19" s="130">
        <v>44150</v>
      </c>
      <c r="C19" s="131">
        <v>8810</v>
      </c>
      <c r="D19" s="135">
        <v>22140</v>
      </c>
      <c r="E19" s="135">
        <v>4190</v>
      </c>
      <c r="F19" s="136">
        <v>15170</v>
      </c>
      <c r="G19" s="140">
        <v>2125</v>
      </c>
      <c r="H19" s="137">
        <v>17721</v>
      </c>
      <c r="I19" s="132">
        <v>0</v>
      </c>
      <c r="J19" s="138">
        <v>10029</v>
      </c>
      <c r="K19" s="276">
        <f>SUM(Table252346789[[#This Row],[Batan Daily Prod (bopd)]:[Odidi prod (bopd)]])</f>
        <v>29875</v>
      </c>
      <c r="L19" s="131">
        <f>Table252346789[[#This Row],[Batan Target (bopd)]]-Table252346789[[#This Row],[Batan Daily Prod (bopd)]]</f>
        <v>6685</v>
      </c>
      <c r="M19" s="132">
        <f>Table252346789[[#This Row],[Jones Creek Target (bopd)]]-Table252346789[[#This Row],[Jones Creek Prod (bopd)]]</f>
        <v>4419</v>
      </c>
      <c r="N19" s="132">
        <f>Table252346789[[#This Row],[Egwa Target (bopd)]]-Table252346789[[#This Row],[Egwa Prod (bopd)]]</f>
        <v>4190</v>
      </c>
      <c r="O19" s="134">
        <f>Table252346789[[#This Row],[Odidi Target (bopd)]]-Table252346789[[#This Row],[Odidi prod (bopd)]]</f>
        <v>5141</v>
      </c>
    </row>
    <row r="20" spans="2:15" ht="21.6">
      <c r="B20" s="130">
        <v>44151</v>
      </c>
      <c r="C20" s="131">
        <v>8810</v>
      </c>
      <c r="D20" s="135">
        <v>22140</v>
      </c>
      <c r="E20" s="135">
        <v>4190</v>
      </c>
      <c r="F20" s="136">
        <v>15170</v>
      </c>
      <c r="G20" s="131">
        <v>3031</v>
      </c>
      <c r="H20" s="137">
        <v>21460</v>
      </c>
      <c r="I20" s="132">
        <v>0</v>
      </c>
      <c r="J20" s="138">
        <v>11274</v>
      </c>
      <c r="K20" s="276">
        <f>SUM(Table252346789[[#This Row],[Batan Daily Prod (bopd)]:[Odidi prod (bopd)]])</f>
        <v>35765</v>
      </c>
      <c r="L20" s="131">
        <f>Table252346789[[#This Row],[Batan Target (bopd)]]-Table252346789[[#This Row],[Batan Daily Prod (bopd)]]</f>
        <v>5779</v>
      </c>
      <c r="M20" s="132">
        <f>Table252346789[[#This Row],[Jones Creek Target (bopd)]]-Table252346789[[#This Row],[Jones Creek Prod (bopd)]]</f>
        <v>680</v>
      </c>
      <c r="N20" s="132">
        <f>Table252346789[[#This Row],[Egwa Target (bopd)]]-Table252346789[[#This Row],[Egwa Prod (bopd)]]</f>
        <v>4190</v>
      </c>
      <c r="O20" s="134">
        <f>Table252346789[[#This Row],[Odidi Target (bopd)]]-Table252346789[[#This Row],[Odidi prod (bopd)]]</f>
        <v>3896</v>
      </c>
    </row>
    <row r="21" spans="2:15" ht="21.6">
      <c r="B21" s="130">
        <v>44152</v>
      </c>
      <c r="C21" s="131">
        <v>8810</v>
      </c>
      <c r="D21" s="135">
        <v>22140</v>
      </c>
      <c r="E21" s="135">
        <v>4190</v>
      </c>
      <c r="F21" s="136">
        <v>15170</v>
      </c>
      <c r="G21" s="140">
        <v>3068</v>
      </c>
      <c r="H21" s="137">
        <v>15380</v>
      </c>
      <c r="I21" s="132">
        <v>0</v>
      </c>
      <c r="J21" s="138">
        <v>11223</v>
      </c>
      <c r="K21" s="276">
        <f>SUM(Table252346789[[#This Row],[Batan Daily Prod (bopd)]:[Odidi prod (bopd)]])</f>
        <v>29671</v>
      </c>
      <c r="L21" s="131">
        <f>Table252346789[[#This Row],[Batan Target (bopd)]]-Table252346789[[#This Row],[Batan Daily Prod (bopd)]]</f>
        <v>5742</v>
      </c>
      <c r="M21" s="132">
        <f>Table252346789[[#This Row],[Jones Creek Target (bopd)]]-Table252346789[[#This Row],[Jones Creek Prod (bopd)]]</f>
        <v>6760</v>
      </c>
      <c r="N21" s="132">
        <f>Table252346789[[#This Row],[Egwa Target (bopd)]]-Table252346789[[#This Row],[Egwa Prod (bopd)]]</f>
        <v>4190</v>
      </c>
      <c r="O21" s="134">
        <f>Table252346789[[#This Row],[Odidi Target (bopd)]]-Table252346789[[#This Row],[Odidi prod (bopd)]]</f>
        <v>3947</v>
      </c>
    </row>
    <row r="22" spans="2:15" ht="21.6">
      <c r="B22" s="130">
        <v>44153</v>
      </c>
      <c r="C22" s="131">
        <v>8810</v>
      </c>
      <c r="D22" s="135">
        <v>22140</v>
      </c>
      <c r="E22" s="135">
        <v>4190</v>
      </c>
      <c r="F22" s="136">
        <v>15170</v>
      </c>
      <c r="G22" s="141">
        <v>0</v>
      </c>
      <c r="H22" s="137"/>
      <c r="I22" s="137">
        <v>0</v>
      </c>
      <c r="J22" s="138">
        <v>10934</v>
      </c>
      <c r="K22" s="276"/>
      <c r="L22" s="131"/>
      <c r="M22" s="132"/>
      <c r="N22" s="132"/>
      <c r="O22" s="134"/>
    </row>
    <row r="23" spans="2:15" ht="21.6">
      <c r="B23" s="130">
        <v>44154</v>
      </c>
      <c r="C23" s="131">
        <v>8810</v>
      </c>
      <c r="D23" s="135">
        <v>22140</v>
      </c>
      <c r="E23" s="135">
        <v>4190</v>
      </c>
      <c r="F23" s="136">
        <v>15170</v>
      </c>
      <c r="G23" s="141">
        <v>0</v>
      </c>
      <c r="H23" s="137"/>
      <c r="I23" s="137">
        <v>0</v>
      </c>
      <c r="J23" s="138">
        <v>0</v>
      </c>
      <c r="K23" s="276"/>
      <c r="L23" s="131"/>
      <c r="M23" s="132"/>
      <c r="N23" s="132"/>
      <c r="O23" s="134"/>
    </row>
    <row r="24" spans="2:15" ht="21.6">
      <c r="B24" s="130">
        <v>44155</v>
      </c>
      <c r="C24" s="131">
        <v>8810</v>
      </c>
      <c r="D24" s="135">
        <v>22140</v>
      </c>
      <c r="E24" s="135">
        <v>4190</v>
      </c>
      <c r="F24" s="136">
        <v>15170</v>
      </c>
      <c r="G24" s="141">
        <v>0</v>
      </c>
      <c r="H24" s="132"/>
      <c r="I24" s="137">
        <v>0</v>
      </c>
      <c r="J24" s="138">
        <v>0</v>
      </c>
      <c r="K24" s="276"/>
      <c r="L24" s="131"/>
      <c r="M24" s="132"/>
      <c r="N24" s="132"/>
      <c r="O24" s="134"/>
    </row>
    <row r="25" spans="2:15" ht="21.6">
      <c r="B25" s="130">
        <v>44156</v>
      </c>
      <c r="C25" s="131">
        <v>8810</v>
      </c>
      <c r="D25" s="135">
        <v>22140</v>
      </c>
      <c r="E25" s="135">
        <v>4190</v>
      </c>
      <c r="F25" s="136">
        <v>15170</v>
      </c>
      <c r="G25" s="141"/>
      <c r="H25" s="137"/>
      <c r="I25" s="137"/>
      <c r="J25" s="138"/>
      <c r="K25" s="276"/>
      <c r="L25" s="131"/>
      <c r="M25" s="132"/>
      <c r="N25" s="132"/>
      <c r="O25" s="134"/>
    </row>
    <row r="26" spans="2:15" ht="21.6">
      <c r="B26" s="130">
        <v>44157</v>
      </c>
      <c r="C26" s="131">
        <v>8810</v>
      </c>
      <c r="D26" s="135">
        <v>22140</v>
      </c>
      <c r="E26" s="135">
        <v>4190</v>
      </c>
      <c r="F26" s="136">
        <v>15170</v>
      </c>
      <c r="G26" s="131"/>
      <c r="H26" s="137"/>
      <c r="I26" s="132"/>
      <c r="J26" s="138"/>
      <c r="K26" s="276"/>
      <c r="L26" s="131"/>
      <c r="M26" s="132"/>
      <c r="N26" s="132"/>
      <c r="O26" s="134"/>
    </row>
    <row r="27" spans="2:15" ht="21.6">
      <c r="B27" s="130">
        <v>44158</v>
      </c>
      <c r="C27" s="131">
        <v>8810</v>
      </c>
      <c r="D27" s="135">
        <v>22140</v>
      </c>
      <c r="E27" s="135">
        <v>4190</v>
      </c>
      <c r="F27" s="136">
        <v>15170</v>
      </c>
      <c r="G27" s="140"/>
      <c r="H27" s="137"/>
      <c r="I27" s="132"/>
      <c r="J27" s="138"/>
      <c r="K27" s="276"/>
      <c r="L27" s="131"/>
      <c r="M27" s="132"/>
      <c r="N27" s="132"/>
      <c r="O27" s="134"/>
    </row>
    <row r="28" spans="2:15" ht="21.6">
      <c r="B28" s="130">
        <v>44159</v>
      </c>
      <c r="C28" s="131">
        <v>8810</v>
      </c>
      <c r="D28" s="135">
        <v>22140</v>
      </c>
      <c r="E28" s="135">
        <v>4190</v>
      </c>
      <c r="F28" s="136">
        <v>15170</v>
      </c>
      <c r="G28" s="140"/>
      <c r="H28" s="137"/>
      <c r="I28" s="132"/>
      <c r="J28" s="138"/>
      <c r="K28" s="276"/>
      <c r="L28" s="131"/>
      <c r="M28" s="132"/>
      <c r="N28" s="132"/>
      <c r="O28" s="134"/>
    </row>
    <row r="29" spans="2:15" ht="21.6">
      <c r="B29" s="130">
        <v>44160</v>
      </c>
      <c r="C29" s="131">
        <v>8810</v>
      </c>
      <c r="D29" s="135">
        <v>22140</v>
      </c>
      <c r="E29" s="135">
        <v>4190</v>
      </c>
      <c r="F29" s="136">
        <v>15170</v>
      </c>
      <c r="G29" s="131"/>
      <c r="H29" s="137"/>
      <c r="I29" s="132"/>
      <c r="J29" s="138"/>
      <c r="K29" s="276"/>
      <c r="L29" s="131"/>
      <c r="M29" s="132"/>
      <c r="N29" s="132"/>
      <c r="O29" s="134"/>
    </row>
    <row r="30" spans="2:15" ht="21.6">
      <c r="B30" s="130">
        <v>44161</v>
      </c>
      <c r="C30" s="131">
        <v>8810</v>
      </c>
      <c r="D30" s="135">
        <v>22140</v>
      </c>
      <c r="E30" s="135">
        <v>4190</v>
      </c>
      <c r="F30" s="136">
        <v>15170</v>
      </c>
      <c r="G30" s="131"/>
      <c r="H30" s="137"/>
      <c r="I30" s="137"/>
      <c r="J30" s="138"/>
      <c r="K30" s="276"/>
      <c r="L30" s="131"/>
      <c r="M30" s="132"/>
      <c r="N30" s="132"/>
      <c r="O30" s="134"/>
    </row>
    <row r="31" spans="2:15" ht="21.6">
      <c r="B31" s="130">
        <v>44162</v>
      </c>
      <c r="C31" s="131">
        <v>8810</v>
      </c>
      <c r="D31" s="135">
        <v>22140</v>
      </c>
      <c r="E31" s="135">
        <v>4190</v>
      </c>
      <c r="F31" s="136">
        <v>15170</v>
      </c>
      <c r="G31" s="131"/>
      <c r="H31" s="137"/>
      <c r="I31" s="137"/>
      <c r="J31" s="138"/>
      <c r="K31" s="276"/>
      <c r="L31" s="131"/>
      <c r="M31" s="132"/>
      <c r="N31" s="132"/>
      <c r="O31" s="134"/>
    </row>
    <row r="32" spans="2:15" ht="21.6">
      <c r="B32" s="130">
        <v>44163</v>
      </c>
      <c r="C32" s="131">
        <v>8810</v>
      </c>
      <c r="D32" s="135">
        <v>22140</v>
      </c>
      <c r="E32" s="135">
        <v>4190</v>
      </c>
      <c r="F32" s="136">
        <v>15170</v>
      </c>
      <c r="G32" s="140"/>
      <c r="H32" s="132"/>
      <c r="I32" s="132"/>
      <c r="J32" s="134"/>
      <c r="K32" s="276"/>
      <c r="L32" s="131"/>
      <c r="M32" s="132"/>
      <c r="N32" s="132"/>
      <c r="O32" s="134"/>
    </row>
    <row r="33" spans="2:19" ht="21.6">
      <c r="B33" s="130">
        <v>44164</v>
      </c>
      <c r="C33" s="131">
        <v>8810</v>
      </c>
      <c r="D33" s="135">
        <v>22140</v>
      </c>
      <c r="E33" s="135">
        <v>4190</v>
      </c>
      <c r="F33" s="136">
        <v>15170</v>
      </c>
      <c r="G33" s="131"/>
      <c r="H33" s="137"/>
      <c r="I33" s="137"/>
      <c r="J33" s="138"/>
      <c r="K33" s="276"/>
      <c r="L33" s="131"/>
      <c r="M33" s="132"/>
      <c r="N33" s="132"/>
      <c r="O33" s="134"/>
    </row>
    <row r="34" spans="2:19" ht="21.6">
      <c r="B34" s="130">
        <v>44165</v>
      </c>
      <c r="C34" s="131">
        <v>8810</v>
      </c>
      <c r="D34" s="135">
        <v>22140</v>
      </c>
      <c r="E34" s="135">
        <v>4190</v>
      </c>
      <c r="F34" s="136">
        <v>15170</v>
      </c>
      <c r="G34" s="131"/>
      <c r="H34" s="137"/>
      <c r="I34" s="137"/>
      <c r="J34" s="138"/>
      <c r="K34" s="276"/>
      <c r="L34" s="131"/>
      <c r="M34" s="132"/>
      <c r="N34" s="132"/>
      <c r="O34" s="134"/>
    </row>
    <row r="35" spans="2:19" ht="21.6">
      <c r="B35" s="130">
        <v>44166</v>
      </c>
      <c r="C35" s="131">
        <v>8810</v>
      </c>
      <c r="D35" s="135">
        <v>22140</v>
      </c>
      <c r="E35" s="135">
        <v>4190</v>
      </c>
      <c r="F35" s="136">
        <v>15170</v>
      </c>
      <c r="G35" s="140"/>
      <c r="H35" s="137"/>
      <c r="I35" s="137"/>
      <c r="J35" s="138"/>
      <c r="K35" s="276"/>
      <c r="L35" s="131"/>
      <c r="M35" s="132"/>
      <c r="N35" s="132"/>
      <c r="O35" s="134"/>
    </row>
    <row r="36" spans="2:19" ht="21.6">
      <c r="B36" s="130">
        <v>44167</v>
      </c>
      <c r="C36" s="131">
        <v>8810</v>
      </c>
      <c r="D36" s="135">
        <v>22140</v>
      </c>
      <c r="E36" s="135">
        <v>4190</v>
      </c>
      <c r="F36" s="136">
        <v>15170</v>
      </c>
      <c r="G36" s="140"/>
      <c r="H36" s="137"/>
      <c r="I36" s="137"/>
      <c r="J36" s="138"/>
      <c r="K36" s="276"/>
      <c r="L36" s="131"/>
      <c r="M36" s="132"/>
      <c r="N36" s="132"/>
      <c r="O36" s="134"/>
    </row>
    <row r="37" spans="2:19" ht="21.6">
      <c r="B37" s="130">
        <v>44168</v>
      </c>
      <c r="C37" s="131">
        <v>8810</v>
      </c>
      <c r="D37" s="135">
        <v>22140</v>
      </c>
      <c r="E37" s="135">
        <v>4190</v>
      </c>
      <c r="F37" s="136">
        <v>15170</v>
      </c>
      <c r="G37" s="140"/>
      <c r="H37" s="137"/>
      <c r="I37" s="137"/>
      <c r="J37" s="138"/>
      <c r="K37" s="276"/>
      <c r="L37" s="131"/>
      <c r="M37" s="132"/>
      <c r="N37" s="132"/>
      <c r="O37" s="134"/>
    </row>
    <row r="38" spans="2:19" ht="21.6">
      <c r="B38" s="130">
        <v>44169</v>
      </c>
      <c r="C38" s="131">
        <v>8810</v>
      </c>
      <c r="D38" s="135">
        <v>22140</v>
      </c>
      <c r="E38" s="135">
        <v>4190</v>
      </c>
      <c r="F38" s="136">
        <v>15170</v>
      </c>
      <c r="G38" s="131"/>
      <c r="H38" s="137"/>
      <c r="I38" s="132"/>
      <c r="J38" s="134"/>
      <c r="K38" s="276"/>
      <c r="L38" s="131"/>
      <c r="M38" s="132"/>
      <c r="N38" s="132"/>
      <c r="O38" s="134"/>
    </row>
    <row r="39" spans="2:19" ht="21.6">
      <c r="B39" s="130">
        <v>44170</v>
      </c>
      <c r="C39" s="131">
        <v>8810</v>
      </c>
      <c r="D39" s="135">
        <v>22140</v>
      </c>
      <c r="E39" s="135">
        <v>4190</v>
      </c>
      <c r="F39" s="136">
        <v>15170</v>
      </c>
      <c r="G39" s="131"/>
      <c r="H39" s="137"/>
      <c r="I39" s="137"/>
      <c r="J39" s="138"/>
      <c r="K39" s="276"/>
      <c r="L39" s="131"/>
      <c r="M39" s="132"/>
      <c r="N39" s="132"/>
      <c r="O39" s="134"/>
    </row>
    <row r="40" spans="2:19" ht="21.6">
      <c r="B40" s="130">
        <v>44171</v>
      </c>
      <c r="C40" s="131">
        <v>8810</v>
      </c>
      <c r="D40" s="135">
        <v>22140</v>
      </c>
      <c r="E40" s="135">
        <v>4190</v>
      </c>
      <c r="F40" s="136">
        <v>15170</v>
      </c>
      <c r="G40" s="131"/>
      <c r="H40" s="132"/>
      <c r="I40" s="132"/>
      <c r="J40" s="134"/>
      <c r="K40" s="276"/>
      <c r="L40" s="131"/>
      <c r="M40" s="132"/>
      <c r="N40" s="132"/>
      <c r="O40" s="134"/>
    </row>
    <row r="41" spans="2:19" ht="21.6">
      <c r="B41" s="130">
        <v>44172</v>
      </c>
      <c r="C41" s="131">
        <v>8810</v>
      </c>
      <c r="D41" s="135">
        <v>22140</v>
      </c>
      <c r="E41" s="135">
        <v>4190</v>
      </c>
      <c r="F41" s="136">
        <v>15170</v>
      </c>
      <c r="G41" s="131"/>
      <c r="H41" s="132"/>
      <c r="I41" s="132"/>
      <c r="J41" s="134"/>
      <c r="K41" s="276"/>
      <c r="L41" s="131"/>
      <c r="M41" s="132"/>
      <c r="N41" s="132"/>
      <c r="O41" s="134"/>
    </row>
    <row r="42" spans="2:19" ht="21.6">
      <c r="B42" s="130">
        <v>44173</v>
      </c>
      <c r="C42" s="131">
        <v>8810</v>
      </c>
      <c r="D42" s="135">
        <v>22140</v>
      </c>
      <c r="E42" s="135">
        <v>4190</v>
      </c>
      <c r="F42" s="136">
        <v>15170</v>
      </c>
      <c r="G42" s="131"/>
      <c r="H42" s="132"/>
      <c r="I42" s="132"/>
      <c r="J42" s="134"/>
      <c r="K42" s="276"/>
      <c r="L42" s="131"/>
      <c r="M42" s="132"/>
      <c r="N42" s="132"/>
      <c r="O42" s="134"/>
      <c r="Q42" s="42"/>
    </row>
    <row r="43" spans="2:19" ht="21.6">
      <c r="B43" s="130">
        <v>44174</v>
      </c>
      <c r="C43" s="131">
        <v>8810</v>
      </c>
      <c r="D43" s="135">
        <v>22140</v>
      </c>
      <c r="E43" s="135">
        <v>4190</v>
      </c>
      <c r="F43" s="136">
        <v>15170</v>
      </c>
      <c r="G43" s="131"/>
      <c r="H43" s="137"/>
      <c r="I43" s="132"/>
      <c r="J43" s="138"/>
      <c r="K43" s="275"/>
      <c r="L43" s="131"/>
      <c r="M43" s="132"/>
      <c r="N43" s="132"/>
      <c r="O43" s="134"/>
    </row>
    <row r="44" spans="2:19" ht="21.6">
      <c r="B44" s="130"/>
      <c r="C44" s="131"/>
      <c r="D44" s="135"/>
      <c r="E44" s="135"/>
      <c r="F44" s="136"/>
      <c r="G44" s="131"/>
      <c r="H44" s="132"/>
      <c r="I44" s="132"/>
      <c r="J44" s="134"/>
      <c r="K44" s="276"/>
      <c r="L44" s="131"/>
      <c r="M44" s="132"/>
      <c r="N44" s="132"/>
      <c r="O44" s="134"/>
    </row>
    <row r="46" spans="2:19" ht="15.6" thickBot="1"/>
    <row r="47" spans="2:19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29"/>
      <c r="N47" s="1230"/>
      <c r="R47" s="23"/>
      <c r="S47" s="117"/>
    </row>
    <row r="48" spans="2:19" ht="45.95" customHeight="1">
      <c r="C48" s="247" t="s">
        <v>22</v>
      </c>
      <c r="D48" s="248" t="s">
        <v>23</v>
      </c>
      <c r="E48" s="1242" t="s">
        <v>24</v>
      </c>
      <c r="F48" s="1243"/>
      <c r="G48" s="1243"/>
      <c r="H48" s="1243"/>
      <c r="I48" s="1243"/>
      <c r="J48" s="1243"/>
      <c r="K48" s="1243"/>
      <c r="L48" s="1243"/>
      <c r="M48" s="1243"/>
      <c r="N48" s="1244"/>
      <c r="R48" s="118"/>
      <c r="S48" s="119"/>
    </row>
    <row r="49" spans="3:19" ht="38.25" customHeight="1">
      <c r="C49" s="249" t="s">
        <v>17</v>
      </c>
      <c r="D49" s="250">
        <f>M21/1000</f>
        <v>6.76</v>
      </c>
      <c r="E49" s="1280" t="s">
        <v>262</v>
      </c>
      <c r="F49" s="1281"/>
      <c r="G49" s="1281"/>
      <c r="H49" s="1281"/>
      <c r="I49" s="1281"/>
      <c r="J49" s="1281"/>
      <c r="K49" s="1281"/>
      <c r="L49" s="1281"/>
      <c r="M49" s="1281"/>
      <c r="N49" s="1282"/>
      <c r="R49" s="118"/>
      <c r="S49" s="119"/>
    </row>
    <row r="50" spans="3:19" ht="27.75" customHeight="1">
      <c r="C50" s="249" t="s">
        <v>19</v>
      </c>
      <c r="D50" s="250">
        <f>O21/1000</f>
        <v>3.9470000000000001</v>
      </c>
      <c r="E50" s="1274" t="s">
        <v>263</v>
      </c>
      <c r="F50" s="1283"/>
      <c r="G50" s="1283"/>
      <c r="H50" s="1283"/>
      <c r="I50" s="1283"/>
      <c r="J50" s="1283"/>
      <c r="K50" s="1283"/>
      <c r="L50" s="1283"/>
      <c r="M50" s="1283"/>
      <c r="N50" s="1284"/>
    </row>
    <row r="51" spans="3:19" ht="27" customHeight="1">
      <c r="C51" s="249" t="s">
        <v>16</v>
      </c>
      <c r="D51" s="250">
        <f>L21/1000</f>
        <v>5.742</v>
      </c>
      <c r="E51" s="1274" t="s">
        <v>264</v>
      </c>
      <c r="F51" s="1285"/>
      <c r="G51" s="1285"/>
      <c r="H51" s="1285"/>
      <c r="I51" s="1285"/>
      <c r="J51" s="1285"/>
      <c r="K51" s="1285"/>
      <c r="L51" s="1285"/>
      <c r="M51" s="1285"/>
      <c r="N51" s="1286"/>
      <c r="P51" s="30"/>
      <c r="R51" s="118"/>
      <c r="S51" s="119"/>
    </row>
    <row r="52" spans="3:19" ht="21.6">
      <c r="C52" s="249" t="s">
        <v>18</v>
      </c>
      <c r="D52" s="250">
        <f>N21/1000</f>
        <v>4.1900000000000004</v>
      </c>
      <c r="E52" s="1274" t="s">
        <v>265</v>
      </c>
      <c r="F52" s="1275"/>
      <c r="G52" s="1275"/>
      <c r="H52" s="1275"/>
      <c r="I52" s="1275"/>
      <c r="J52" s="1275"/>
      <c r="K52" s="1275"/>
      <c r="L52" s="1275"/>
      <c r="M52" s="1275"/>
      <c r="N52" s="1276"/>
      <c r="R52" s="118"/>
      <c r="S52" s="119"/>
    </row>
    <row r="53" spans="3:19" ht="22.15" thickBot="1">
      <c r="C53" s="251" t="s">
        <v>187</v>
      </c>
      <c r="D53" s="252">
        <f>SUM(D49:D52)</f>
        <v>20.639000000000003</v>
      </c>
      <c r="E53" s="1277" t="s">
        <v>266</v>
      </c>
      <c r="F53" s="1278"/>
      <c r="G53" s="1278"/>
      <c r="H53" s="1278"/>
      <c r="I53" s="1278"/>
      <c r="J53" s="1278"/>
      <c r="K53" s="1278"/>
      <c r="L53" s="1278"/>
      <c r="M53" s="1278"/>
      <c r="N53" s="1279"/>
    </row>
    <row r="56" spans="3:19" ht="21" thickBot="1">
      <c r="E56" s="30"/>
    </row>
    <row r="57" spans="3:19" ht="35.450000000000003" customHeight="1" thickBot="1">
      <c r="D57" s="172">
        <f>0.84+5.46+1.4</f>
        <v>7.6999999999999993</v>
      </c>
      <c r="E57" s="271"/>
      <c r="F57" s="402"/>
      <c r="H57" s="31"/>
    </row>
    <row r="58" spans="3:19" ht="24.75" customHeight="1">
      <c r="F58" s="30"/>
      <c r="G58" s="30"/>
      <c r="H58" s="36"/>
    </row>
    <row r="59" spans="3:19" ht="20.25" customHeight="1"/>
    <row r="60" spans="3:19">
      <c r="D60" s="147"/>
    </row>
    <row r="61" spans="3:19" ht="22.9">
      <c r="D61" s="325"/>
    </row>
    <row r="63" spans="3:19" ht="20.45">
      <c r="D63" s="30"/>
    </row>
  </sheetData>
  <mergeCells count="8">
    <mergeCell ref="E52:N52"/>
    <mergeCell ref="E53:N53"/>
    <mergeCell ref="T3:X3"/>
    <mergeCell ref="C47:N47"/>
    <mergeCell ref="E48:N48"/>
    <mergeCell ref="E49:N49"/>
    <mergeCell ref="E50:N50"/>
    <mergeCell ref="E51:N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997"/>
  <sheetViews>
    <sheetView topLeftCell="C74" zoomScaleNormal="100" workbookViewId="0">
      <selection activeCell="H87" activeCellId="3" sqref="H18 H46 H78 H87"/>
    </sheetView>
  </sheetViews>
  <sheetFormatPr defaultColWidth="11.21875" defaultRowHeight="15"/>
  <cols>
    <col min="1" max="1" width="6.33203125" hidden="1" customWidth="1"/>
    <col min="2" max="2" width="6.77734375" hidden="1" customWidth="1"/>
    <col min="3" max="3" width="8.5546875" customWidth="1"/>
    <col min="4" max="4" width="10.109375" customWidth="1"/>
    <col min="5" max="5" width="9.5546875" customWidth="1"/>
    <col min="6" max="6" width="9.21875" customWidth="1"/>
    <col min="7" max="7" width="10.77734375" customWidth="1"/>
    <col min="8" max="8" width="10.33203125" customWidth="1"/>
    <col min="9" max="9" width="7.77734375" customWidth="1"/>
    <col min="10" max="10" width="9.109375" customWidth="1"/>
    <col min="11" max="11" width="8" customWidth="1"/>
    <col min="12" max="12" width="20.6640625" customWidth="1"/>
    <col min="13" max="13" width="8.5546875" customWidth="1"/>
    <col min="14" max="14" width="9.33203125" customWidth="1"/>
    <col min="15" max="15" width="8.6640625" hidden="1" customWidth="1"/>
    <col min="16" max="17" width="8.33203125" hidden="1" customWidth="1"/>
    <col min="18" max="18" width="6.21875" hidden="1" customWidth="1"/>
    <col min="19" max="19" width="11" hidden="1" customWidth="1"/>
    <col min="20" max="20" width="11.33203125" hidden="1" customWidth="1"/>
    <col min="21" max="21" width="9.77734375" hidden="1" customWidth="1"/>
    <col min="22" max="22" width="11.6640625" hidden="1" customWidth="1"/>
    <col min="23" max="23" width="2.33203125" hidden="1" customWidth="1"/>
    <col min="24" max="24" width="9.6640625" customWidth="1"/>
    <col min="25" max="47" width="8.5546875" customWidth="1"/>
  </cols>
  <sheetData>
    <row r="1" spans="2:21" ht="15.6">
      <c r="E1" s="1"/>
      <c r="F1" s="1"/>
      <c r="G1" s="1"/>
      <c r="H1" s="1"/>
      <c r="I1" s="1"/>
      <c r="J1" s="1"/>
      <c r="K1" s="1"/>
      <c r="P1" s="414"/>
      <c r="Q1" s="414"/>
      <c r="R1" s="414"/>
      <c r="S1" s="414"/>
      <c r="T1" s="414"/>
      <c r="U1" s="414"/>
    </row>
    <row r="2" spans="2:21" ht="21">
      <c r="D2" s="1226" t="s">
        <v>267</v>
      </c>
      <c r="E2" s="1382"/>
      <c r="F2" s="1382"/>
      <c r="G2" s="1382"/>
      <c r="H2" s="1382"/>
      <c r="I2" s="1382"/>
      <c r="J2" s="1382"/>
      <c r="K2" s="1382"/>
      <c r="L2" s="1382"/>
      <c r="P2" s="414"/>
      <c r="Q2" s="414"/>
      <c r="R2" s="414"/>
      <c r="S2" s="414"/>
      <c r="T2" s="414"/>
      <c r="U2" s="414"/>
    </row>
    <row r="3" spans="2:21" ht="18" customHeight="1" thickBot="1">
      <c r="E3" s="1"/>
      <c r="F3" s="1"/>
      <c r="G3" s="1"/>
      <c r="H3" s="1"/>
      <c r="I3" s="1"/>
      <c r="J3" s="1"/>
      <c r="K3" s="1"/>
      <c r="P3" s="414"/>
      <c r="Q3" s="414"/>
      <c r="R3" s="414"/>
      <c r="S3" s="414"/>
      <c r="T3" s="414"/>
      <c r="U3" s="414"/>
    </row>
    <row r="4" spans="2:21" ht="24" customHeight="1" thickBot="1">
      <c r="D4" s="1252" t="s">
        <v>268</v>
      </c>
      <c r="E4" s="1383"/>
      <c r="F4" s="1383"/>
      <c r="G4" s="1383"/>
      <c r="H4" s="1383"/>
      <c r="I4" s="1383"/>
      <c r="J4" s="1383"/>
      <c r="K4" s="1383"/>
      <c r="L4" s="1384"/>
      <c r="P4" s="414"/>
      <c r="Q4" s="414"/>
      <c r="R4" s="414"/>
      <c r="S4" s="414"/>
      <c r="T4" s="414"/>
      <c r="U4" s="414"/>
    </row>
    <row r="5" spans="2:21" ht="27" thickBot="1">
      <c r="B5" s="178"/>
      <c r="C5" s="179" t="s">
        <v>156</v>
      </c>
      <c r="D5" s="179" t="s">
        <v>31</v>
      </c>
      <c r="E5" s="180" t="s">
        <v>32</v>
      </c>
      <c r="F5" s="180" t="s">
        <v>33</v>
      </c>
      <c r="G5" s="180" t="s">
        <v>34</v>
      </c>
      <c r="H5" s="180" t="s">
        <v>35</v>
      </c>
      <c r="I5" s="181" t="s">
        <v>37</v>
      </c>
      <c r="J5" s="182" t="s">
        <v>38</v>
      </c>
      <c r="K5" s="182" t="s">
        <v>39</v>
      </c>
      <c r="L5" s="183" t="s">
        <v>40</v>
      </c>
      <c r="O5" s="415"/>
      <c r="P5" s="416" t="s">
        <v>269</v>
      </c>
      <c r="Q5" s="416" t="s">
        <v>270</v>
      </c>
      <c r="R5" s="416" t="s">
        <v>271</v>
      </c>
      <c r="S5" s="416" t="s">
        <v>272</v>
      </c>
      <c r="T5" s="417" t="s">
        <v>273</v>
      </c>
      <c r="U5" s="416" t="s">
        <v>274</v>
      </c>
    </row>
    <row r="6" spans="2:21" ht="15.6">
      <c r="B6" s="184"/>
      <c r="C6" s="282">
        <v>1</v>
      </c>
      <c r="D6" s="282" t="s">
        <v>41</v>
      </c>
      <c r="E6" s="283" t="s">
        <v>42</v>
      </c>
      <c r="F6" s="284">
        <v>28</v>
      </c>
      <c r="G6" s="278">
        <v>2051.0158273588454</v>
      </c>
      <c r="H6" s="278">
        <v>533.26411511329979</v>
      </c>
      <c r="I6" s="221">
        <v>74</v>
      </c>
      <c r="J6" s="278">
        <v>521</v>
      </c>
      <c r="K6" s="278">
        <v>435</v>
      </c>
      <c r="L6" s="445" t="s">
        <v>235</v>
      </c>
      <c r="N6" s="418"/>
      <c r="O6" s="419"/>
      <c r="P6" s="416">
        <v>28</v>
      </c>
      <c r="Q6" s="416">
        <v>1706</v>
      </c>
      <c r="R6" s="416">
        <v>580</v>
      </c>
      <c r="S6" s="416">
        <v>66</v>
      </c>
      <c r="T6" s="416">
        <v>995</v>
      </c>
      <c r="U6" s="416">
        <v>494</v>
      </c>
    </row>
    <row r="7" spans="2:21" ht="15.6">
      <c r="B7" s="184"/>
      <c r="C7" s="222">
        <v>2</v>
      </c>
      <c r="D7" s="222" t="s">
        <v>43</v>
      </c>
      <c r="E7" s="219" t="s">
        <v>44</v>
      </c>
      <c r="F7" s="220">
        <v>28</v>
      </c>
      <c r="G7" s="221">
        <v>1231.9335982362411</v>
      </c>
      <c r="H7" s="278">
        <v>628.28613510048297</v>
      </c>
      <c r="I7" s="221">
        <v>49</v>
      </c>
      <c r="J7" s="221">
        <v>606</v>
      </c>
      <c r="K7" s="221">
        <v>132</v>
      </c>
      <c r="L7" s="445" t="s">
        <v>235</v>
      </c>
      <c r="N7" s="418"/>
      <c r="O7" s="419"/>
      <c r="P7" s="416">
        <v>28</v>
      </c>
      <c r="Q7" s="416">
        <v>1132</v>
      </c>
      <c r="R7" s="416">
        <v>566</v>
      </c>
      <c r="S7" s="416">
        <v>50</v>
      </c>
      <c r="T7" s="416">
        <v>607</v>
      </c>
      <c r="U7" s="416">
        <v>147</v>
      </c>
    </row>
    <row r="8" spans="2:21" ht="15.6">
      <c r="B8" s="184"/>
      <c r="C8" s="222">
        <v>3</v>
      </c>
      <c r="D8" s="222" t="s">
        <v>45</v>
      </c>
      <c r="E8" s="219" t="s">
        <v>44</v>
      </c>
      <c r="F8" s="220">
        <v>32</v>
      </c>
      <c r="G8" s="221">
        <v>2223.5427159729697</v>
      </c>
      <c r="H8" s="278">
        <v>1027.276734779512</v>
      </c>
      <c r="I8" s="221">
        <v>53.8</v>
      </c>
      <c r="J8" s="221">
        <v>336</v>
      </c>
      <c r="K8" s="221">
        <v>261</v>
      </c>
      <c r="L8" s="445" t="s">
        <v>235</v>
      </c>
      <c r="N8" s="418"/>
      <c r="O8" s="419"/>
      <c r="P8" s="416">
        <v>32</v>
      </c>
      <c r="Q8" s="416">
        <v>2221</v>
      </c>
      <c r="R8" s="416">
        <v>1044</v>
      </c>
      <c r="S8" s="416">
        <v>53</v>
      </c>
      <c r="T8" s="416">
        <v>669</v>
      </c>
      <c r="U8" s="416">
        <v>249</v>
      </c>
    </row>
    <row r="9" spans="2:21" ht="15.6">
      <c r="B9" s="262"/>
      <c r="C9" s="263">
        <v>4</v>
      </c>
      <c r="D9" s="263" t="s">
        <v>46</v>
      </c>
      <c r="E9" s="192" t="s">
        <v>47</v>
      </c>
      <c r="F9" s="193">
        <v>40</v>
      </c>
      <c r="G9" s="194">
        <v>1782.6197918132709</v>
      </c>
      <c r="H9" s="446">
        <v>1140.8766667604934</v>
      </c>
      <c r="I9" s="194">
        <v>36</v>
      </c>
      <c r="J9" s="194">
        <v>310</v>
      </c>
      <c r="K9" s="194">
        <v>159</v>
      </c>
      <c r="L9" s="420"/>
      <c r="N9" s="421"/>
      <c r="O9" s="422"/>
      <c r="P9" s="416">
        <v>40</v>
      </c>
      <c r="Q9" s="416">
        <v>1755</v>
      </c>
      <c r="R9" s="416">
        <v>1141</v>
      </c>
      <c r="S9" s="416">
        <v>35</v>
      </c>
      <c r="T9" s="416">
        <v>311</v>
      </c>
      <c r="U9" s="416">
        <v>159</v>
      </c>
    </row>
    <row r="10" spans="2:21" ht="15.6">
      <c r="B10" s="262"/>
      <c r="C10" s="263">
        <v>5</v>
      </c>
      <c r="D10" s="263" t="s">
        <v>48</v>
      </c>
      <c r="E10" s="192" t="s">
        <v>47</v>
      </c>
      <c r="F10" s="193" t="s">
        <v>49</v>
      </c>
      <c r="G10" s="194">
        <v>1816.7772945869699</v>
      </c>
      <c r="H10" s="446">
        <v>1144.5696955897911</v>
      </c>
      <c r="I10" s="194">
        <v>37</v>
      </c>
      <c r="J10" s="194">
        <v>311</v>
      </c>
      <c r="K10" s="194">
        <v>174</v>
      </c>
      <c r="L10" s="420"/>
      <c r="N10" s="421"/>
      <c r="O10" s="422"/>
      <c r="P10" s="416">
        <v>48</v>
      </c>
      <c r="Q10" s="416">
        <v>1713</v>
      </c>
      <c r="R10" s="416">
        <v>1096</v>
      </c>
      <c r="S10" s="416">
        <v>36</v>
      </c>
      <c r="T10" s="416">
        <v>312</v>
      </c>
      <c r="U10" s="416">
        <v>150</v>
      </c>
    </row>
    <row r="11" spans="2:21" ht="15.6">
      <c r="B11" s="262"/>
      <c r="C11" s="222">
        <v>6</v>
      </c>
      <c r="D11" s="222" t="s">
        <v>50</v>
      </c>
      <c r="E11" s="219" t="s">
        <v>47</v>
      </c>
      <c r="F11" s="220" t="s">
        <v>51</v>
      </c>
      <c r="G11" s="221">
        <v>1468.6721560255978</v>
      </c>
      <c r="H11" s="447">
        <v>440.60164680767934</v>
      </c>
      <c r="I11" s="221">
        <v>70</v>
      </c>
      <c r="J11" s="221">
        <v>761</v>
      </c>
      <c r="K11" s="221">
        <v>145</v>
      </c>
      <c r="L11" s="445" t="s">
        <v>235</v>
      </c>
      <c r="N11" s="421"/>
      <c r="O11" s="422"/>
      <c r="P11" s="416">
        <v>24</v>
      </c>
      <c r="Q11" s="416">
        <v>1480</v>
      </c>
      <c r="R11" s="416">
        <v>444</v>
      </c>
      <c r="S11" s="416">
        <v>70</v>
      </c>
      <c r="T11" s="416">
        <v>762</v>
      </c>
      <c r="U11" s="416">
        <v>173</v>
      </c>
    </row>
    <row r="12" spans="2:21" ht="15.6">
      <c r="B12" s="262"/>
      <c r="C12" s="222">
        <v>7</v>
      </c>
      <c r="D12" s="222" t="s">
        <v>52</v>
      </c>
      <c r="E12" s="219" t="s">
        <v>103</v>
      </c>
      <c r="F12" s="220">
        <v>40</v>
      </c>
      <c r="G12" s="221">
        <v>1616.7991807010462</v>
      </c>
      <c r="H12" s="278">
        <v>630.55168047340806</v>
      </c>
      <c r="I12" s="221">
        <v>61</v>
      </c>
      <c r="J12" s="221">
        <v>448</v>
      </c>
      <c r="K12" s="221">
        <v>205</v>
      </c>
      <c r="L12" s="445" t="s">
        <v>235</v>
      </c>
      <c r="N12" s="421"/>
      <c r="O12" s="422"/>
      <c r="P12" s="416">
        <v>40</v>
      </c>
      <c r="Q12" s="416">
        <v>1652</v>
      </c>
      <c r="R12" s="416">
        <v>760</v>
      </c>
      <c r="S12" s="416">
        <v>54</v>
      </c>
      <c r="T12" s="416">
        <v>447</v>
      </c>
      <c r="U12" s="416">
        <v>159</v>
      </c>
    </row>
    <row r="13" spans="2:21" ht="15.6">
      <c r="B13" s="262"/>
      <c r="C13" s="263">
        <v>8</v>
      </c>
      <c r="D13" s="263" t="s">
        <v>53</v>
      </c>
      <c r="E13" s="192" t="s">
        <v>47</v>
      </c>
      <c r="F13" s="193" t="s">
        <v>51</v>
      </c>
      <c r="G13" s="194">
        <v>1459.7871867746981</v>
      </c>
      <c r="H13" s="446">
        <v>681.28268006775158</v>
      </c>
      <c r="I13" s="194">
        <v>53.33</v>
      </c>
      <c r="J13" s="194">
        <v>447</v>
      </c>
      <c r="K13" s="194">
        <v>348</v>
      </c>
      <c r="L13" s="420"/>
      <c r="N13" s="421"/>
      <c r="O13" s="422"/>
      <c r="P13" s="416">
        <v>28</v>
      </c>
      <c r="Q13" s="416">
        <v>1524</v>
      </c>
      <c r="R13" s="416">
        <v>686</v>
      </c>
      <c r="S13" s="416">
        <v>55</v>
      </c>
      <c r="T13" s="416">
        <v>446</v>
      </c>
      <c r="U13" s="416">
        <v>349</v>
      </c>
    </row>
    <row r="14" spans="2:21" ht="15.6">
      <c r="B14" s="262"/>
      <c r="C14" s="263">
        <v>9</v>
      </c>
      <c r="D14" s="263" t="s">
        <v>54</v>
      </c>
      <c r="E14" s="192" t="s">
        <v>47</v>
      </c>
      <c r="F14" s="193" t="s">
        <v>55</v>
      </c>
      <c r="G14" s="194">
        <v>1641.6851861515806</v>
      </c>
      <c r="H14" s="446">
        <v>761.74192637433339</v>
      </c>
      <c r="I14" s="194">
        <v>53.6</v>
      </c>
      <c r="J14" s="194">
        <v>495</v>
      </c>
      <c r="K14" s="194">
        <v>324</v>
      </c>
      <c r="L14" s="420"/>
      <c r="N14" s="421"/>
      <c r="O14" s="422"/>
      <c r="P14" s="416">
        <v>36</v>
      </c>
      <c r="Q14" s="416">
        <v>1633</v>
      </c>
      <c r="R14" s="416">
        <v>800</v>
      </c>
      <c r="S14" s="416">
        <v>51</v>
      </c>
      <c r="T14" s="416">
        <v>495</v>
      </c>
      <c r="U14" s="416">
        <v>333</v>
      </c>
    </row>
    <row r="15" spans="2:21" ht="15.6">
      <c r="B15" s="262"/>
      <c r="C15" s="222">
        <v>10</v>
      </c>
      <c r="D15" s="222" t="s">
        <v>56</v>
      </c>
      <c r="E15" s="219" t="s">
        <v>47</v>
      </c>
      <c r="F15" s="220">
        <v>44</v>
      </c>
      <c r="G15" s="221">
        <v>3810.7235282665083</v>
      </c>
      <c r="H15" s="447">
        <v>1524.2894113066034</v>
      </c>
      <c r="I15" s="221">
        <v>60</v>
      </c>
      <c r="J15" s="221">
        <v>281</v>
      </c>
      <c r="K15" s="221">
        <v>363</v>
      </c>
      <c r="L15" s="445" t="s">
        <v>235</v>
      </c>
      <c r="N15" s="421"/>
      <c r="O15" s="422"/>
      <c r="P15" s="416">
        <v>44</v>
      </c>
      <c r="Q15" s="416">
        <v>3902</v>
      </c>
      <c r="R15" s="416">
        <v>1600</v>
      </c>
      <c r="S15" s="416">
        <v>59</v>
      </c>
      <c r="T15" s="416">
        <v>311</v>
      </c>
      <c r="U15" s="416">
        <v>350</v>
      </c>
    </row>
    <row r="16" spans="2:21" ht="16.149999999999999" thickBot="1">
      <c r="B16" s="262"/>
      <c r="C16" s="263">
        <v>11</v>
      </c>
      <c r="D16" s="263" t="s">
        <v>57</v>
      </c>
      <c r="E16" s="192" t="s">
        <v>47</v>
      </c>
      <c r="F16" s="193" t="s">
        <v>55</v>
      </c>
      <c r="G16" s="194">
        <v>1796.4435341122739</v>
      </c>
      <c r="H16" s="446">
        <v>299.4671371365161</v>
      </c>
      <c r="I16" s="194">
        <v>83.33</v>
      </c>
      <c r="J16" s="194">
        <v>350</v>
      </c>
      <c r="K16" s="194">
        <v>261</v>
      </c>
      <c r="L16" s="420"/>
      <c r="N16" s="421"/>
      <c r="O16" s="422"/>
      <c r="P16" s="416">
        <v>28</v>
      </c>
      <c r="Q16" s="416">
        <v>1759</v>
      </c>
      <c r="R16" s="416">
        <v>299</v>
      </c>
      <c r="S16" s="416">
        <v>83</v>
      </c>
      <c r="T16" s="416">
        <v>340</v>
      </c>
      <c r="U16" s="416">
        <v>280</v>
      </c>
    </row>
    <row r="17" spans="2:24" ht="16.149999999999999" thickBot="1">
      <c r="D17" s="204"/>
      <c r="E17" s="205"/>
      <c r="F17" s="205"/>
      <c r="G17" s="206">
        <f>SUM(G6:G16)</f>
        <v>20900</v>
      </c>
      <c r="H17" s="206">
        <f>SUM(H6:H16)</f>
        <v>8812.2078295098709</v>
      </c>
      <c r="I17" s="207"/>
      <c r="J17" s="408"/>
      <c r="K17" s="207"/>
      <c r="P17" s="414"/>
      <c r="Q17" s="423">
        <f>SUM(Q6:Q16)</f>
        <v>20477</v>
      </c>
      <c r="R17" s="423">
        <f>SUM(R6:R16)</f>
        <v>9016</v>
      </c>
      <c r="S17" s="414"/>
      <c r="T17" s="414"/>
      <c r="U17" s="414"/>
    </row>
    <row r="18" spans="2:24" ht="33.75" customHeight="1" thickBot="1">
      <c r="E18" s="1253" t="s">
        <v>168</v>
      </c>
      <c r="F18" s="1382"/>
      <c r="G18" s="1"/>
      <c r="H18" s="208">
        <v>8810</v>
      </c>
      <c r="I18" s="373"/>
      <c r="K18" s="1"/>
      <c r="P18" s="414"/>
      <c r="Q18" s="414"/>
      <c r="R18" s="414"/>
      <c r="S18" s="414"/>
      <c r="T18" s="414"/>
      <c r="U18" s="414"/>
    </row>
    <row r="19" spans="2:24" ht="15.6">
      <c r="E19" s="1"/>
      <c r="F19" s="1"/>
      <c r="G19" s="1"/>
      <c r="H19" s="1"/>
      <c r="I19" s="1"/>
      <c r="K19" s="1"/>
      <c r="P19" s="414"/>
      <c r="Q19" s="414"/>
      <c r="R19" s="414"/>
      <c r="S19" s="414"/>
      <c r="T19" s="414"/>
      <c r="U19" s="414"/>
    </row>
    <row r="20" spans="2:24" ht="16.149999999999999" thickBot="1">
      <c r="E20" s="1"/>
      <c r="F20" s="1"/>
      <c r="G20" s="1"/>
      <c r="H20" s="1"/>
      <c r="I20" s="1"/>
      <c r="J20" s="1"/>
      <c r="K20" s="1"/>
      <c r="P20" s="424"/>
      <c r="Q20" s="424"/>
      <c r="R20" s="424"/>
      <c r="S20" s="424"/>
      <c r="T20" s="424"/>
      <c r="U20" s="424"/>
    </row>
    <row r="21" spans="2:24" ht="28.5" customHeight="1" thickBot="1">
      <c r="D21" s="1252" t="s">
        <v>275</v>
      </c>
      <c r="E21" s="1383"/>
      <c r="F21" s="1383"/>
      <c r="G21" s="1383"/>
      <c r="H21" s="1383"/>
      <c r="I21" s="1383"/>
      <c r="J21" s="1383"/>
      <c r="K21" s="1383"/>
      <c r="L21" s="1384"/>
      <c r="P21" s="424"/>
      <c r="Q21" s="424"/>
      <c r="R21" s="424"/>
      <c r="S21" s="424"/>
      <c r="T21" s="424"/>
      <c r="U21" s="414"/>
      <c r="X21" s="303"/>
    </row>
    <row r="22" spans="2:24" ht="27" thickBot="1">
      <c r="B22" s="178"/>
      <c r="C22" s="179" t="s">
        <v>156</v>
      </c>
      <c r="D22" s="179" t="s">
        <v>31</v>
      </c>
      <c r="E22" s="180" t="s">
        <v>32</v>
      </c>
      <c r="F22" s="180" t="s">
        <v>33</v>
      </c>
      <c r="G22" s="180" t="s">
        <v>34</v>
      </c>
      <c r="H22" s="180" t="s">
        <v>35</v>
      </c>
      <c r="I22" s="180" t="s">
        <v>37</v>
      </c>
      <c r="J22" s="182" t="s">
        <v>38</v>
      </c>
      <c r="K22" s="182" t="s">
        <v>39</v>
      </c>
      <c r="L22" s="183" t="s">
        <v>40</v>
      </c>
      <c r="P22" s="424"/>
      <c r="Q22" s="424"/>
      <c r="R22" s="414" t="s">
        <v>276</v>
      </c>
      <c r="S22" s="414" t="s">
        <v>277</v>
      </c>
      <c r="T22" s="414" t="s">
        <v>278</v>
      </c>
      <c r="U22" s="414" t="s">
        <v>37</v>
      </c>
      <c r="V22" s="414" t="s">
        <v>38</v>
      </c>
      <c r="W22" s="414" t="s">
        <v>39</v>
      </c>
      <c r="X22" s="303"/>
    </row>
    <row r="23" spans="2:24" ht="15.6">
      <c r="B23" s="209"/>
      <c r="C23" s="210">
        <v>1</v>
      </c>
      <c r="D23" s="449" t="s">
        <v>59</v>
      </c>
      <c r="E23" s="192" t="s">
        <v>60</v>
      </c>
      <c r="F23" s="188">
        <v>56</v>
      </c>
      <c r="G23" s="194">
        <v>967</v>
      </c>
      <c r="H23" s="433">
        <v>948</v>
      </c>
      <c r="I23" s="194">
        <v>2</v>
      </c>
      <c r="J23" s="194">
        <v>2018</v>
      </c>
      <c r="K23" s="194">
        <v>145</v>
      </c>
      <c r="L23" s="212"/>
      <c r="P23" s="425"/>
      <c r="Q23" s="414" t="s">
        <v>279</v>
      </c>
      <c r="R23" s="414">
        <v>56</v>
      </c>
      <c r="S23" s="414">
        <v>967</v>
      </c>
      <c r="T23" s="414">
        <v>948</v>
      </c>
      <c r="U23" s="414">
        <v>2</v>
      </c>
      <c r="V23" s="414">
        <v>2018</v>
      </c>
      <c r="W23" s="414">
        <v>145</v>
      </c>
    </row>
    <row r="24" spans="2:24" ht="15.6">
      <c r="B24" s="209"/>
      <c r="C24" s="210">
        <v>2</v>
      </c>
      <c r="D24" s="449" t="s">
        <v>61</v>
      </c>
      <c r="E24" s="192" t="s">
        <v>62</v>
      </c>
      <c r="F24" s="188">
        <v>28</v>
      </c>
      <c r="G24" s="194">
        <v>888</v>
      </c>
      <c r="H24" s="433">
        <v>355</v>
      </c>
      <c r="I24" s="194">
        <v>60</v>
      </c>
      <c r="J24" s="194">
        <v>782</v>
      </c>
      <c r="K24" s="194">
        <v>377</v>
      </c>
      <c r="L24" s="212"/>
      <c r="P24" s="425"/>
      <c r="Q24" s="414" t="s">
        <v>280</v>
      </c>
      <c r="R24" s="414">
        <v>28</v>
      </c>
      <c r="S24" s="414">
        <v>888</v>
      </c>
      <c r="T24" s="414">
        <v>355</v>
      </c>
      <c r="U24" s="220">
        <v>60</v>
      </c>
      <c r="V24" s="414">
        <v>782</v>
      </c>
      <c r="W24" s="414">
        <v>377</v>
      </c>
    </row>
    <row r="25" spans="2:24" ht="15.6">
      <c r="B25" s="209"/>
      <c r="C25" s="222">
        <v>3</v>
      </c>
      <c r="D25" s="450" t="s">
        <v>64</v>
      </c>
      <c r="E25" s="219" t="s">
        <v>65</v>
      </c>
      <c r="F25" s="278">
        <v>32</v>
      </c>
      <c r="G25" s="221">
        <v>2666</v>
      </c>
      <c r="H25" s="436">
        <v>1733</v>
      </c>
      <c r="I25" s="221">
        <v>35</v>
      </c>
      <c r="J25" s="221">
        <v>430</v>
      </c>
      <c r="K25" s="221">
        <v>435</v>
      </c>
      <c r="L25" s="287" t="s">
        <v>281</v>
      </c>
      <c r="P25" s="425"/>
      <c r="Q25" s="414" t="s">
        <v>282</v>
      </c>
      <c r="R25" s="414">
        <v>32</v>
      </c>
      <c r="S25" s="414">
        <v>2666</v>
      </c>
      <c r="T25" s="414">
        <v>1733</v>
      </c>
      <c r="U25" s="414">
        <v>35</v>
      </c>
      <c r="V25" s="414">
        <v>430</v>
      </c>
      <c r="W25" s="414">
        <v>435</v>
      </c>
    </row>
    <row r="26" spans="2:24" s="266" customFormat="1" ht="15.6">
      <c r="B26" s="265"/>
      <c r="C26" s="263">
        <v>4</v>
      </c>
      <c r="D26" s="451" t="s">
        <v>69</v>
      </c>
      <c r="E26" s="254" t="s">
        <v>70</v>
      </c>
      <c r="F26" s="295">
        <v>24</v>
      </c>
      <c r="G26" s="197">
        <v>963</v>
      </c>
      <c r="H26" s="438">
        <v>347</v>
      </c>
      <c r="I26" s="197">
        <v>64</v>
      </c>
      <c r="J26" s="197">
        <v>2411</v>
      </c>
      <c r="K26" s="197">
        <v>841</v>
      </c>
      <c r="L26" s="290"/>
      <c r="P26" s="442"/>
      <c r="Q26" s="443" t="s">
        <v>283</v>
      </c>
      <c r="R26" s="443">
        <v>24</v>
      </c>
      <c r="S26" s="443">
        <v>963</v>
      </c>
      <c r="T26" s="443">
        <v>347</v>
      </c>
      <c r="U26" s="443">
        <v>64</v>
      </c>
      <c r="V26" s="443">
        <v>2411</v>
      </c>
      <c r="W26" s="443">
        <v>841</v>
      </c>
    </row>
    <row r="27" spans="2:24" s="266" customFormat="1" ht="15.6">
      <c r="B27" s="265"/>
      <c r="C27" s="263">
        <v>5</v>
      </c>
      <c r="D27" s="451" t="s">
        <v>71</v>
      </c>
      <c r="E27" s="254" t="s">
        <v>72</v>
      </c>
      <c r="F27" s="295">
        <v>28</v>
      </c>
      <c r="G27" s="197">
        <v>859</v>
      </c>
      <c r="H27" s="438">
        <v>326</v>
      </c>
      <c r="I27" s="197">
        <v>62</v>
      </c>
      <c r="J27" s="197">
        <v>3000</v>
      </c>
      <c r="K27" s="197">
        <v>841</v>
      </c>
      <c r="L27" s="290"/>
      <c r="N27" s="448"/>
      <c r="P27" s="442"/>
      <c r="Q27" s="443" t="s">
        <v>284</v>
      </c>
      <c r="R27" s="443">
        <v>28</v>
      </c>
      <c r="S27" s="443">
        <v>859</v>
      </c>
      <c r="T27" s="443">
        <v>326</v>
      </c>
      <c r="U27" s="443">
        <v>62</v>
      </c>
      <c r="V27" s="443">
        <v>3000</v>
      </c>
      <c r="W27" s="443">
        <v>841</v>
      </c>
    </row>
    <row r="28" spans="2:24" ht="15.6">
      <c r="B28" s="209"/>
      <c r="C28" s="210">
        <v>6</v>
      </c>
      <c r="D28" s="449" t="s">
        <v>73</v>
      </c>
      <c r="E28" s="192" t="s">
        <v>72</v>
      </c>
      <c r="F28" s="188">
        <v>44</v>
      </c>
      <c r="G28" s="194">
        <v>1099</v>
      </c>
      <c r="H28" s="433">
        <v>659</v>
      </c>
      <c r="I28" s="194">
        <v>40</v>
      </c>
      <c r="J28" s="194">
        <v>3206</v>
      </c>
      <c r="K28" s="194">
        <v>493</v>
      </c>
      <c r="L28" s="212"/>
      <c r="P28" s="425"/>
      <c r="Q28" s="414" t="s">
        <v>285</v>
      </c>
      <c r="R28" s="414">
        <v>44</v>
      </c>
      <c r="S28" s="414">
        <v>1099</v>
      </c>
      <c r="T28" s="414">
        <v>659</v>
      </c>
      <c r="U28" s="414">
        <v>40</v>
      </c>
      <c r="V28" s="414">
        <v>3206</v>
      </c>
      <c r="W28" s="414">
        <v>493</v>
      </c>
    </row>
    <row r="29" spans="2:24" ht="15.6">
      <c r="B29" s="209"/>
      <c r="C29" s="210">
        <v>7</v>
      </c>
      <c r="D29" s="449" t="s">
        <v>74</v>
      </c>
      <c r="E29" s="192" t="s">
        <v>75</v>
      </c>
      <c r="F29" s="188">
        <v>36</v>
      </c>
      <c r="G29" s="194">
        <v>3196</v>
      </c>
      <c r="H29" s="433">
        <v>1406</v>
      </c>
      <c r="I29" s="194">
        <v>56</v>
      </c>
      <c r="J29" s="194">
        <v>1306</v>
      </c>
      <c r="K29" s="194">
        <v>812</v>
      </c>
      <c r="L29" s="212"/>
      <c r="P29" s="425"/>
      <c r="Q29" s="414" t="s">
        <v>286</v>
      </c>
      <c r="R29" s="414">
        <v>36</v>
      </c>
      <c r="S29" s="414">
        <v>3196</v>
      </c>
      <c r="T29" s="414">
        <v>1406</v>
      </c>
      <c r="U29" s="414">
        <v>56</v>
      </c>
      <c r="V29" s="414">
        <v>1306</v>
      </c>
      <c r="W29" s="414">
        <v>812</v>
      </c>
    </row>
    <row r="30" spans="2:24">
      <c r="B30" s="209"/>
      <c r="C30" s="263">
        <v>8</v>
      </c>
      <c r="D30" s="451" t="s">
        <v>76</v>
      </c>
      <c r="E30" s="254" t="s">
        <v>77</v>
      </c>
      <c r="F30" s="295">
        <v>20</v>
      </c>
      <c r="G30" s="197">
        <v>717</v>
      </c>
      <c r="H30" s="438">
        <v>323</v>
      </c>
      <c r="I30" s="197">
        <v>55</v>
      </c>
      <c r="J30" s="197">
        <v>264</v>
      </c>
      <c r="K30" s="197">
        <v>203</v>
      </c>
      <c r="L30" s="290"/>
    </row>
    <row r="31" spans="2:24" ht="15.6">
      <c r="B31" s="209"/>
      <c r="C31" s="263">
        <v>9</v>
      </c>
      <c r="D31" s="451" t="s">
        <v>78</v>
      </c>
      <c r="E31" s="254" t="s">
        <v>79</v>
      </c>
      <c r="F31" s="295">
        <v>52</v>
      </c>
      <c r="G31" s="197">
        <v>1046</v>
      </c>
      <c r="H31" s="438">
        <v>1025</v>
      </c>
      <c r="I31" s="197">
        <v>2</v>
      </c>
      <c r="J31" s="197">
        <v>553</v>
      </c>
      <c r="K31" s="197">
        <v>218</v>
      </c>
      <c r="L31" s="290"/>
      <c r="P31" s="425"/>
      <c r="Q31" s="414" t="s">
        <v>287</v>
      </c>
      <c r="R31" s="414">
        <v>52</v>
      </c>
      <c r="S31" s="414">
        <v>1046</v>
      </c>
      <c r="T31" s="414">
        <v>1025</v>
      </c>
      <c r="U31" s="414">
        <v>2</v>
      </c>
      <c r="V31" s="414">
        <v>553</v>
      </c>
      <c r="W31" s="414">
        <v>218</v>
      </c>
    </row>
    <row r="32" spans="2:24" ht="15.6">
      <c r="B32" s="209"/>
      <c r="C32" s="263">
        <v>10</v>
      </c>
      <c r="D32" s="451" t="s">
        <v>80</v>
      </c>
      <c r="E32" s="254" t="s">
        <v>81</v>
      </c>
      <c r="F32" s="295">
        <v>32</v>
      </c>
      <c r="G32" s="197">
        <v>1639</v>
      </c>
      <c r="H32" s="438">
        <v>492</v>
      </c>
      <c r="I32" s="197">
        <v>70</v>
      </c>
      <c r="J32" s="197">
        <v>1849</v>
      </c>
      <c r="K32" s="197">
        <v>609</v>
      </c>
      <c r="L32" s="290"/>
      <c r="P32" s="425"/>
      <c r="Q32" s="414" t="s">
        <v>288</v>
      </c>
      <c r="R32" s="414">
        <v>32</v>
      </c>
      <c r="S32" s="414">
        <v>1639</v>
      </c>
      <c r="T32" s="414">
        <v>492</v>
      </c>
      <c r="U32" s="414">
        <v>70</v>
      </c>
      <c r="V32" s="414">
        <v>1849</v>
      </c>
      <c r="W32" s="414">
        <v>609</v>
      </c>
    </row>
    <row r="33" spans="1:47" ht="15.6">
      <c r="B33" s="209"/>
      <c r="C33" s="222">
        <v>11</v>
      </c>
      <c r="D33" s="450" t="s">
        <v>82</v>
      </c>
      <c r="E33" s="219" t="s">
        <v>65</v>
      </c>
      <c r="F33" s="278">
        <v>28</v>
      </c>
      <c r="G33" s="221">
        <v>1023</v>
      </c>
      <c r="H33" s="436">
        <v>1003</v>
      </c>
      <c r="I33" s="221">
        <v>13</v>
      </c>
      <c r="J33" s="221">
        <v>587</v>
      </c>
      <c r="K33" s="221">
        <v>464</v>
      </c>
      <c r="L33" s="287" t="s">
        <v>289</v>
      </c>
      <c r="P33" s="425"/>
      <c r="Q33" s="414" t="s">
        <v>290</v>
      </c>
      <c r="R33" s="414">
        <v>28</v>
      </c>
      <c r="S33" s="414">
        <v>1023</v>
      </c>
      <c r="T33" s="414">
        <v>1003</v>
      </c>
      <c r="U33" s="414">
        <v>13</v>
      </c>
      <c r="V33" s="414">
        <v>587</v>
      </c>
      <c r="W33" s="414">
        <v>464</v>
      </c>
    </row>
    <row r="34" spans="1:47" s="266" customFormat="1" ht="15.6">
      <c r="B34" s="265"/>
      <c r="C34" s="222">
        <v>12</v>
      </c>
      <c r="D34" s="450" t="s">
        <v>83</v>
      </c>
      <c r="E34" s="219" t="s">
        <v>84</v>
      </c>
      <c r="F34" s="278">
        <v>44</v>
      </c>
      <c r="G34" s="221">
        <v>3273</v>
      </c>
      <c r="H34" s="436">
        <v>1047</v>
      </c>
      <c r="I34" s="221">
        <v>68</v>
      </c>
      <c r="J34" s="221">
        <v>4131</v>
      </c>
      <c r="K34" s="221">
        <v>1218</v>
      </c>
      <c r="L34" s="287" t="s">
        <v>289</v>
      </c>
      <c r="P34" s="442"/>
      <c r="Q34" s="443" t="s">
        <v>291</v>
      </c>
      <c r="R34" s="443">
        <v>44</v>
      </c>
      <c r="S34" s="443">
        <v>3273</v>
      </c>
      <c r="T34" s="443">
        <v>1047</v>
      </c>
      <c r="U34" s="443">
        <v>68</v>
      </c>
      <c r="V34" s="443">
        <v>4131</v>
      </c>
      <c r="W34" s="443">
        <v>1218</v>
      </c>
    </row>
    <row r="35" spans="1:47" ht="15.6">
      <c r="B35" s="209"/>
      <c r="C35" s="210">
        <v>13</v>
      </c>
      <c r="D35" s="449" t="s">
        <v>85</v>
      </c>
      <c r="E35" s="192" t="s">
        <v>72</v>
      </c>
      <c r="F35" s="188">
        <v>32</v>
      </c>
      <c r="G35" s="194">
        <v>1427</v>
      </c>
      <c r="H35" s="433">
        <v>899</v>
      </c>
      <c r="I35" s="194">
        <v>37</v>
      </c>
      <c r="J35" s="194">
        <v>1058</v>
      </c>
      <c r="K35" s="194">
        <v>522</v>
      </c>
      <c r="L35" s="212"/>
      <c r="P35" s="425"/>
      <c r="Q35" s="414" t="s">
        <v>292</v>
      </c>
      <c r="R35" s="414">
        <v>32</v>
      </c>
      <c r="S35" s="414">
        <v>1427</v>
      </c>
      <c r="T35" s="414">
        <v>899</v>
      </c>
      <c r="U35" s="414">
        <v>37</v>
      </c>
      <c r="V35" s="414">
        <v>1058</v>
      </c>
      <c r="W35" s="414">
        <v>522</v>
      </c>
    </row>
    <row r="36" spans="1:47" ht="15.6">
      <c r="B36" s="209"/>
      <c r="C36" s="263">
        <v>14</v>
      </c>
      <c r="D36" s="451" t="s">
        <v>86</v>
      </c>
      <c r="E36" s="254" t="s">
        <v>87</v>
      </c>
      <c r="F36" s="295">
        <v>28</v>
      </c>
      <c r="G36" s="197">
        <v>901</v>
      </c>
      <c r="H36" s="438">
        <v>405</v>
      </c>
      <c r="I36" s="197">
        <v>55</v>
      </c>
      <c r="J36" s="197">
        <v>5513</v>
      </c>
      <c r="K36" s="197">
        <v>2030</v>
      </c>
      <c r="L36" s="290"/>
      <c r="P36" s="425"/>
      <c r="Q36" s="414" t="s">
        <v>293</v>
      </c>
      <c r="R36" s="414">
        <v>28</v>
      </c>
      <c r="S36" s="414">
        <v>901</v>
      </c>
      <c r="T36" s="414">
        <v>405</v>
      </c>
      <c r="U36" s="414">
        <v>55</v>
      </c>
      <c r="V36" s="414">
        <v>5513</v>
      </c>
      <c r="W36" s="414">
        <v>2030</v>
      </c>
    </row>
    <row r="37" spans="1:47" ht="15.6">
      <c r="B37" s="209"/>
      <c r="C37" s="222">
        <v>15</v>
      </c>
      <c r="D37" s="450" t="s">
        <v>88</v>
      </c>
      <c r="E37" s="219" t="s">
        <v>89</v>
      </c>
      <c r="F37" s="278">
        <v>28</v>
      </c>
      <c r="G37" s="221">
        <v>1172</v>
      </c>
      <c r="H37" s="436">
        <v>527</v>
      </c>
      <c r="I37" s="221">
        <v>55</v>
      </c>
      <c r="J37" s="221">
        <v>2051</v>
      </c>
      <c r="K37" s="221">
        <v>522</v>
      </c>
      <c r="L37" s="287" t="s">
        <v>289</v>
      </c>
      <c r="P37" s="425"/>
      <c r="Q37" s="414" t="s">
        <v>294</v>
      </c>
      <c r="R37" s="414">
        <v>28</v>
      </c>
      <c r="S37" s="414">
        <v>1172</v>
      </c>
      <c r="T37" s="414">
        <v>527</v>
      </c>
      <c r="U37" s="414">
        <v>55</v>
      </c>
      <c r="V37" s="414">
        <v>2051</v>
      </c>
      <c r="W37" s="414">
        <v>522</v>
      </c>
    </row>
    <row r="38" spans="1:47" ht="15.6">
      <c r="B38" s="209"/>
      <c r="C38" s="263">
        <v>16</v>
      </c>
      <c r="D38" s="451" t="s">
        <v>90</v>
      </c>
      <c r="E38" s="254" t="s">
        <v>84</v>
      </c>
      <c r="F38" s="295">
        <v>48</v>
      </c>
      <c r="G38" s="197">
        <v>547</v>
      </c>
      <c r="H38" s="197">
        <v>509</v>
      </c>
      <c r="I38" s="197">
        <v>6.5</v>
      </c>
      <c r="J38" s="197">
        <v>6498</v>
      </c>
      <c r="K38" s="197">
        <v>550</v>
      </c>
      <c r="L38" s="290"/>
      <c r="P38" s="425"/>
      <c r="Q38" s="414" t="s">
        <v>295</v>
      </c>
      <c r="R38" s="414">
        <v>48</v>
      </c>
      <c r="S38" s="414">
        <v>547</v>
      </c>
      <c r="T38" s="414">
        <v>509</v>
      </c>
      <c r="U38" s="414">
        <v>6.5</v>
      </c>
      <c r="V38" s="414">
        <v>6498</v>
      </c>
      <c r="W38" s="414">
        <v>550</v>
      </c>
    </row>
    <row r="39" spans="1:47" ht="15.6">
      <c r="B39" s="209"/>
      <c r="C39" s="210">
        <v>17</v>
      </c>
      <c r="D39" s="449" t="s">
        <v>91</v>
      </c>
      <c r="E39" s="192" t="s">
        <v>89</v>
      </c>
      <c r="F39" s="188">
        <v>36</v>
      </c>
      <c r="G39" s="194">
        <v>497</v>
      </c>
      <c r="H39" s="194">
        <v>496</v>
      </c>
      <c r="I39" s="194">
        <v>0.3</v>
      </c>
      <c r="J39" s="194">
        <v>1297</v>
      </c>
      <c r="K39" s="194">
        <v>200</v>
      </c>
      <c r="L39" s="212"/>
      <c r="P39" s="425"/>
      <c r="Q39" s="414" t="s">
        <v>296</v>
      </c>
      <c r="R39" s="414">
        <v>36</v>
      </c>
      <c r="S39" s="414">
        <v>497</v>
      </c>
      <c r="T39" s="414">
        <v>496</v>
      </c>
      <c r="U39" s="414">
        <v>0.3</v>
      </c>
      <c r="V39" s="414">
        <v>1297</v>
      </c>
      <c r="W39" s="414">
        <v>200</v>
      </c>
    </row>
    <row r="40" spans="1:47" s="439" customFormat="1" ht="15.6">
      <c r="B40" s="262"/>
      <c r="C40" s="263">
        <v>18</v>
      </c>
      <c r="D40" s="449" t="s">
        <v>92</v>
      </c>
      <c r="E40" s="254" t="s">
        <v>93</v>
      </c>
      <c r="F40" s="295">
        <v>24</v>
      </c>
      <c r="G40" s="197">
        <v>651</v>
      </c>
      <c r="H40" s="197">
        <v>378</v>
      </c>
      <c r="I40" s="197">
        <v>42</v>
      </c>
      <c r="J40" s="197">
        <v>373</v>
      </c>
      <c r="K40" s="197">
        <v>174</v>
      </c>
      <c r="L40" s="290"/>
      <c r="P40" s="440"/>
      <c r="Q40" s="441" t="s">
        <v>297</v>
      </c>
      <c r="R40" s="441">
        <v>24</v>
      </c>
      <c r="S40" s="441">
        <v>651</v>
      </c>
      <c r="T40" s="441">
        <v>378</v>
      </c>
      <c r="U40" s="441">
        <v>42</v>
      </c>
      <c r="V40" s="441">
        <v>373</v>
      </c>
      <c r="W40" s="441">
        <v>174</v>
      </c>
    </row>
    <row r="41" spans="1:47" ht="15.6">
      <c r="B41" s="209"/>
      <c r="C41" s="210">
        <v>19</v>
      </c>
      <c r="D41" s="449" t="s">
        <v>94</v>
      </c>
      <c r="E41" s="192" t="s">
        <v>67</v>
      </c>
      <c r="F41" s="188">
        <v>32</v>
      </c>
      <c r="G41" s="194">
        <v>1600</v>
      </c>
      <c r="H41" s="194">
        <v>912</v>
      </c>
      <c r="I41" s="194">
        <v>43</v>
      </c>
      <c r="J41" s="194">
        <v>258</v>
      </c>
      <c r="K41" s="194">
        <v>450</v>
      </c>
      <c r="L41" s="287"/>
      <c r="P41" s="425"/>
      <c r="Q41" s="414" t="s">
        <v>298</v>
      </c>
      <c r="R41" s="414">
        <v>32</v>
      </c>
      <c r="S41" s="414">
        <v>1600</v>
      </c>
      <c r="T41" s="414">
        <v>912</v>
      </c>
      <c r="U41" s="414">
        <v>43</v>
      </c>
      <c r="V41" s="414">
        <v>258</v>
      </c>
      <c r="W41" s="414">
        <v>450</v>
      </c>
    </row>
    <row r="42" spans="1:47" ht="15.6">
      <c r="B42" s="209"/>
      <c r="C42" s="263">
        <v>20</v>
      </c>
      <c r="D42" s="451" t="s">
        <v>95</v>
      </c>
      <c r="E42" s="254" t="s">
        <v>65</v>
      </c>
      <c r="F42" s="295">
        <v>20</v>
      </c>
      <c r="G42" s="197">
        <v>576</v>
      </c>
      <c r="H42" s="197">
        <v>426</v>
      </c>
      <c r="I42" s="197">
        <v>26</v>
      </c>
      <c r="J42" s="197">
        <v>415</v>
      </c>
      <c r="K42" s="197">
        <v>348</v>
      </c>
      <c r="L42" s="290"/>
      <c r="P42" s="425"/>
      <c r="Q42" s="414" t="s">
        <v>299</v>
      </c>
      <c r="R42" s="414">
        <v>20</v>
      </c>
      <c r="S42" s="414">
        <v>576</v>
      </c>
      <c r="T42" s="414">
        <v>426</v>
      </c>
      <c r="U42" s="414">
        <v>26</v>
      </c>
      <c r="V42" s="414">
        <v>415</v>
      </c>
      <c r="W42" s="414">
        <v>348</v>
      </c>
    </row>
    <row r="43" spans="1:47" s="439" customFormat="1" ht="16.149999999999999" thickBot="1">
      <c r="B43" s="262"/>
      <c r="C43" s="289">
        <v>21</v>
      </c>
      <c r="D43" s="450" t="s">
        <v>96</v>
      </c>
      <c r="E43" s="258" t="s">
        <v>67</v>
      </c>
      <c r="F43" s="278">
        <v>36</v>
      </c>
      <c r="G43" s="221">
        <v>2120</v>
      </c>
      <c r="H43" s="221">
        <v>954</v>
      </c>
      <c r="I43" s="221">
        <v>55</v>
      </c>
      <c r="J43" s="221">
        <v>450</v>
      </c>
      <c r="K43" s="221">
        <v>406</v>
      </c>
      <c r="L43" s="287" t="s">
        <v>289</v>
      </c>
      <c r="P43" s="440"/>
      <c r="Q43" s="441" t="s">
        <v>300</v>
      </c>
      <c r="R43" s="441">
        <v>36</v>
      </c>
      <c r="S43" s="441">
        <v>2120</v>
      </c>
      <c r="T43" s="441">
        <v>954</v>
      </c>
      <c r="U43" s="441">
        <v>55</v>
      </c>
      <c r="V43" s="441">
        <v>450</v>
      </c>
      <c r="W43" s="441">
        <v>406</v>
      </c>
    </row>
    <row r="44" spans="1:47" ht="16.149999999999999" thickBot="1">
      <c r="D44" s="204"/>
      <c r="E44" s="205"/>
      <c r="F44" s="205"/>
      <c r="G44" s="194">
        <f>SUM(G23:G43)</f>
        <v>27827</v>
      </c>
      <c r="H44" s="194">
        <f>SUM(H23:H43)</f>
        <v>15170</v>
      </c>
      <c r="I44" s="194"/>
      <c r="J44" s="194"/>
      <c r="K44" s="194"/>
      <c r="P44" s="426"/>
      <c r="Q44" s="414"/>
      <c r="R44" s="414"/>
      <c r="S44" s="427">
        <f>SUM(S23:S43)</f>
        <v>27110</v>
      </c>
      <c r="T44" s="427">
        <f>SUM(T23:T43)</f>
        <v>14847</v>
      </c>
      <c r="U44" s="414"/>
    </row>
    <row r="45" spans="1:47" ht="26.25" customHeight="1" thickBot="1">
      <c r="E45" s="1251" t="s">
        <v>168</v>
      </c>
      <c r="F45" s="1382"/>
      <c r="G45" s="1"/>
      <c r="H45" s="208">
        <f>H44</f>
        <v>15170</v>
      </c>
      <c r="I45" s="1"/>
      <c r="J45" s="1"/>
      <c r="P45" s="426"/>
      <c r="Q45" s="414"/>
      <c r="R45" s="414"/>
      <c r="S45" s="414"/>
      <c r="T45" s="414"/>
      <c r="U45" s="414"/>
    </row>
    <row r="46" spans="1:47" ht="20.25" customHeight="1" thickBot="1">
      <c r="E46" s="1"/>
      <c r="F46" s="1"/>
      <c r="G46" s="1"/>
      <c r="H46" s="428">
        <v>15170</v>
      </c>
      <c r="I46" s="1"/>
      <c r="J46" s="377"/>
      <c r="P46" s="426"/>
      <c r="Q46" s="414"/>
      <c r="R46" s="414"/>
      <c r="S46" s="414"/>
      <c r="T46" s="414"/>
      <c r="U46" s="414"/>
    </row>
    <row r="47" spans="1:47" ht="20.25" customHeight="1" thickBot="1">
      <c r="E47" s="1"/>
      <c r="F47" s="1"/>
      <c r="G47" s="1"/>
      <c r="H47" s="1"/>
      <c r="I47" s="1"/>
      <c r="J47" s="376"/>
      <c r="P47" s="426"/>
      <c r="Q47" s="414"/>
      <c r="R47" s="414"/>
      <c r="S47" s="414"/>
      <c r="T47" s="414"/>
      <c r="U47" s="414"/>
    </row>
    <row r="48" spans="1:47" ht="30" customHeight="1" thickBot="1">
      <c r="A48" s="23"/>
      <c r="B48" s="23"/>
      <c r="C48" s="1252" t="s">
        <v>301</v>
      </c>
      <c r="D48" s="1291"/>
      <c r="E48" s="1291"/>
      <c r="F48" s="1291"/>
      <c r="G48" s="1291"/>
      <c r="H48" s="1291"/>
      <c r="I48" s="1291"/>
      <c r="J48" s="1291"/>
      <c r="K48" s="1291"/>
      <c r="L48" s="1292"/>
      <c r="M48" s="23"/>
      <c r="N48" s="23"/>
      <c r="O48" s="23"/>
      <c r="P48" s="426"/>
      <c r="Q48" s="414"/>
      <c r="R48" s="429"/>
      <c r="S48" s="429"/>
      <c r="T48" s="429"/>
      <c r="U48" s="429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</row>
    <row r="49" spans="1:47" ht="27" thickBot="1">
      <c r="B49" s="178"/>
      <c r="C49" s="179" t="s">
        <v>156</v>
      </c>
      <c r="D49" s="179" t="s">
        <v>31</v>
      </c>
      <c r="E49" s="180" t="s">
        <v>32</v>
      </c>
      <c r="F49" s="180" t="s">
        <v>33</v>
      </c>
      <c r="G49" s="180" t="s">
        <v>34</v>
      </c>
      <c r="H49" s="180" t="s">
        <v>35</v>
      </c>
      <c r="I49" s="180" t="s">
        <v>37</v>
      </c>
      <c r="J49" s="182" t="s">
        <v>38</v>
      </c>
      <c r="K49" s="182" t="s">
        <v>39</v>
      </c>
      <c r="L49" s="183" t="s">
        <v>40</v>
      </c>
      <c r="P49" s="414"/>
      <c r="Q49" s="414"/>
      <c r="R49" s="414" t="s">
        <v>302</v>
      </c>
      <c r="S49" s="430" t="s">
        <v>303</v>
      </c>
      <c r="T49" s="430" t="s">
        <v>304</v>
      </c>
      <c r="U49" s="414" t="s">
        <v>272</v>
      </c>
      <c r="V49" s="414" t="s">
        <v>273</v>
      </c>
      <c r="W49" s="430" t="s">
        <v>274</v>
      </c>
    </row>
    <row r="50" spans="1:47" ht="18.75" customHeight="1">
      <c r="B50" s="209"/>
      <c r="C50" s="210">
        <v>1</v>
      </c>
      <c r="D50" s="434" t="s">
        <v>98</v>
      </c>
      <c r="E50" s="192" t="s">
        <v>99</v>
      </c>
      <c r="F50" s="193">
        <v>36</v>
      </c>
      <c r="G50" s="194">
        <v>1754</v>
      </c>
      <c r="H50" s="194">
        <v>1403</v>
      </c>
      <c r="I50" s="194">
        <v>20</v>
      </c>
      <c r="J50" s="193">
        <v>413</v>
      </c>
      <c r="K50" s="193">
        <v>345</v>
      </c>
      <c r="L50" s="312"/>
      <c r="P50" s="430"/>
      <c r="Q50" s="414" t="s">
        <v>305</v>
      </c>
      <c r="R50" s="414">
        <v>36</v>
      </c>
      <c r="S50" s="430">
        <v>1754</v>
      </c>
      <c r="T50" s="430">
        <v>1403</v>
      </c>
      <c r="U50" s="414">
        <v>20</v>
      </c>
      <c r="V50" s="414">
        <v>413</v>
      </c>
      <c r="W50" s="430">
        <v>345</v>
      </c>
    </row>
    <row r="51" spans="1:47" ht="15" customHeight="1">
      <c r="B51" s="209"/>
      <c r="C51" s="210">
        <v>2</v>
      </c>
      <c r="D51" s="434" t="s">
        <v>100</v>
      </c>
      <c r="E51" s="192" t="s">
        <v>101</v>
      </c>
      <c r="F51" s="193">
        <v>36</v>
      </c>
      <c r="G51" s="193">
        <v>893</v>
      </c>
      <c r="H51" s="194">
        <v>893</v>
      </c>
      <c r="I51" s="194">
        <v>0</v>
      </c>
      <c r="J51" s="193">
        <v>307</v>
      </c>
      <c r="K51" s="193">
        <v>140</v>
      </c>
      <c r="L51" s="312"/>
      <c r="M51" s="217"/>
      <c r="P51" s="430"/>
      <c r="Q51" s="414" t="s">
        <v>306</v>
      </c>
      <c r="R51" s="414">
        <v>36</v>
      </c>
      <c r="S51" s="430">
        <v>893</v>
      </c>
      <c r="T51" s="430">
        <v>893</v>
      </c>
      <c r="U51" s="414">
        <v>0</v>
      </c>
      <c r="V51" s="414">
        <v>307</v>
      </c>
      <c r="W51" s="430">
        <v>140</v>
      </c>
    </row>
    <row r="52" spans="1:47" ht="15.6">
      <c r="B52" s="209"/>
      <c r="C52" s="210">
        <v>3</v>
      </c>
      <c r="D52" s="434" t="s">
        <v>104</v>
      </c>
      <c r="E52" s="192" t="s">
        <v>99</v>
      </c>
      <c r="F52" s="193">
        <v>24</v>
      </c>
      <c r="G52" s="193">
        <v>893</v>
      </c>
      <c r="H52" s="194">
        <v>384</v>
      </c>
      <c r="I52" s="194">
        <v>57</v>
      </c>
      <c r="J52" s="193">
        <v>367</v>
      </c>
      <c r="K52" s="193">
        <v>260</v>
      </c>
      <c r="L52" s="312"/>
      <c r="P52" s="430"/>
      <c r="Q52" s="414" t="s">
        <v>307</v>
      </c>
      <c r="R52" s="414">
        <v>24</v>
      </c>
      <c r="S52" s="430">
        <v>893</v>
      </c>
      <c r="T52" s="430">
        <v>384</v>
      </c>
      <c r="U52" s="414">
        <v>57</v>
      </c>
      <c r="V52" s="414">
        <v>367</v>
      </c>
      <c r="W52" s="430">
        <v>260</v>
      </c>
    </row>
    <row r="53" spans="1:47" ht="15.6">
      <c r="B53" s="209"/>
      <c r="C53" s="210">
        <v>4</v>
      </c>
      <c r="D53" s="434" t="s">
        <v>106</v>
      </c>
      <c r="E53" s="192" t="s">
        <v>103</v>
      </c>
      <c r="F53" s="193">
        <v>28</v>
      </c>
      <c r="G53" s="193">
        <v>873</v>
      </c>
      <c r="H53" s="194">
        <v>655</v>
      </c>
      <c r="I53" s="194">
        <v>25</v>
      </c>
      <c r="J53" s="193">
        <v>915</v>
      </c>
      <c r="K53" s="193">
        <v>310</v>
      </c>
      <c r="L53" s="338"/>
      <c r="P53" s="430"/>
      <c r="Q53" s="414" t="s">
        <v>308</v>
      </c>
      <c r="R53" s="414">
        <v>28</v>
      </c>
      <c r="S53" s="430">
        <v>873</v>
      </c>
      <c r="T53" s="430">
        <v>655</v>
      </c>
      <c r="U53" s="414">
        <v>25</v>
      </c>
      <c r="V53" s="414">
        <v>915</v>
      </c>
      <c r="W53" s="430">
        <v>310</v>
      </c>
    </row>
    <row r="54" spans="1:47" ht="21" customHeight="1">
      <c r="B54" s="209"/>
      <c r="C54" s="210">
        <v>5</v>
      </c>
      <c r="D54" s="434" t="s">
        <v>107</v>
      </c>
      <c r="E54" s="192" t="s">
        <v>103</v>
      </c>
      <c r="F54" s="193">
        <v>28</v>
      </c>
      <c r="G54" s="194">
        <v>767</v>
      </c>
      <c r="H54" s="194">
        <v>353</v>
      </c>
      <c r="I54" s="194">
        <v>54</v>
      </c>
      <c r="J54" s="193">
        <v>412</v>
      </c>
      <c r="K54" s="193">
        <v>145</v>
      </c>
      <c r="L54" s="238"/>
      <c r="P54" s="430"/>
      <c r="Q54" s="414" t="s">
        <v>309</v>
      </c>
      <c r="R54" s="414">
        <v>28</v>
      </c>
      <c r="S54" s="430">
        <v>767</v>
      </c>
      <c r="T54" s="430">
        <v>353</v>
      </c>
      <c r="U54" s="414">
        <v>54</v>
      </c>
      <c r="V54" s="414">
        <v>412</v>
      </c>
      <c r="W54" s="430">
        <v>145</v>
      </c>
    </row>
    <row r="55" spans="1:47" ht="15.6">
      <c r="B55" s="209"/>
      <c r="C55" s="263">
        <v>6</v>
      </c>
      <c r="D55" s="434" t="s">
        <v>109</v>
      </c>
      <c r="E55" s="254" t="s">
        <v>110</v>
      </c>
      <c r="F55" s="255">
        <v>32</v>
      </c>
      <c r="G55" s="255">
        <v>1196</v>
      </c>
      <c r="H55" s="197">
        <v>610</v>
      </c>
      <c r="I55" s="197">
        <v>49</v>
      </c>
      <c r="J55" s="255">
        <v>369</v>
      </c>
      <c r="K55" s="255">
        <v>260</v>
      </c>
      <c r="L55" s="311"/>
      <c r="P55" s="430"/>
      <c r="Q55" s="414" t="s">
        <v>310</v>
      </c>
      <c r="R55" s="414">
        <v>32</v>
      </c>
      <c r="S55" s="430">
        <v>1196</v>
      </c>
      <c r="T55" s="430">
        <v>610</v>
      </c>
      <c r="U55" s="414">
        <v>49</v>
      </c>
      <c r="V55" s="414">
        <v>369</v>
      </c>
      <c r="W55" s="430">
        <v>260</v>
      </c>
    </row>
    <row r="56" spans="1:47" ht="15.6">
      <c r="A56" s="408"/>
      <c r="B56" s="265"/>
      <c r="C56" s="263">
        <v>7</v>
      </c>
      <c r="D56" s="434" t="s">
        <v>111</v>
      </c>
      <c r="E56" s="254" t="s">
        <v>99</v>
      </c>
      <c r="F56" s="255">
        <v>36</v>
      </c>
      <c r="G56" s="255">
        <v>2847</v>
      </c>
      <c r="H56" s="197">
        <v>1281</v>
      </c>
      <c r="I56" s="197">
        <v>55</v>
      </c>
      <c r="J56" s="255">
        <v>416</v>
      </c>
      <c r="K56" s="255">
        <v>385</v>
      </c>
      <c r="L56" s="311"/>
      <c r="M56" s="408"/>
      <c r="N56" s="408"/>
      <c r="O56" s="408"/>
      <c r="P56" s="431"/>
      <c r="Q56" s="414" t="s">
        <v>311</v>
      </c>
      <c r="R56" s="414">
        <v>36</v>
      </c>
      <c r="S56" s="430">
        <v>2493</v>
      </c>
      <c r="T56" s="430">
        <v>1147</v>
      </c>
      <c r="U56" s="414">
        <v>54</v>
      </c>
      <c r="V56" s="414">
        <v>477</v>
      </c>
      <c r="W56" s="430">
        <v>405</v>
      </c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408"/>
      <c r="AL56" s="408"/>
      <c r="AM56" s="408"/>
      <c r="AN56" s="408"/>
      <c r="AO56" s="408"/>
      <c r="AP56" s="408"/>
      <c r="AQ56" s="408"/>
      <c r="AR56" s="408"/>
      <c r="AS56" s="408"/>
      <c r="AT56" s="408"/>
      <c r="AU56" s="408"/>
    </row>
    <row r="57" spans="1:47" ht="15.6">
      <c r="B57" s="209"/>
      <c r="C57" s="263">
        <v>8</v>
      </c>
      <c r="D57" s="435" t="s">
        <v>112</v>
      </c>
      <c r="E57" s="254" t="s">
        <v>103</v>
      </c>
      <c r="F57" s="255">
        <v>56</v>
      </c>
      <c r="G57" s="255">
        <v>5871</v>
      </c>
      <c r="H57" s="197">
        <v>5871</v>
      </c>
      <c r="I57" s="197">
        <v>0</v>
      </c>
      <c r="J57" s="255">
        <v>439</v>
      </c>
      <c r="K57" s="255">
        <v>602</v>
      </c>
      <c r="L57" s="311"/>
      <c r="P57" s="430"/>
      <c r="Q57" s="414" t="s">
        <v>312</v>
      </c>
      <c r="R57" s="414">
        <v>56</v>
      </c>
      <c r="S57" s="430">
        <v>5871</v>
      </c>
      <c r="T57" s="430">
        <v>5871</v>
      </c>
      <c r="U57" s="414">
        <v>0</v>
      </c>
      <c r="V57" s="414">
        <v>439</v>
      </c>
      <c r="W57" s="430">
        <v>602</v>
      </c>
    </row>
    <row r="58" spans="1:47" ht="15.6">
      <c r="B58" s="209"/>
      <c r="C58" s="263">
        <v>9</v>
      </c>
      <c r="D58" s="435" t="s">
        <v>113</v>
      </c>
      <c r="E58" s="254" t="s">
        <v>103</v>
      </c>
      <c r="F58" s="255">
        <v>36</v>
      </c>
      <c r="G58" s="255">
        <v>2065</v>
      </c>
      <c r="H58" s="197">
        <v>1879</v>
      </c>
      <c r="I58" s="197">
        <v>9</v>
      </c>
      <c r="J58" s="255">
        <v>417</v>
      </c>
      <c r="K58" s="255">
        <v>408</v>
      </c>
      <c r="L58" s="256"/>
      <c r="P58" s="430"/>
      <c r="Q58" s="414" t="s">
        <v>313</v>
      </c>
      <c r="R58" s="414">
        <v>36</v>
      </c>
      <c r="S58" s="430">
        <v>2065</v>
      </c>
      <c r="T58" s="430">
        <v>1879</v>
      </c>
      <c r="U58" s="414">
        <v>9</v>
      </c>
      <c r="V58" s="414">
        <v>417</v>
      </c>
      <c r="W58" s="430">
        <v>408</v>
      </c>
    </row>
    <row r="59" spans="1:47" ht="15.6">
      <c r="A59" s="408"/>
      <c r="B59" s="265"/>
      <c r="C59" s="263">
        <v>10</v>
      </c>
      <c r="D59" s="435" t="s">
        <v>115</v>
      </c>
      <c r="E59" s="254" t="s">
        <v>105</v>
      </c>
      <c r="F59" s="255">
        <v>40</v>
      </c>
      <c r="G59" s="255">
        <v>2352</v>
      </c>
      <c r="H59" s="197">
        <v>1388</v>
      </c>
      <c r="I59" s="197">
        <v>41</v>
      </c>
      <c r="J59" s="255">
        <v>298</v>
      </c>
      <c r="K59" s="255">
        <v>330</v>
      </c>
      <c r="L59" s="311"/>
      <c r="M59" s="408"/>
      <c r="N59" s="408"/>
      <c r="O59" s="408"/>
      <c r="P59" s="431"/>
      <c r="Q59" s="414" t="s">
        <v>314</v>
      </c>
      <c r="R59" s="414">
        <v>20</v>
      </c>
      <c r="S59" s="430">
        <v>725</v>
      </c>
      <c r="T59" s="430">
        <v>609</v>
      </c>
      <c r="U59" s="414">
        <v>16</v>
      </c>
      <c r="V59" s="414">
        <v>305</v>
      </c>
      <c r="W59" s="430">
        <v>530</v>
      </c>
      <c r="X59" s="408"/>
      <c r="Y59" s="408"/>
      <c r="Z59" s="408"/>
      <c r="AA59" s="408"/>
      <c r="AB59" s="408"/>
      <c r="AC59" s="408"/>
      <c r="AD59" s="408"/>
      <c r="AE59" s="408"/>
      <c r="AF59" s="408"/>
      <c r="AG59" s="408"/>
      <c r="AH59" s="408"/>
      <c r="AI59" s="408"/>
      <c r="AJ59" s="408"/>
      <c r="AK59" s="408"/>
      <c r="AL59" s="408"/>
      <c r="AM59" s="408"/>
      <c r="AN59" s="408"/>
      <c r="AO59" s="408"/>
      <c r="AP59" s="408"/>
      <c r="AQ59" s="408"/>
      <c r="AR59" s="408"/>
      <c r="AS59" s="408"/>
      <c r="AT59" s="408"/>
      <c r="AU59" s="408"/>
    </row>
    <row r="60" spans="1:47" ht="15.6">
      <c r="B60" s="209"/>
      <c r="C60" s="263">
        <v>11</v>
      </c>
      <c r="D60" s="434" t="s">
        <v>114</v>
      </c>
      <c r="E60" s="254" t="s">
        <v>99</v>
      </c>
      <c r="F60" s="255">
        <v>20</v>
      </c>
      <c r="G60" s="255">
        <v>725.2</v>
      </c>
      <c r="H60" s="197">
        <v>609.16800000000001</v>
      </c>
      <c r="I60" s="197">
        <v>16</v>
      </c>
      <c r="J60" s="255">
        <v>305</v>
      </c>
      <c r="K60" s="255">
        <v>530</v>
      </c>
      <c r="L60" s="311"/>
      <c r="P60" s="430"/>
      <c r="Q60" s="414" t="s">
        <v>315</v>
      </c>
      <c r="R60" s="414">
        <v>40</v>
      </c>
      <c r="S60" s="430">
        <v>2020</v>
      </c>
      <c r="T60" s="430">
        <v>1172</v>
      </c>
      <c r="U60" s="414">
        <v>42</v>
      </c>
      <c r="V60" s="414">
        <v>298</v>
      </c>
      <c r="W60" s="430">
        <v>330</v>
      </c>
    </row>
    <row r="61" spans="1:47" ht="15.6">
      <c r="B61" s="209"/>
      <c r="C61" s="263">
        <v>12</v>
      </c>
      <c r="D61" s="434" t="s">
        <v>116</v>
      </c>
      <c r="E61" s="254" t="s">
        <v>117</v>
      </c>
      <c r="F61" s="255">
        <v>28</v>
      </c>
      <c r="G61" s="255">
        <v>728</v>
      </c>
      <c r="H61" s="197">
        <v>262</v>
      </c>
      <c r="I61" s="197">
        <v>64</v>
      </c>
      <c r="J61" s="255">
        <v>481</v>
      </c>
      <c r="K61" s="255">
        <v>160</v>
      </c>
      <c r="L61" s="311"/>
      <c r="P61" s="430"/>
      <c r="Q61" s="414" t="s">
        <v>287</v>
      </c>
      <c r="R61" s="414">
        <v>28</v>
      </c>
      <c r="S61" s="430">
        <v>728</v>
      </c>
      <c r="T61" s="430">
        <v>262</v>
      </c>
      <c r="U61" s="414">
        <v>64</v>
      </c>
      <c r="V61" s="414">
        <v>481</v>
      </c>
      <c r="W61" s="430">
        <v>160</v>
      </c>
    </row>
    <row r="62" spans="1:47" ht="15.6">
      <c r="B62" s="209"/>
      <c r="C62" s="263">
        <v>13</v>
      </c>
      <c r="D62" s="434" t="s">
        <v>118</v>
      </c>
      <c r="E62" s="254" t="s">
        <v>99</v>
      </c>
      <c r="F62" s="255">
        <v>24</v>
      </c>
      <c r="G62" s="255">
        <v>880</v>
      </c>
      <c r="H62" s="197">
        <v>352</v>
      </c>
      <c r="I62" s="197">
        <v>60</v>
      </c>
      <c r="J62" s="255">
        <v>347</v>
      </c>
      <c r="K62" s="255">
        <v>315</v>
      </c>
      <c r="L62" s="311"/>
      <c r="P62" s="430"/>
      <c r="Q62" s="414" t="s">
        <v>316</v>
      </c>
      <c r="R62" s="414">
        <v>24</v>
      </c>
      <c r="S62" s="430">
        <v>880</v>
      </c>
      <c r="T62" s="430">
        <v>352</v>
      </c>
      <c r="U62" s="414">
        <v>60</v>
      </c>
      <c r="V62" s="414">
        <v>347</v>
      </c>
      <c r="W62" s="430">
        <v>315</v>
      </c>
    </row>
    <row r="63" spans="1:47" ht="15.6">
      <c r="B63" s="209"/>
      <c r="C63" s="210">
        <v>14</v>
      </c>
      <c r="D63" s="434" t="s">
        <v>119</v>
      </c>
      <c r="E63" s="192" t="s">
        <v>103</v>
      </c>
      <c r="F63" s="193">
        <v>28</v>
      </c>
      <c r="G63" s="193">
        <v>708</v>
      </c>
      <c r="H63" s="194">
        <v>347</v>
      </c>
      <c r="I63" s="194">
        <v>51</v>
      </c>
      <c r="J63" s="193">
        <v>429</v>
      </c>
      <c r="K63" s="193">
        <v>140</v>
      </c>
      <c r="L63" s="312"/>
      <c r="P63" s="430"/>
      <c r="Q63" s="414" t="s">
        <v>317</v>
      </c>
      <c r="R63" s="414">
        <v>28</v>
      </c>
      <c r="S63" s="430">
        <v>708</v>
      </c>
      <c r="T63" s="430">
        <v>347</v>
      </c>
      <c r="U63" s="414">
        <v>51</v>
      </c>
      <c r="V63" s="414">
        <v>429</v>
      </c>
      <c r="W63" s="430">
        <v>140</v>
      </c>
    </row>
    <row r="64" spans="1:47" ht="15.6">
      <c r="B64" s="209"/>
      <c r="C64" s="210">
        <v>15</v>
      </c>
      <c r="D64" s="434" t="s">
        <v>120</v>
      </c>
      <c r="E64" s="192" t="s">
        <v>101</v>
      </c>
      <c r="F64" s="193">
        <v>20</v>
      </c>
      <c r="G64" s="193">
        <v>291</v>
      </c>
      <c r="H64" s="194">
        <v>131</v>
      </c>
      <c r="I64" s="194">
        <v>55</v>
      </c>
      <c r="J64" s="193">
        <v>347</v>
      </c>
      <c r="K64" s="193">
        <v>90</v>
      </c>
      <c r="L64" s="312"/>
      <c r="N64" s="437"/>
      <c r="P64" s="430"/>
      <c r="Q64" s="414" t="s">
        <v>318</v>
      </c>
      <c r="R64" s="414">
        <v>20</v>
      </c>
      <c r="S64" s="430">
        <v>291</v>
      </c>
      <c r="T64" s="430">
        <v>131</v>
      </c>
      <c r="U64" s="414">
        <v>55</v>
      </c>
      <c r="V64" s="414">
        <v>347</v>
      </c>
      <c r="W64" s="430">
        <v>90</v>
      </c>
    </row>
    <row r="65" spans="1:47" ht="15.6">
      <c r="B65" s="209"/>
      <c r="C65" s="210">
        <v>16</v>
      </c>
      <c r="D65" s="218" t="s">
        <v>121</v>
      </c>
      <c r="E65" s="219" t="s">
        <v>105</v>
      </c>
      <c r="F65" s="220">
        <v>24</v>
      </c>
      <c r="G65" s="220">
        <v>361</v>
      </c>
      <c r="H65" s="221">
        <v>217</v>
      </c>
      <c r="I65" s="221">
        <v>40</v>
      </c>
      <c r="J65" s="220">
        <v>339</v>
      </c>
      <c r="K65" s="220">
        <v>130</v>
      </c>
      <c r="L65" s="338" t="s">
        <v>319</v>
      </c>
      <c r="P65" s="414"/>
      <c r="Q65" s="414" t="s">
        <v>320</v>
      </c>
      <c r="R65" s="414">
        <v>24</v>
      </c>
      <c r="S65" s="430">
        <v>361</v>
      </c>
      <c r="T65" s="430">
        <v>217</v>
      </c>
      <c r="U65" s="414">
        <v>40</v>
      </c>
      <c r="V65" s="414">
        <v>339</v>
      </c>
      <c r="W65" s="430">
        <v>130</v>
      </c>
      <c r="AD65" s="430"/>
      <c r="AH65" s="430"/>
      <c r="AI65" s="430"/>
      <c r="AJ65" s="430"/>
    </row>
    <row r="66" spans="1:47" ht="15.6">
      <c r="B66" s="209"/>
      <c r="C66" s="210">
        <v>17</v>
      </c>
      <c r="D66" s="434" t="s">
        <v>122</v>
      </c>
      <c r="E66" s="192" t="s">
        <v>110</v>
      </c>
      <c r="F66" s="193">
        <v>24</v>
      </c>
      <c r="G66" s="193">
        <v>864</v>
      </c>
      <c r="H66" s="194">
        <v>786</v>
      </c>
      <c r="I66" s="194">
        <v>9</v>
      </c>
      <c r="J66" s="193">
        <v>322</v>
      </c>
      <c r="K66" s="193">
        <v>550</v>
      </c>
      <c r="L66" s="312"/>
      <c r="P66" s="430"/>
      <c r="Q66" s="414" t="s">
        <v>291</v>
      </c>
      <c r="R66" s="414">
        <v>24</v>
      </c>
      <c r="S66" s="430">
        <v>864</v>
      </c>
      <c r="T66" s="430">
        <v>786</v>
      </c>
      <c r="U66" s="414">
        <v>9</v>
      </c>
      <c r="V66" s="414">
        <v>322</v>
      </c>
      <c r="W66" s="430">
        <v>550</v>
      </c>
    </row>
    <row r="67" spans="1:47" ht="15" customHeight="1">
      <c r="B67" s="209"/>
      <c r="C67" s="210">
        <v>18</v>
      </c>
      <c r="D67" s="434" t="s">
        <v>123</v>
      </c>
      <c r="E67" s="192" t="s">
        <v>124</v>
      </c>
      <c r="F67" s="193">
        <v>24</v>
      </c>
      <c r="G67" s="193">
        <v>1107</v>
      </c>
      <c r="H67" s="194">
        <v>321</v>
      </c>
      <c r="I67" s="194">
        <v>71</v>
      </c>
      <c r="J67" s="193">
        <v>779</v>
      </c>
      <c r="K67" s="193">
        <v>330</v>
      </c>
      <c r="L67" s="312"/>
      <c r="P67" s="430"/>
      <c r="Q67" s="414" t="s">
        <v>321</v>
      </c>
      <c r="R67" s="414">
        <v>24</v>
      </c>
      <c r="S67" s="430">
        <v>1107</v>
      </c>
      <c r="T67" s="430">
        <v>321</v>
      </c>
      <c r="U67" s="414">
        <v>71</v>
      </c>
      <c r="V67" s="414">
        <v>779</v>
      </c>
      <c r="W67" s="430">
        <v>330</v>
      </c>
    </row>
    <row r="68" spans="1:47" ht="15.6">
      <c r="B68" s="209"/>
      <c r="C68" s="263">
        <v>19</v>
      </c>
      <c r="D68" s="435" t="s">
        <v>127</v>
      </c>
      <c r="E68" s="254" t="s">
        <v>101</v>
      </c>
      <c r="F68" s="255">
        <v>36</v>
      </c>
      <c r="G68" s="255">
        <v>2967</v>
      </c>
      <c r="H68" s="197">
        <v>890</v>
      </c>
      <c r="I68" s="197">
        <v>70</v>
      </c>
      <c r="J68" s="255">
        <v>330</v>
      </c>
      <c r="K68" s="255">
        <v>230</v>
      </c>
      <c r="L68" s="311"/>
      <c r="P68" s="430"/>
      <c r="Q68" s="414" t="s">
        <v>322</v>
      </c>
      <c r="R68" s="414">
        <v>36</v>
      </c>
      <c r="S68" s="430">
        <v>2967</v>
      </c>
      <c r="T68" s="430">
        <v>890</v>
      </c>
      <c r="U68" s="414">
        <v>70</v>
      </c>
      <c r="V68" s="414">
        <v>330</v>
      </c>
      <c r="W68" s="430">
        <v>230</v>
      </c>
    </row>
    <row r="69" spans="1:47" ht="15.6">
      <c r="B69" s="209"/>
      <c r="C69" s="210">
        <v>20</v>
      </c>
      <c r="D69" s="218" t="s">
        <v>128</v>
      </c>
      <c r="E69" s="219" t="s">
        <v>105</v>
      </c>
      <c r="F69" s="220">
        <v>24</v>
      </c>
      <c r="G69" s="220">
        <v>800</v>
      </c>
      <c r="H69" s="221">
        <v>200</v>
      </c>
      <c r="I69" s="221">
        <v>75</v>
      </c>
      <c r="J69" s="220">
        <v>286</v>
      </c>
      <c r="K69" s="220">
        <v>200</v>
      </c>
      <c r="L69" s="338" t="s">
        <v>323</v>
      </c>
      <c r="P69" s="430"/>
      <c r="Q69" s="414" t="s">
        <v>324</v>
      </c>
      <c r="R69" s="414">
        <v>24</v>
      </c>
      <c r="S69" s="430">
        <v>800</v>
      </c>
      <c r="T69" s="430">
        <v>200</v>
      </c>
      <c r="U69" s="414">
        <v>75</v>
      </c>
      <c r="V69" s="414">
        <v>286</v>
      </c>
      <c r="W69" s="430">
        <v>200</v>
      </c>
    </row>
    <row r="70" spans="1:47" ht="15.6">
      <c r="A70" s="408"/>
      <c r="B70" s="265"/>
      <c r="C70" s="263">
        <v>21</v>
      </c>
      <c r="D70" s="253" t="s">
        <v>129</v>
      </c>
      <c r="E70" s="254" t="s">
        <v>99</v>
      </c>
      <c r="F70" s="255">
        <v>20</v>
      </c>
      <c r="G70" s="255">
        <v>735</v>
      </c>
      <c r="H70" s="197">
        <v>339</v>
      </c>
      <c r="I70" s="197">
        <v>54</v>
      </c>
      <c r="J70" s="255"/>
      <c r="K70" s="255">
        <v>160</v>
      </c>
      <c r="L70" s="311"/>
      <c r="M70" s="408"/>
      <c r="N70" s="408"/>
      <c r="O70" s="408"/>
      <c r="P70" s="431"/>
      <c r="Q70" s="414" t="s">
        <v>325</v>
      </c>
      <c r="R70" s="414">
        <v>24</v>
      </c>
      <c r="S70" s="430">
        <v>448</v>
      </c>
      <c r="T70" s="430">
        <v>206</v>
      </c>
      <c r="U70" s="414">
        <v>54</v>
      </c>
      <c r="V70" s="414">
        <v>350</v>
      </c>
      <c r="W70" s="430">
        <v>150</v>
      </c>
      <c r="X70" s="408"/>
      <c r="Y70" s="408"/>
      <c r="Z70" s="408"/>
      <c r="AA70" s="408"/>
      <c r="AB70" s="408"/>
      <c r="AC70" s="408"/>
      <c r="AD70" s="408"/>
      <c r="AE70" s="408"/>
      <c r="AF70" s="408"/>
      <c r="AG70" s="408"/>
      <c r="AH70" s="408"/>
      <c r="AI70" s="408"/>
      <c r="AJ70" s="408"/>
      <c r="AK70" s="408"/>
      <c r="AL70" s="408"/>
      <c r="AM70" s="408"/>
      <c r="AN70" s="408"/>
      <c r="AO70" s="408"/>
      <c r="AP70" s="408"/>
      <c r="AQ70" s="408"/>
      <c r="AR70" s="408"/>
      <c r="AS70" s="408"/>
      <c r="AT70" s="408"/>
      <c r="AU70" s="408"/>
    </row>
    <row r="71" spans="1:47" ht="15.6">
      <c r="B71" s="209"/>
      <c r="C71" s="210">
        <v>22</v>
      </c>
      <c r="D71" s="218" t="s">
        <v>130</v>
      </c>
      <c r="E71" s="219" t="s">
        <v>105</v>
      </c>
      <c r="F71" s="220">
        <v>24</v>
      </c>
      <c r="G71" s="220">
        <v>750</v>
      </c>
      <c r="H71" s="221">
        <v>300</v>
      </c>
      <c r="I71" s="221">
        <v>60</v>
      </c>
      <c r="J71" s="220">
        <v>302</v>
      </c>
      <c r="K71" s="220">
        <v>180</v>
      </c>
      <c r="L71" s="338" t="s">
        <v>326</v>
      </c>
      <c r="P71" s="430"/>
      <c r="Q71" s="414" t="s">
        <v>327</v>
      </c>
      <c r="R71" s="414">
        <v>24</v>
      </c>
      <c r="S71" s="430">
        <v>750</v>
      </c>
      <c r="T71" s="430">
        <v>300</v>
      </c>
      <c r="U71" s="414">
        <v>60</v>
      </c>
      <c r="V71" s="414">
        <v>302</v>
      </c>
      <c r="W71" s="430">
        <v>180</v>
      </c>
    </row>
    <row r="72" spans="1:47" ht="15.6">
      <c r="B72" s="209"/>
      <c r="C72" s="210">
        <v>23</v>
      </c>
      <c r="D72" s="434" t="s">
        <v>131</v>
      </c>
      <c r="E72" s="192" t="s">
        <v>110</v>
      </c>
      <c r="F72" s="193">
        <v>24</v>
      </c>
      <c r="G72" s="193">
        <v>821</v>
      </c>
      <c r="H72" s="194">
        <v>394</v>
      </c>
      <c r="I72" s="194">
        <v>52</v>
      </c>
      <c r="J72" s="193">
        <v>476</v>
      </c>
      <c r="K72" s="193">
        <v>375</v>
      </c>
      <c r="L72" s="312"/>
      <c r="P72" s="430"/>
      <c r="Q72" s="414" t="s">
        <v>328</v>
      </c>
      <c r="R72" s="414">
        <v>24</v>
      </c>
      <c r="S72" s="430">
        <v>821</v>
      </c>
      <c r="T72" s="430">
        <v>394</v>
      </c>
      <c r="U72" s="414">
        <v>52</v>
      </c>
      <c r="V72" s="414">
        <v>476</v>
      </c>
      <c r="W72" s="430">
        <v>375</v>
      </c>
    </row>
    <row r="73" spans="1:47" s="439" customFormat="1" ht="25.5" customHeight="1">
      <c r="B73" s="262"/>
      <c r="C73" s="263">
        <v>24</v>
      </c>
      <c r="D73" s="435" t="s">
        <v>132</v>
      </c>
      <c r="E73" s="254" t="s">
        <v>133</v>
      </c>
      <c r="F73" s="255">
        <v>24</v>
      </c>
      <c r="G73" s="255">
        <v>897</v>
      </c>
      <c r="H73" s="197">
        <v>278</v>
      </c>
      <c r="I73" s="197">
        <v>69</v>
      </c>
      <c r="J73" s="255">
        <v>328</v>
      </c>
      <c r="K73" s="255">
        <v>175</v>
      </c>
      <c r="L73" s="311"/>
      <c r="P73" s="321"/>
      <c r="Q73" s="441" t="s">
        <v>295</v>
      </c>
      <c r="R73" s="441">
        <v>24</v>
      </c>
      <c r="S73" s="321">
        <v>897</v>
      </c>
      <c r="T73" s="321">
        <v>278</v>
      </c>
      <c r="U73" s="441">
        <v>69</v>
      </c>
      <c r="V73" s="441">
        <v>328</v>
      </c>
      <c r="W73" s="321">
        <v>175</v>
      </c>
    </row>
    <row r="74" spans="1:47" ht="18.75" customHeight="1">
      <c r="B74" s="209"/>
      <c r="C74" s="210">
        <v>25</v>
      </c>
      <c r="D74" s="434" t="s">
        <v>134</v>
      </c>
      <c r="E74" s="192" t="s">
        <v>135</v>
      </c>
      <c r="F74" s="193">
        <v>20</v>
      </c>
      <c r="G74" s="194">
        <v>402</v>
      </c>
      <c r="H74" s="194">
        <v>165</v>
      </c>
      <c r="I74" s="194">
        <v>59</v>
      </c>
      <c r="J74" s="193">
        <v>1836</v>
      </c>
      <c r="K74" s="193">
        <v>560</v>
      </c>
      <c r="L74" s="312"/>
      <c r="P74" s="430"/>
      <c r="Q74" s="414" t="s">
        <v>329</v>
      </c>
      <c r="R74" s="414">
        <v>20</v>
      </c>
      <c r="S74" s="414">
        <v>402</v>
      </c>
      <c r="T74" s="414">
        <v>165</v>
      </c>
      <c r="U74" s="414">
        <v>59</v>
      </c>
      <c r="V74" s="414">
        <v>1836</v>
      </c>
      <c r="W74" s="414">
        <v>560</v>
      </c>
    </row>
    <row r="75" spans="1:47" ht="21" customHeight="1">
      <c r="B75" s="209"/>
      <c r="C75" s="263">
        <v>26</v>
      </c>
      <c r="D75" s="435" t="s">
        <v>136</v>
      </c>
      <c r="E75" s="254" t="s">
        <v>105</v>
      </c>
      <c r="F75" s="255">
        <v>40</v>
      </c>
      <c r="G75" s="197">
        <v>2420</v>
      </c>
      <c r="H75" s="197">
        <v>968</v>
      </c>
      <c r="I75" s="197">
        <v>60</v>
      </c>
      <c r="J75" s="197">
        <v>309</v>
      </c>
      <c r="K75" s="197">
        <v>300</v>
      </c>
      <c r="L75" s="311"/>
      <c r="P75" s="430"/>
      <c r="Q75" s="414" t="s">
        <v>330</v>
      </c>
      <c r="R75" s="414">
        <v>40</v>
      </c>
      <c r="S75" s="414">
        <v>2420</v>
      </c>
      <c r="T75" s="414">
        <v>968</v>
      </c>
      <c r="U75" s="414">
        <v>60</v>
      </c>
      <c r="V75" s="414">
        <v>309</v>
      </c>
      <c r="W75" s="414">
        <v>300</v>
      </c>
    </row>
    <row r="76" spans="1:47" ht="15.6">
      <c r="A76" s="408"/>
      <c r="B76" s="265"/>
      <c r="C76" s="222">
        <v>27</v>
      </c>
      <c r="D76" s="218" t="s">
        <v>137</v>
      </c>
      <c r="E76" s="219" t="s">
        <v>110</v>
      </c>
      <c r="F76" s="220">
        <v>40</v>
      </c>
      <c r="G76" s="220">
        <v>2222</v>
      </c>
      <c r="H76" s="221">
        <v>822</v>
      </c>
      <c r="I76" s="221">
        <v>63</v>
      </c>
      <c r="J76" s="220">
        <v>348</v>
      </c>
      <c r="K76" s="220">
        <v>260</v>
      </c>
      <c r="L76" s="338" t="s">
        <v>235</v>
      </c>
      <c r="M76" s="408"/>
      <c r="N76" s="408"/>
      <c r="O76" s="408"/>
      <c r="P76" s="431"/>
      <c r="Q76" s="414" t="s">
        <v>331</v>
      </c>
      <c r="R76" s="414">
        <v>40</v>
      </c>
      <c r="S76" s="414">
        <v>2222</v>
      </c>
      <c r="T76" s="414">
        <v>822</v>
      </c>
      <c r="U76" s="414">
        <v>63</v>
      </c>
      <c r="V76" s="414">
        <v>348</v>
      </c>
      <c r="W76" s="414">
        <v>260</v>
      </c>
      <c r="X76" s="408"/>
      <c r="Y76" s="408"/>
      <c r="Z76" s="408"/>
      <c r="AA76" s="408"/>
      <c r="AB76" s="408"/>
      <c r="AC76" s="408"/>
      <c r="AD76" s="408"/>
      <c r="AE76" s="408"/>
      <c r="AF76" s="408"/>
      <c r="AG76" s="408"/>
      <c r="AH76" s="408"/>
      <c r="AI76" s="408"/>
      <c r="AJ76" s="408"/>
      <c r="AK76" s="408"/>
      <c r="AL76" s="408"/>
      <c r="AM76" s="408"/>
      <c r="AN76" s="408"/>
      <c r="AO76" s="408"/>
      <c r="AP76" s="408"/>
      <c r="AQ76" s="408"/>
      <c r="AR76" s="408"/>
      <c r="AS76" s="408"/>
      <c r="AT76" s="408"/>
      <c r="AU76" s="408"/>
    </row>
    <row r="77" spans="1:47" ht="28.5" customHeight="1" thickBot="1">
      <c r="D77" s="204"/>
      <c r="E77" s="1251" t="s">
        <v>168</v>
      </c>
      <c r="F77" s="1382"/>
      <c r="G77" s="224">
        <f>SUM(G50:G76)</f>
        <v>37189.199999999997</v>
      </c>
      <c r="H77" s="224">
        <f>SUM(H50:H76)</f>
        <v>22098.167999999998</v>
      </c>
      <c r="I77" s="225"/>
      <c r="J77" s="408"/>
      <c r="K77" s="225"/>
      <c r="P77" s="414"/>
      <c r="S77" s="423">
        <f>SUM(S50:S76)</f>
        <v>36216</v>
      </c>
      <c r="T77" s="423">
        <f>SUM(T50:T76)</f>
        <v>21615</v>
      </c>
    </row>
    <row r="78" spans="1:47" ht="16.149999999999999" thickBot="1">
      <c r="E78" s="1251"/>
      <c r="F78" s="1382"/>
      <c r="G78" s="1"/>
      <c r="H78" s="208">
        <f>ROUNDUP(H77, -1)</f>
        <v>22100</v>
      </c>
      <c r="I78" s="1"/>
      <c r="K78" s="1"/>
      <c r="P78" s="414"/>
    </row>
    <row r="79" spans="1:47" ht="16.149999999999999" thickBot="1">
      <c r="E79" s="1"/>
      <c r="F79" s="1"/>
      <c r="G79" s="1"/>
      <c r="H79" s="1"/>
      <c r="I79" s="1"/>
      <c r="J79" s="1"/>
      <c r="K79" s="1"/>
      <c r="P79" s="414"/>
    </row>
    <row r="80" spans="1:47" ht="25.5" customHeight="1" thickBot="1">
      <c r="D80" s="1252" t="s">
        <v>332</v>
      </c>
      <c r="E80" s="1383"/>
      <c r="F80" s="1383"/>
      <c r="G80" s="1383"/>
      <c r="H80" s="1383"/>
      <c r="I80" s="1383"/>
      <c r="J80" s="1383"/>
      <c r="K80" s="1383"/>
      <c r="L80" s="1384"/>
      <c r="P80" s="414"/>
    </row>
    <row r="81" spans="2:23" ht="27" thickBot="1">
      <c r="B81" s="178"/>
      <c r="C81" s="179" t="s">
        <v>156</v>
      </c>
      <c r="D81" s="179" t="s">
        <v>31</v>
      </c>
      <c r="E81" s="180" t="s">
        <v>32</v>
      </c>
      <c r="F81" s="180" t="s">
        <v>33</v>
      </c>
      <c r="G81" s="187" t="s">
        <v>34</v>
      </c>
      <c r="H81" s="187" t="s">
        <v>35</v>
      </c>
      <c r="I81" s="180" t="s">
        <v>37</v>
      </c>
      <c r="J81" s="182" t="s">
        <v>38</v>
      </c>
      <c r="K81" s="182" t="s">
        <v>39</v>
      </c>
      <c r="L81" s="226" t="s">
        <v>40</v>
      </c>
      <c r="P81" s="414"/>
      <c r="Q81" s="418"/>
      <c r="R81" s="430" t="s">
        <v>302</v>
      </c>
      <c r="S81" s="430" t="s">
        <v>303</v>
      </c>
      <c r="T81" s="430" t="s">
        <v>304</v>
      </c>
      <c r="U81" s="430" t="s">
        <v>272</v>
      </c>
      <c r="V81" s="430" t="s">
        <v>273</v>
      </c>
      <c r="W81" s="430" t="s">
        <v>274</v>
      </c>
    </row>
    <row r="82" spans="2:23" ht="15.6">
      <c r="B82" s="209"/>
      <c r="C82" s="210">
        <v>1</v>
      </c>
      <c r="D82" s="227" t="s">
        <v>139</v>
      </c>
      <c r="E82" s="228" t="s">
        <v>140</v>
      </c>
      <c r="F82" s="187">
        <v>20</v>
      </c>
      <c r="G82" s="194">
        <v>502.02384432635614</v>
      </c>
      <c r="H82" s="194">
        <v>441.78093461567016</v>
      </c>
      <c r="I82" s="187">
        <v>12</v>
      </c>
      <c r="J82" s="432">
        <v>311</v>
      </c>
      <c r="K82" s="187">
        <v>240</v>
      </c>
      <c r="L82" s="190"/>
      <c r="O82" s="418"/>
      <c r="P82" s="377"/>
      <c r="Q82" s="418" t="s">
        <v>308</v>
      </c>
      <c r="R82" s="414">
        <v>20</v>
      </c>
      <c r="S82" s="430">
        <v>502.02384432635614</v>
      </c>
      <c r="T82" s="430">
        <v>441.78093461567016</v>
      </c>
      <c r="U82" s="414">
        <v>12</v>
      </c>
      <c r="V82" s="414">
        <v>311</v>
      </c>
      <c r="W82" s="414">
        <v>240</v>
      </c>
    </row>
    <row r="83" spans="2:23" ht="15.6">
      <c r="B83" s="209"/>
      <c r="C83" s="210">
        <v>2</v>
      </c>
      <c r="D83" s="229" t="s">
        <v>142</v>
      </c>
      <c r="E83" s="230" t="s">
        <v>143</v>
      </c>
      <c r="F83" s="193">
        <v>24</v>
      </c>
      <c r="G83" s="188">
        <v>458.35694681826453</v>
      </c>
      <c r="H83" s="188">
        <v>407.93771795374113</v>
      </c>
      <c r="I83" s="193">
        <v>11</v>
      </c>
      <c r="J83" s="432">
        <v>526</v>
      </c>
      <c r="K83" s="187">
        <v>260</v>
      </c>
      <c r="L83" s="231"/>
      <c r="O83" s="418"/>
      <c r="P83" s="377"/>
      <c r="Q83" s="418" t="s">
        <v>333</v>
      </c>
      <c r="R83" s="414">
        <v>24</v>
      </c>
      <c r="S83" s="430">
        <v>458.35694681826453</v>
      </c>
      <c r="T83" s="430">
        <v>407.93771795374113</v>
      </c>
      <c r="U83" s="414">
        <v>11</v>
      </c>
      <c r="V83" s="414">
        <v>526</v>
      </c>
      <c r="W83" s="414">
        <v>260</v>
      </c>
    </row>
    <row r="84" spans="2:23" ht="15.6">
      <c r="B84" s="209"/>
      <c r="C84" s="210">
        <v>3</v>
      </c>
      <c r="D84" s="229" t="s">
        <v>144</v>
      </c>
      <c r="E84" s="230" t="s">
        <v>140</v>
      </c>
      <c r="F84" s="193">
        <v>28</v>
      </c>
      <c r="G84" s="194">
        <v>1807.2832586936433</v>
      </c>
      <c r="H84" s="194">
        <v>1373.5359218274787</v>
      </c>
      <c r="I84" s="193">
        <v>24</v>
      </c>
      <c r="J84" s="432">
        <v>1321</v>
      </c>
      <c r="K84" s="187">
        <v>900</v>
      </c>
      <c r="L84" s="231"/>
      <c r="O84" s="418"/>
      <c r="P84" s="377"/>
      <c r="Q84" s="418" t="s">
        <v>334</v>
      </c>
      <c r="R84" s="414">
        <v>28</v>
      </c>
      <c r="S84" s="430">
        <v>1807.2832586936433</v>
      </c>
      <c r="T84" s="430">
        <v>1373.5359218274787</v>
      </c>
      <c r="U84" s="414">
        <v>24</v>
      </c>
      <c r="V84" s="414">
        <v>1321</v>
      </c>
      <c r="W84" s="414">
        <v>900</v>
      </c>
    </row>
    <row r="85" spans="2:23" ht="16.149999999999999" thickBot="1">
      <c r="B85" s="209"/>
      <c r="C85" s="213">
        <v>4</v>
      </c>
      <c r="D85" s="232" t="s">
        <v>145</v>
      </c>
      <c r="E85" s="233" t="s">
        <v>146</v>
      </c>
      <c r="F85" s="200">
        <v>36</v>
      </c>
      <c r="G85" s="194">
        <v>2126.2116251395114</v>
      </c>
      <c r="H85" s="194">
        <v>1966.7454256031099</v>
      </c>
      <c r="I85" s="194">
        <v>7.5</v>
      </c>
      <c r="J85" s="432">
        <v>404</v>
      </c>
      <c r="K85" s="187">
        <v>520</v>
      </c>
      <c r="L85" s="234"/>
      <c r="O85" s="418"/>
      <c r="P85" s="377"/>
      <c r="Q85" s="418" t="s">
        <v>290</v>
      </c>
      <c r="R85" s="414">
        <v>36</v>
      </c>
      <c r="S85" s="430">
        <v>2126.2116251395114</v>
      </c>
      <c r="T85" s="430">
        <v>1966.7454256031099</v>
      </c>
      <c r="U85" s="414">
        <v>7.5</v>
      </c>
      <c r="V85" s="414">
        <v>404</v>
      </c>
      <c r="W85" s="414">
        <v>520</v>
      </c>
    </row>
    <row r="86" spans="2:23" ht="19.5" customHeight="1" thickBot="1">
      <c r="D86" s="204"/>
      <c r="E86" s="205"/>
      <c r="F86" s="205"/>
      <c r="G86" s="224">
        <v>4893.8756749777749</v>
      </c>
      <c r="H86" s="235">
        <v>4190</v>
      </c>
      <c r="I86" s="207"/>
      <c r="J86" s="207"/>
      <c r="K86" s="207"/>
      <c r="P86" s="414"/>
      <c r="Q86" s="414"/>
      <c r="R86" s="414"/>
      <c r="S86" s="423">
        <f>SUM(S82:S85)</f>
        <v>4893.8756749777749</v>
      </c>
      <c r="T86" s="423">
        <f>SUM(T82:T85)</f>
        <v>4190</v>
      </c>
      <c r="U86" s="414"/>
      <c r="V86" s="414"/>
      <c r="W86" s="414"/>
    </row>
    <row r="87" spans="2:23" ht="16.149999999999999" thickBot="1">
      <c r="E87" s="1251" t="s">
        <v>168</v>
      </c>
      <c r="F87" s="1382"/>
      <c r="G87" s="1"/>
      <c r="H87" s="208">
        <f>H86</f>
        <v>4190</v>
      </c>
      <c r="I87" s="1"/>
      <c r="K87" s="1"/>
      <c r="P87" s="414"/>
      <c r="Q87" s="414"/>
      <c r="R87" s="414"/>
      <c r="S87" s="414"/>
      <c r="T87" s="414"/>
      <c r="U87" s="414"/>
    </row>
    <row r="88" spans="2:23" ht="15.6">
      <c r="E88" s="1"/>
      <c r="F88" s="1"/>
      <c r="G88" s="1"/>
      <c r="H88" s="1"/>
      <c r="I88" s="1"/>
      <c r="J88" s="1"/>
      <c r="K88" s="1"/>
      <c r="P88" s="414"/>
      <c r="Q88" s="414"/>
      <c r="R88" s="414"/>
      <c r="S88" s="414"/>
      <c r="T88" s="414"/>
      <c r="U88" s="414"/>
    </row>
    <row r="89" spans="2:23" ht="15.6">
      <c r="E89" s="1"/>
      <c r="F89" s="1"/>
      <c r="G89" s="1"/>
      <c r="H89" s="1"/>
      <c r="I89" s="1"/>
      <c r="J89" s="1"/>
      <c r="K89" s="1"/>
      <c r="P89" s="414"/>
      <c r="Q89" s="414"/>
      <c r="R89" s="414"/>
      <c r="S89" s="414"/>
      <c r="T89" s="414"/>
      <c r="U89" s="414"/>
    </row>
    <row r="90" spans="2:23" ht="15.6">
      <c r="E90" s="1"/>
      <c r="F90" s="1"/>
      <c r="G90" s="1"/>
      <c r="H90" s="1"/>
      <c r="I90" s="1"/>
      <c r="J90" s="1"/>
      <c r="K90" s="1"/>
      <c r="P90" s="414"/>
      <c r="Q90" s="414"/>
      <c r="R90" s="414"/>
      <c r="S90" s="414"/>
      <c r="T90" s="414"/>
      <c r="U90" s="414"/>
    </row>
    <row r="91" spans="2:23" ht="15.6">
      <c r="E91" s="1"/>
      <c r="F91" s="1"/>
      <c r="G91" s="1"/>
      <c r="H91" s="1"/>
      <c r="I91" s="1"/>
      <c r="J91" s="1"/>
      <c r="K91" s="1"/>
      <c r="P91" s="414"/>
      <c r="Q91" s="414"/>
      <c r="R91" s="414"/>
      <c r="S91" s="414"/>
      <c r="T91" s="414"/>
      <c r="U91" s="414"/>
    </row>
    <row r="92" spans="2:23" ht="15.6">
      <c r="E92" s="1"/>
      <c r="F92" s="1"/>
      <c r="G92" s="1"/>
      <c r="H92" s="1"/>
      <c r="I92" s="1"/>
      <c r="J92" s="1"/>
      <c r="K92" s="1"/>
      <c r="P92" s="414"/>
      <c r="Q92" s="414"/>
      <c r="R92" s="414"/>
      <c r="S92" s="414"/>
      <c r="T92" s="414"/>
      <c r="U92" s="414"/>
    </row>
    <row r="93" spans="2:23" ht="15.6">
      <c r="E93" s="1"/>
      <c r="F93" s="1"/>
      <c r="G93" s="1"/>
      <c r="H93" s="1"/>
      <c r="I93" s="1"/>
      <c r="J93" s="1"/>
      <c r="K93" s="1"/>
      <c r="P93" s="414"/>
      <c r="Q93" s="414"/>
      <c r="R93" s="414"/>
      <c r="S93" s="414"/>
      <c r="T93" s="414"/>
      <c r="U93" s="414"/>
    </row>
    <row r="94" spans="2:23" ht="15.6">
      <c r="E94" s="1"/>
      <c r="F94" s="1"/>
      <c r="G94" s="1"/>
      <c r="H94" s="1"/>
      <c r="I94" s="1"/>
      <c r="J94" s="1"/>
      <c r="K94" s="1"/>
      <c r="P94" s="414"/>
      <c r="Q94" s="414"/>
      <c r="R94" s="414"/>
      <c r="S94" s="414"/>
      <c r="T94" s="414"/>
      <c r="U94" s="414"/>
    </row>
    <row r="95" spans="2:23" ht="15.6">
      <c r="E95" s="1"/>
      <c r="F95" s="1"/>
      <c r="G95" s="1"/>
      <c r="H95" s="1"/>
      <c r="I95" s="1"/>
      <c r="J95" s="1"/>
      <c r="K95" s="1"/>
      <c r="P95" s="414"/>
      <c r="Q95" s="414"/>
      <c r="R95" s="414"/>
      <c r="S95" s="414"/>
      <c r="T95" s="414"/>
      <c r="U95" s="414"/>
    </row>
    <row r="96" spans="2:23" ht="15.6">
      <c r="E96" s="1"/>
      <c r="F96" s="1"/>
      <c r="G96" s="1"/>
      <c r="H96" s="1"/>
      <c r="I96" s="1"/>
      <c r="J96" s="1"/>
      <c r="K96" s="1"/>
      <c r="P96" s="414"/>
      <c r="Q96" s="414"/>
      <c r="R96" s="414"/>
      <c r="S96" s="414"/>
      <c r="T96" s="414"/>
      <c r="U96" s="414"/>
    </row>
    <row r="97" spans="5:21" ht="15.6">
      <c r="E97" s="1"/>
      <c r="F97" s="1"/>
      <c r="G97" s="1"/>
      <c r="H97" s="1"/>
      <c r="I97" s="1"/>
      <c r="J97" s="1"/>
      <c r="K97" s="1"/>
      <c r="P97" s="414"/>
      <c r="Q97" s="414"/>
      <c r="R97" s="414"/>
      <c r="S97" s="414"/>
      <c r="T97" s="414"/>
      <c r="U97" s="414"/>
    </row>
    <row r="98" spans="5:21" ht="15.6">
      <c r="E98" s="1"/>
      <c r="F98" s="1"/>
      <c r="G98" s="1"/>
      <c r="H98" s="1"/>
      <c r="I98" s="1"/>
      <c r="J98" s="1"/>
      <c r="K98" s="1"/>
      <c r="P98" s="414"/>
      <c r="Q98" s="414"/>
      <c r="R98" s="414"/>
      <c r="S98" s="414"/>
      <c r="T98" s="414"/>
      <c r="U98" s="414"/>
    </row>
    <row r="99" spans="5:21" ht="15.6">
      <c r="E99" s="1"/>
      <c r="F99" s="1"/>
      <c r="G99" s="1"/>
      <c r="H99" s="1"/>
      <c r="I99" s="1"/>
      <c r="J99" s="1"/>
      <c r="K99" s="1"/>
      <c r="P99" s="414"/>
      <c r="Q99" s="414"/>
      <c r="R99" s="414"/>
      <c r="S99" s="414"/>
      <c r="T99" s="414"/>
      <c r="U99" s="414"/>
    </row>
    <row r="100" spans="5:21" ht="15.6">
      <c r="E100" s="1"/>
      <c r="F100" s="1"/>
      <c r="G100" s="1"/>
      <c r="H100" s="1"/>
      <c r="I100" s="1"/>
      <c r="J100" s="1"/>
      <c r="K100" s="1"/>
      <c r="P100" s="414"/>
      <c r="Q100" s="414"/>
      <c r="R100" s="414"/>
      <c r="S100" s="414"/>
      <c r="T100" s="414"/>
      <c r="U100" s="414"/>
    </row>
    <row r="101" spans="5:21" ht="15.6">
      <c r="E101" s="1"/>
      <c r="F101" s="1"/>
      <c r="G101" s="1"/>
      <c r="H101" s="1"/>
      <c r="I101" s="1"/>
      <c r="J101" s="1"/>
      <c r="K101" s="1"/>
      <c r="P101" s="414"/>
      <c r="Q101" s="414"/>
      <c r="R101" s="414"/>
      <c r="S101" s="414"/>
      <c r="T101" s="414"/>
      <c r="U101" s="414"/>
    </row>
    <row r="102" spans="5:21" ht="15.6">
      <c r="E102" s="1"/>
      <c r="F102" s="1"/>
      <c r="G102" s="1"/>
      <c r="H102" s="1"/>
      <c r="I102" s="1"/>
      <c r="J102" s="1"/>
      <c r="K102" s="1"/>
      <c r="P102" s="414"/>
      <c r="Q102" s="414"/>
      <c r="R102" s="414"/>
      <c r="S102" s="414"/>
      <c r="T102" s="414"/>
      <c r="U102" s="414"/>
    </row>
    <row r="103" spans="5:21" ht="15.6">
      <c r="E103" s="1"/>
      <c r="F103" s="1"/>
      <c r="G103" s="1"/>
      <c r="H103" s="1"/>
      <c r="I103" s="1"/>
      <c r="J103" s="1"/>
      <c r="K103" s="1"/>
      <c r="P103" s="414"/>
      <c r="Q103" s="414"/>
      <c r="R103" s="414"/>
      <c r="S103" s="414"/>
      <c r="T103" s="414"/>
      <c r="U103" s="414"/>
    </row>
    <row r="104" spans="5:21" ht="15.6">
      <c r="E104" s="1"/>
      <c r="F104" s="1"/>
      <c r="G104" s="1"/>
      <c r="H104" s="1"/>
      <c r="I104" s="1"/>
      <c r="J104" s="1"/>
      <c r="K104" s="1"/>
      <c r="P104" s="414"/>
      <c r="Q104" s="414"/>
      <c r="R104" s="414"/>
      <c r="S104" s="414"/>
      <c r="T104" s="414"/>
      <c r="U104" s="414"/>
    </row>
    <row r="105" spans="5:21" ht="15.6">
      <c r="E105" s="1"/>
      <c r="F105" s="1"/>
      <c r="G105" s="1"/>
      <c r="H105" s="1"/>
      <c r="I105" s="1"/>
      <c r="J105" s="1"/>
      <c r="K105" s="1"/>
      <c r="P105" s="414"/>
      <c r="Q105" s="414"/>
      <c r="R105" s="414"/>
      <c r="S105" s="414"/>
      <c r="T105" s="414"/>
      <c r="U105" s="414"/>
    </row>
    <row r="106" spans="5:21" ht="15.6">
      <c r="E106" s="1"/>
      <c r="F106" s="1"/>
      <c r="G106" s="1"/>
      <c r="H106" s="1"/>
      <c r="I106" s="1"/>
      <c r="J106" s="1"/>
      <c r="K106" s="1"/>
      <c r="P106" s="414"/>
      <c r="Q106" s="414"/>
      <c r="R106" s="414"/>
      <c r="S106" s="414"/>
      <c r="T106" s="414"/>
      <c r="U106" s="414"/>
    </row>
    <row r="107" spans="5:21" ht="15.6">
      <c r="E107" s="1"/>
      <c r="F107" s="1"/>
      <c r="G107" s="1"/>
      <c r="H107" s="1"/>
      <c r="I107" s="1"/>
      <c r="J107" s="1"/>
      <c r="K107" s="1"/>
      <c r="P107" s="414"/>
      <c r="Q107" s="414"/>
      <c r="R107" s="414"/>
      <c r="S107" s="414"/>
      <c r="T107" s="414"/>
      <c r="U107" s="414"/>
    </row>
    <row r="108" spans="5:21" ht="15.6">
      <c r="E108" s="1"/>
      <c r="F108" s="1"/>
      <c r="G108" s="1"/>
      <c r="H108" s="1"/>
      <c r="I108" s="1"/>
      <c r="J108" s="1"/>
      <c r="K108" s="1"/>
      <c r="P108" s="414"/>
      <c r="Q108" s="414"/>
      <c r="R108" s="414"/>
      <c r="S108" s="414"/>
      <c r="T108" s="414"/>
      <c r="U108" s="414"/>
    </row>
    <row r="109" spans="5:21" ht="15.6">
      <c r="E109" s="1"/>
      <c r="F109" s="1"/>
      <c r="G109" s="1"/>
      <c r="H109" s="1"/>
      <c r="I109" s="1"/>
      <c r="J109" s="1"/>
      <c r="K109" s="1"/>
      <c r="P109" s="414"/>
      <c r="Q109" s="414"/>
      <c r="R109" s="414"/>
      <c r="S109" s="414"/>
      <c r="T109" s="414"/>
      <c r="U109" s="414"/>
    </row>
    <row r="110" spans="5:21" ht="15.6">
      <c r="E110" s="1"/>
      <c r="F110" s="1"/>
      <c r="G110" s="1"/>
      <c r="H110" s="1"/>
      <c r="I110" s="1"/>
      <c r="J110" s="1"/>
      <c r="K110" s="1"/>
      <c r="P110" s="414"/>
      <c r="Q110" s="414"/>
      <c r="R110" s="414"/>
      <c r="S110" s="414"/>
      <c r="T110" s="414"/>
      <c r="U110" s="414"/>
    </row>
    <row r="111" spans="5:21" ht="15.6">
      <c r="E111" s="1"/>
      <c r="F111" s="1"/>
      <c r="G111" s="1"/>
      <c r="H111" s="1"/>
      <c r="I111" s="1"/>
      <c r="J111" s="1"/>
      <c r="K111" s="1"/>
      <c r="P111" s="414"/>
      <c r="Q111" s="414"/>
      <c r="R111" s="414"/>
      <c r="S111" s="414"/>
      <c r="T111" s="414"/>
      <c r="U111" s="414"/>
    </row>
    <row r="112" spans="5:21" ht="15.6">
      <c r="E112" s="1"/>
      <c r="F112" s="1"/>
      <c r="G112" s="1"/>
      <c r="H112" s="1"/>
      <c r="I112" s="1"/>
      <c r="J112" s="1"/>
      <c r="K112" s="1"/>
      <c r="P112" s="414"/>
      <c r="Q112" s="414"/>
      <c r="R112" s="414"/>
      <c r="S112" s="414"/>
      <c r="T112" s="414"/>
      <c r="U112" s="414"/>
    </row>
    <row r="113" spans="5:21" ht="15.6">
      <c r="E113" s="1"/>
      <c r="F113" s="1"/>
      <c r="G113" s="1"/>
      <c r="H113" s="1"/>
      <c r="I113" s="1"/>
      <c r="J113" s="1"/>
      <c r="K113" s="1"/>
      <c r="P113" s="414"/>
      <c r="Q113" s="414"/>
      <c r="R113" s="414"/>
      <c r="S113" s="414"/>
      <c r="T113" s="414"/>
      <c r="U113" s="414"/>
    </row>
    <row r="114" spans="5:21" ht="15.6">
      <c r="E114" s="1"/>
      <c r="F114" s="1"/>
      <c r="G114" s="1"/>
      <c r="H114" s="1"/>
      <c r="I114" s="1"/>
      <c r="J114" s="1"/>
      <c r="K114" s="1"/>
      <c r="P114" s="414"/>
      <c r="Q114" s="414"/>
      <c r="R114" s="414"/>
      <c r="S114" s="414"/>
      <c r="T114" s="414"/>
      <c r="U114" s="414"/>
    </row>
    <row r="115" spans="5:21" ht="15.6">
      <c r="E115" s="1"/>
      <c r="F115" s="1"/>
      <c r="G115" s="1"/>
      <c r="H115" s="1"/>
      <c r="I115" s="1"/>
      <c r="J115" s="1"/>
      <c r="K115" s="1"/>
      <c r="P115" s="414"/>
      <c r="Q115" s="414"/>
      <c r="R115" s="414"/>
      <c r="S115" s="414"/>
      <c r="T115" s="414"/>
      <c r="U115" s="414"/>
    </row>
    <row r="116" spans="5:21" ht="15.6">
      <c r="E116" s="1"/>
      <c r="F116" s="1"/>
      <c r="G116" s="1"/>
      <c r="H116" s="1"/>
      <c r="I116" s="1"/>
      <c r="J116" s="1"/>
      <c r="K116" s="1"/>
      <c r="P116" s="414"/>
      <c r="Q116" s="414"/>
      <c r="R116" s="414"/>
      <c r="S116" s="414"/>
      <c r="T116" s="414"/>
      <c r="U116" s="414"/>
    </row>
    <row r="117" spans="5:21" ht="15.6">
      <c r="E117" s="1"/>
      <c r="F117" s="1"/>
      <c r="G117" s="1"/>
      <c r="H117" s="1"/>
      <c r="I117" s="1"/>
      <c r="J117" s="1"/>
      <c r="K117" s="1"/>
      <c r="P117" s="414"/>
      <c r="Q117" s="414"/>
      <c r="R117" s="414"/>
      <c r="S117" s="414"/>
      <c r="T117" s="414"/>
      <c r="U117" s="414"/>
    </row>
    <row r="118" spans="5:21" ht="15.6">
      <c r="E118" s="1"/>
      <c r="F118" s="1"/>
      <c r="G118" s="1"/>
      <c r="H118" s="1"/>
      <c r="I118" s="1"/>
      <c r="J118" s="1"/>
      <c r="K118" s="1"/>
      <c r="P118" s="414"/>
      <c r="Q118" s="414"/>
      <c r="R118" s="414"/>
      <c r="S118" s="414"/>
      <c r="T118" s="414"/>
      <c r="U118" s="414"/>
    </row>
    <row r="119" spans="5:21" ht="15.6">
      <c r="E119" s="1"/>
      <c r="F119" s="1"/>
      <c r="G119" s="1"/>
      <c r="H119" s="1"/>
      <c r="I119" s="1"/>
      <c r="J119" s="1"/>
      <c r="K119" s="1"/>
      <c r="P119" s="414"/>
      <c r="Q119" s="414"/>
      <c r="R119" s="414"/>
      <c r="S119" s="414"/>
      <c r="T119" s="414"/>
      <c r="U119" s="414"/>
    </row>
    <row r="120" spans="5:21" ht="15.6">
      <c r="E120" s="1"/>
      <c r="F120" s="1"/>
      <c r="G120" s="1"/>
      <c r="H120" s="1"/>
      <c r="I120" s="1"/>
      <c r="J120" s="1"/>
      <c r="K120" s="1"/>
      <c r="P120" s="414"/>
      <c r="Q120" s="414"/>
      <c r="R120" s="414"/>
      <c r="S120" s="414"/>
      <c r="T120" s="414"/>
      <c r="U120" s="414"/>
    </row>
    <row r="121" spans="5:21" ht="15.6">
      <c r="E121" s="1"/>
      <c r="F121" s="1"/>
      <c r="G121" s="1"/>
      <c r="H121" s="1"/>
      <c r="I121" s="1"/>
      <c r="J121" s="1"/>
      <c r="K121" s="1"/>
      <c r="P121" s="414"/>
      <c r="Q121" s="414"/>
      <c r="R121" s="414"/>
      <c r="S121" s="414"/>
      <c r="T121" s="414"/>
      <c r="U121" s="414"/>
    </row>
    <row r="122" spans="5:21" ht="15.6">
      <c r="E122" s="1"/>
      <c r="F122" s="1"/>
      <c r="G122" s="1"/>
      <c r="H122" s="1"/>
      <c r="I122" s="1"/>
      <c r="J122" s="1"/>
      <c r="K122" s="1"/>
      <c r="P122" s="414"/>
      <c r="Q122" s="414"/>
      <c r="R122" s="414"/>
      <c r="S122" s="414"/>
      <c r="T122" s="414"/>
      <c r="U122" s="414"/>
    </row>
    <row r="123" spans="5:21" ht="15.6">
      <c r="E123" s="1"/>
      <c r="F123" s="1"/>
      <c r="G123" s="1"/>
      <c r="H123" s="1"/>
      <c r="I123" s="1"/>
      <c r="J123" s="1"/>
      <c r="K123" s="1"/>
      <c r="P123" s="414"/>
      <c r="Q123" s="414"/>
      <c r="R123" s="414"/>
      <c r="S123" s="414"/>
      <c r="T123" s="414"/>
      <c r="U123" s="414"/>
    </row>
    <row r="124" spans="5:21" ht="15.6">
      <c r="E124" s="1"/>
      <c r="F124" s="1"/>
      <c r="G124" s="1"/>
      <c r="H124" s="1"/>
      <c r="I124" s="1"/>
      <c r="J124" s="1"/>
      <c r="K124" s="1"/>
      <c r="P124" s="414"/>
      <c r="Q124" s="414"/>
      <c r="R124" s="414"/>
      <c r="S124" s="414"/>
      <c r="T124" s="414"/>
      <c r="U124" s="414"/>
    </row>
    <row r="125" spans="5:21" ht="15.6">
      <c r="E125" s="1"/>
      <c r="F125" s="1"/>
      <c r="G125" s="1"/>
      <c r="H125" s="1"/>
      <c r="I125" s="1"/>
      <c r="J125" s="1"/>
      <c r="K125" s="1"/>
      <c r="P125" s="414"/>
      <c r="Q125" s="414"/>
      <c r="R125" s="414"/>
      <c r="S125" s="414"/>
      <c r="T125" s="414"/>
      <c r="U125" s="414"/>
    </row>
    <row r="126" spans="5:21" ht="15.6">
      <c r="E126" s="1"/>
      <c r="F126" s="1"/>
      <c r="G126" s="1"/>
      <c r="H126" s="1"/>
      <c r="I126" s="1"/>
      <c r="J126" s="1"/>
      <c r="K126" s="1"/>
      <c r="P126" s="414"/>
      <c r="Q126" s="414"/>
      <c r="R126" s="414"/>
      <c r="S126" s="414"/>
      <c r="T126" s="414"/>
      <c r="U126" s="414"/>
    </row>
    <row r="127" spans="5:21" ht="15.6">
      <c r="E127" s="1"/>
      <c r="F127" s="1"/>
      <c r="G127" s="1"/>
      <c r="H127" s="1"/>
      <c r="I127" s="1"/>
      <c r="J127" s="1"/>
      <c r="K127" s="1"/>
      <c r="P127" s="414"/>
      <c r="Q127" s="414"/>
      <c r="R127" s="414"/>
      <c r="S127" s="414"/>
      <c r="T127" s="414"/>
      <c r="U127" s="414"/>
    </row>
    <row r="128" spans="5:21" ht="15.6">
      <c r="E128" s="1"/>
      <c r="F128" s="1"/>
      <c r="G128" s="1"/>
      <c r="H128" s="1"/>
      <c r="I128" s="1"/>
      <c r="J128" s="1"/>
      <c r="K128" s="1"/>
      <c r="P128" s="414"/>
      <c r="Q128" s="414"/>
      <c r="R128" s="414"/>
      <c r="S128" s="414"/>
      <c r="T128" s="414"/>
      <c r="U128" s="414"/>
    </row>
    <row r="129" spans="5:21" ht="15.6">
      <c r="E129" s="1"/>
      <c r="F129" s="1"/>
      <c r="G129" s="1"/>
      <c r="H129" s="1"/>
      <c r="I129" s="1"/>
      <c r="J129" s="1"/>
      <c r="K129" s="1"/>
      <c r="P129" s="414"/>
      <c r="Q129" s="414"/>
      <c r="R129" s="414"/>
      <c r="S129" s="414"/>
      <c r="T129" s="414"/>
      <c r="U129" s="414"/>
    </row>
    <row r="130" spans="5:21" ht="15.6">
      <c r="E130" s="1"/>
      <c r="F130" s="1"/>
      <c r="G130" s="1"/>
      <c r="H130" s="1"/>
      <c r="I130" s="1"/>
      <c r="J130" s="1"/>
      <c r="K130" s="1"/>
      <c r="P130" s="414"/>
      <c r="Q130" s="414"/>
      <c r="R130" s="414"/>
      <c r="S130" s="414"/>
      <c r="T130" s="414"/>
      <c r="U130" s="414"/>
    </row>
    <row r="131" spans="5:21" ht="15.6">
      <c r="E131" s="1"/>
      <c r="F131" s="1"/>
      <c r="G131" s="1"/>
      <c r="H131" s="1"/>
      <c r="I131" s="1"/>
      <c r="J131" s="1"/>
      <c r="K131" s="1"/>
      <c r="P131" s="414"/>
      <c r="Q131" s="414"/>
      <c r="R131" s="414"/>
      <c r="S131" s="414"/>
      <c r="T131" s="414"/>
      <c r="U131" s="414"/>
    </row>
    <row r="132" spans="5:21" ht="15.6">
      <c r="E132" s="1"/>
      <c r="F132" s="1"/>
      <c r="G132" s="1"/>
      <c r="H132" s="1"/>
      <c r="I132" s="1"/>
      <c r="J132" s="1"/>
      <c r="K132" s="1"/>
      <c r="P132" s="414"/>
      <c r="Q132" s="414"/>
      <c r="R132" s="414"/>
      <c r="S132" s="414"/>
      <c r="T132" s="414"/>
      <c r="U132" s="414"/>
    </row>
    <row r="133" spans="5:21" ht="15.6">
      <c r="E133" s="1"/>
      <c r="F133" s="1"/>
      <c r="G133" s="1"/>
      <c r="H133" s="1"/>
      <c r="I133" s="1"/>
      <c r="J133" s="1"/>
      <c r="K133" s="1"/>
      <c r="P133" s="414"/>
      <c r="Q133" s="414"/>
      <c r="R133" s="414"/>
      <c r="S133" s="414"/>
      <c r="T133" s="414"/>
      <c r="U133" s="414"/>
    </row>
    <row r="134" spans="5:21" ht="15.6">
      <c r="E134" s="1"/>
      <c r="F134" s="1"/>
      <c r="G134" s="1"/>
      <c r="H134" s="1"/>
      <c r="I134" s="1"/>
      <c r="J134" s="1"/>
      <c r="K134" s="1"/>
      <c r="P134" s="414"/>
      <c r="Q134" s="414"/>
      <c r="R134" s="414"/>
      <c r="S134" s="414"/>
      <c r="T134" s="414"/>
      <c r="U134" s="414"/>
    </row>
    <row r="135" spans="5:21" ht="15.6">
      <c r="E135" s="1"/>
      <c r="F135" s="1"/>
      <c r="G135" s="1"/>
      <c r="H135" s="1"/>
      <c r="I135" s="1"/>
      <c r="J135" s="1"/>
      <c r="K135" s="1"/>
      <c r="P135" s="414"/>
      <c r="Q135" s="414"/>
      <c r="R135" s="414"/>
      <c r="S135" s="414"/>
      <c r="T135" s="414"/>
      <c r="U135" s="414"/>
    </row>
    <row r="136" spans="5:21" ht="15.6">
      <c r="E136" s="1"/>
      <c r="F136" s="1"/>
      <c r="G136" s="1"/>
      <c r="H136" s="1"/>
      <c r="I136" s="1"/>
      <c r="J136" s="1"/>
      <c r="K136" s="1"/>
      <c r="P136" s="414"/>
      <c r="Q136" s="414"/>
      <c r="R136" s="414"/>
      <c r="S136" s="414"/>
      <c r="T136" s="414"/>
      <c r="U136" s="414"/>
    </row>
    <row r="137" spans="5:21" ht="15.6">
      <c r="E137" s="1"/>
      <c r="F137" s="1"/>
      <c r="G137" s="1"/>
      <c r="H137" s="1"/>
      <c r="I137" s="1"/>
      <c r="J137" s="1"/>
      <c r="K137" s="1"/>
      <c r="P137" s="414"/>
      <c r="Q137" s="414"/>
      <c r="R137" s="414"/>
      <c r="S137" s="414"/>
      <c r="T137" s="414"/>
      <c r="U137" s="414"/>
    </row>
    <row r="138" spans="5:21" ht="15.6">
      <c r="E138" s="1"/>
      <c r="F138" s="1"/>
      <c r="G138" s="1"/>
      <c r="H138" s="1"/>
      <c r="I138" s="1"/>
      <c r="J138" s="1"/>
      <c r="K138" s="1"/>
      <c r="P138" s="414"/>
      <c r="Q138" s="414"/>
      <c r="R138" s="414"/>
      <c r="S138" s="414"/>
      <c r="T138" s="414"/>
      <c r="U138" s="414"/>
    </row>
    <row r="139" spans="5:21" ht="15.6">
      <c r="E139" s="1"/>
      <c r="F139" s="1"/>
      <c r="G139" s="1"/>
      <c r="H139" s="1"/>
      <c r="I139" s="1"/>
      <c r="J139" s="1"/>
      <c r="K139" s="1"/>
      <c r="P139" s="414"/>
      <c r="Q139" s="414"/>
      <c r="R139" s="414"/>
      <c r="S139" s="414"/>
      <c r="T139" s="414"/>
      <c r="U139" s="414"/>
    </row>
    <row r="140" spans="5:21" ht="15.6">
      <c r="E140" s="1"/>
      <c r="F140" s="1"/>
      <c r="G140" s="1"/>
      <c r="H140" s="1"/>
      <c r="I140" s="1"/>
      <c r="J140" s="1"/>
      <c r="K140" s="1"/>
      <c r="P140" s="414"/>
      <c r="Q140" s="414"/>
      <c r="R140" s="414"/>
      <c r="S140" s="414"/>
      <c r="T140" s="414"/>
      <c r="U140" s="414"/>
    </row>
    <row r="141" spans="5:21" ht="15.6">
      <c r="E141" s="1"/>
      <c r="F141" s="1"/>
      <c r="G141" s="1"/>
      <c r="H141" s="1"/>
      <c r="I141" s="1"/>
      <c r="J141" s="1"/>
      <c r="K141" s="1"/>
      <c r="P141" s="414"/>
      <c r="Q141" s="414"/>
      <c r="R141" s="414"/>
      <c r="S141" s="414"/>
      <c r="T141" s="414"/>
      <c r="U141" s="414"/>
    </row>
    <row r="142" spans="5:21" ht="15.6">
      <c r="E142" s="1"/>
      <c r="F142" s="1"/>
      <c r="G142" s="1"/>
      <c r="H142" s="1"/>
      <c r="I142" s="1"/>
      <c r="J142" s="1"/>
      <c r="K142" s="1"/>
      <c r="P142" s="414"/>
      <c r="Q142" s="414"/>
      <c r="R142" s="414"/>
      <c r="S142" s="414"/>
      <c r="T142" s="414"/>
      <c r="U142" s="414"/>
    </row>
    <row r="143" spans="5:21" ht="15.6">
      <c r="E143" s="1"/>
      <c r="F143" s="1"/>
      <c r="G143" s="1"/>
      <c r="H143" s="1"/>
      <c r="I143" s="1"/>
      <c r="J143" s="1"/>
      <c r="K143" s="1"/>
      <c r="P143" s="414"/>
      <c r="Q143" s="414"/>
      <c r="R143" s="414"/>
      <c r="S143" s="414"/>
      <c r="T143" s="414"/>
      <c r="U143" s="414"/>
    </row>
    <row r="144" spans="5:21" ht="15.6">
      <c r="E144" s="1"/>
      <c r="F144" s="1"/>
      <c r="G144" s="1"/>
      <c r="H144" s="1"/>
      <c r="I144" s="1"/>
      <c r="J144" s="1"/>
      <c r="K144" s="1"/>
      <c r="P144" s="414"/>
      <c r="Q144" s="414"/>
      <c r="R144" s="414"/>
      <c r="S144" s="414"/>
      <c r="T144" s="414"/>
      <c r="U144" s="414"/>
    </row>
    <row r="145" spans="5:21" ht="15.6">
      <c r="E145" s="1"/>
      <c r="F145" s="1"/>
      <c r="G145" s="1"/>
      <c r="H145" s="1"/>
      <c r="I145" s="1"/>
      <c r="J145" s="1"/>
      <c r="K145" s="1"/>
      <c r="P145" s="414"/>
      <c r="Q145" s="414"/>
      <c r="R145" s="414"/>
      <c r="S145" s="414"/>
      <c r="T145" s="414"/>
      <c r="U145" s="414"/>
    </row>
    <row r="146" spans="5:21" ht="15.6">
      <c r="E146" s="1"/>
      <c r="F146" s="1"/>
      <c r="G146" s="1"/>
      <c r="H146" s="1"/>
      <c r="I146" s="1"/>
      <c r="J146" s="1"/>
      <c r="K146" s="1"/>
      <c r="P146" s="414"/>
      <c r="Q146" s="414"/>
      <c r="R146" s="414"/>
      <c r="S146" s="414"/>
      <c r="T146" s="414"/>
      <c r="U146" s="414"/>
    </row>
    <row r="147" spans="5:21" ht="15.6">
      <c r="E147" s="1"/>
      <c r="F147" s="1"/>
      <c r="G147" s="1"/>
      <c r="H147" s="1"/>
      <c r="I147" s="1"/>
      <c r="J147" s="1"/>
      <c r="K147" s="1"/>
      <c r="P147" s="414"/>
      <c r="Q147" s="414"/>
      <c r="R147" s="414"/>
      <c r="S147" s="414"/>
      <c r="T147" s="414"/>
      <c r="U147" s="414"/>
    </row>
    <row r="148" spans="5:21" ht="15.6">
      <c r="E148" s="1"/>
      <c r="F148" s="1"/>
      <c r="G148" s="1"/>
      <c r="H148" s="1"/>
      <c r="I148" s="1"/>
      <c r="J148" s="1"/>
      <c r="K148" s="1"/>
      <c r="P148" s="414"/>
      <c r="Q148" s="414"/>
      <c r="R148" s="414"/>
      <c r="S148" s="414"/>
      <c r="T148" s="414"/>
      <c r="U148" s="414"/>
    </row>
    <row r="149" spans="5:21" ht="15.6">
      <c r="E149" s="1"/>
      <c r="F149" s="1"/>
      <c r="G149" s="1"/>
      <c r="H149" s="1"/>
      <c r="I149" s="1"/>
      <c r="J149" s="1"/>
      <c r="K149" s="1"/>
      <c r="P149" s="414"/>
      <c r="Q149" s="414"/>
      <c r="R149" s="414"/>
      <c r="S149" s="414"/>
      <c r="T149" s="414"/>
      <c r="U149" s="414"/>
    </row>
    <row r="150" spans="5:21" ht="15.6">
      <c r="E150" s="1"/>
      <c r="F150" s="1"/>
      <c r="G150" s="1"/>
      <c r="H150" s="1"/>
      <c r="I150" s="1"/>
      <c r="J150" s="1"/>
      <c r="K150" s="1"/>
      <c r="P150" s="414"/>
      <c r="Q150" s="414"/>
      <c r="R150" s="414"/>
      <c r="S150" s="414"/>
      <c r="T150" s="414"/>
      <c r="U150" s="414"/>
    </row>
    <row r="151" spans="5:21" ht="15.6">
      <c r="E151" s="1"/>
      <c r="F151" s="1"/>
      <c r="G151" s="1"/>
      <c r="H151" s="1"/>
      <c r="I151" s="1"/>
      <c r="J151" s="1"/>
      <c r="K151" s="1"/>
      <c r="P151" s="414"/>
      <c r="Q151" s="414"/>
      <c r="R151" s="414"/>
      <c r="S151" s="414"/>
      <c r="T151" s="414"/>
      <c r="U151" s="414"/>
    </row>
    <row r="152" spans="5:21" ht="15.6">
      <c r="E152" s="1"/>
      <c r="F152" s="1"/>
      <c r="G152" s="1"/>
      <c r="H152" s="1"/>
      <c r="I152" s="1"/>
      <c r="J152" s="1"/>
      <c r="K152" s="1"/>
      <c r="P152" s="414"/>
      <c r="Q152" s="414"/>
      <c r="R152" s="414"/>
      <c r="S152" s="414"/>
      <c r="T152" s="414"/>
      <c r="U152" s="414"/>
    </row>
    <row r="153" spans="5:21" ht="15.6">
      <c r="E153" s="1"/>
      <c r="F153" s="1"/>
      <c r="G153" s="1"/>
      <c r="H153" s="1"/>
      <c r="I153" s="1"/>
      <c r="J153" s="1"/>
      <c r="K153" s="1"/>
      <c r="P153" s="414"/>
      <c r="Q153" s="414"/>
      <c r="R153" s="414"/>
      <c r="S153" s="414"/>
      <c r="T153" s="414"/>
      <c r="U153" s="414"/>
    </row>
    <row r="154" spans="5:21" ht="15.6">
      <c r="E154" s="1"/>
      <c r="F154" s="1"/>
      <c r="G154" s="1"/>
      <c r="H154" s="1"/>
      <c r="I154" s="1"/>
      <c r="J154" s="1"/>
      <c r="K154" s="1"/>
      <c r="P154" s="414"/>
      <c r="Q154" s="414"/>
      <c r="R154" s="414"/>
      <c r="S154" s="414"/>
      <c r="T154" s="414"/>
      <c r="U154" s="414"/>
    </row>
    <row r="155" spans="5:21" ht="15.6">
      <c r="E155" s="1"/>
      <c r="F155" s="1"/>
      <c r="G155" s="1"/>
      <c r="H155" s="1"/>
      <c r="I155" s="1"/>
      <c r="J155" s="1"/>
      <c r="K155" s="1"/>
      <c r="P155" s="414"/>
      <c r="Q155" s="414"/>
      <c r="R155" s="414"/>
      <c r="S155" s="414"/>
      <c r="T155" s="414"/>
      <c r="U155" s="414"/>
    </row>
    <row r="156" spans="5:21" ht="15.6">
      <c r="E156" s="1"/>
      <c r="F156" s="1"/>
      <c r="G156" s="1"/>
      <c r="H156" s="1"/>
      <c r="I156" s="1"/>
      <c r="J156" s="1"/>
      <c r="K156" s="1"/>
      <c r="P156" s="414"/>
      <c r="Q156" s="414"/>
      <c r="R156" s="414"/>
      <c r="S156" s="414"/>
      <c r="T156" s="414"/>
      <c r="U156" s="414"/>
    </row>
    <row r="157" spans="5:21" ht="15.6">
      <c r="E157" s="1"/>
      <c r="F157" s="1"/>
      <c r="G157" s="1"/>
      <c r="H157" s="1"/>
      <c r="I157" s="1"/>
      <c r="J157" s="1"/>
      <c r="K157" s="1"/>
      <c r="P157" s="414"/>
      <c r="Q157" s="414"/>
      <c r="R157" s="414"/>
      <c r="S157" s="414"/>
      <c r="T157" s="414"/>
      <c r="U157" s="414"/>
    </row>
    <row r="158" spans="5:21" ht="15.6">
      <c r="E158" s="1"/>
      <c r="F158" s="1"/>
      <c r="G158" s="1"/>
      <c r="H158" s="1"/>
      <c r="I158" s="1"/>
      <c r="J158" s="1"/>
      <c r="K158" s="1"/>
      <c r="P158" s="414"/>
      <c r="Q158" s="414"/>
      <c r="R158" s="414"/>
      <c r="S158" s="414"/>
      <c r="T158" s="414"/>
      <c r="U158" s="414"/>
    </row>
    <row r="159" spans="5:21" ht="15.6">
      <c r="E159" s="1"/>
      <c r="F159" s="1"/>
      <c r="G159" s="1"/>
      <c r="H159" s="1"/>
      <c r="I159" s="1"/>
      <c r="J159" s="1"/>
      <c r="K159" s="1"/>
      <c r="P159" s="414"/>
      <c r="Q159" s="414"/>
      <c r="R159" s="414"/>
      <c r="S159" s="414"/>
      <c r="T159" s="414"/>
      <c r="U159" s="414"/>
    </row>
    <row r="160" spans="5:21" ht="15.6">
      <c r="E160" s="1"/>
      <c r="F160" s="1"/>
      <c r="G160" s="1"/>
      <c r="H160" s="1"/>
      <c r="I160" s="1"/>
      <c r="J160" s="1"/>
      <c r="K160" s="1"/>
      <c r="P160" s="414"/>
      <c r="Q160" s="414"/>
      <c r="R160" s="414"/>
      <c r="S160" s="414"/>
      <c r="T160" s="414"/>
      <c r="U160" s="414"/>
    </row>
    <row r="161" spans="5:21" ht="15.6">
      <c r="E161" s="1"/>
      <c r="F161" s="1"/>
      <c r="G161" s="1"/>
      <c r="H161" s="1"/>
      <c r="I161" s="1"/>
      <c r="J161" s="1"/>
      <c r="K161" s="1"/>
      <c r="P161" s="414"/>
      <c r="Q161" s="414"/>
      <c r="R161" s="414"/>
      <c r="S161" s="414"/>
      <c r="T161" s="414"/>
      <c r="U161" s="414"/>
    </row>
    <row r="162" spans="5:21" ht="15.6">
      <c r="E162" s="1"/>
      <c r="F162" s="1"/>
      <c r="G162" s="1"/>
      <c r="H162" s="1"/>
      <c r="I162" s="1"/>
      <c r="J162" s="1"/>
      <c r="K162" s="1"/>
      <c r="P162" s="414"/>
      <c r="Q162" s="414"/>
      <c r="R162" s="414"/>
      <c r="S162" s="414"/>
      <c r="T162" s="414"/>
      <c r="U162" s="414"/>
    </row>
    <row r="163" spans="5:21" ht="15.6">
      <c r="E163" s="1"/>
      <c r="F163" s="1"/>
      <c r="G163" s="1"/>
      <c r="H163" s="1"/>
      <c r="I163" s="1"/>
      <c r="J163" s="1"/>
      <c r="K163" s="1"/>
      <c r="P163" s="414"/>
      <c r="Q163" s="414"/>
      <c r="R163" s="414"/>
      <c r="S163" s="414"/>
      <c r="T163" s="414"/>
      <c r="U163" s="414"/>
    </row>
    <row r="164" spans="5:21" ht="15.6">
      <c r="E164" s="1"/>
      <c r="F164" s="1"/>
      <c r="G164" s="1"/>
      <c r="H164" s="1"/>
      <c r="I164" s="1"/>
      <c r="J164" s="1"/>
      <c r="K164" s="1"/>
      <c r="P164" s="414"/>
      <c r="Q164" s="414"/>
      <c r="R164" s="414"/>
      <c r="S164" s="414"/>
      <c r="T164" s="414"/>
      <c r="U164" s="414"/>
    </row>
    <row r="165" spans="5:21" ht="15.6">
      <c r="E165" s="1"/>
      <c r="F165" s="1"/>
      <c r="G165" s="1"/>
      <c r="H165" s="1"/>
      <c r="I165" s="1"/>
      <c r="J165" s="1"/>
      <c r="K165" s="1"/>
      <c r="P165" s="414"/>
      <c r="Q165" s="414"/>
      <c r="R165" s="414"/>
      <c r="S165" s="414"/>
      <c r="T165" s="414"/>
      <c r="U165" s="414"/>
    </row>
    <row r="166" spans="5:21" ht="15.6">
      <c r="E166" s="1"/>
      <c r="F166" s="1"/>
      <c r="G166" s="1"/>
      <c r="H166" s="1"/>
      <c r="I166" s="1"/>
      <c r="J166" s="1"/>
      <c r="K166" s="1"/>
      <c r="P166" s="414"/>
      <c r="Q166" s="414"/>
      <c r="R166" s="414"/>
      <c r="S166" s="414"/>
      <c r="T166" s="414"/>
      <c r="U166" s="414"/>
    </row>
    <row r="167" spans="5:21" ht="15.6">
      <c r="E167" s="1"/>
      <c r="F167" s="1"/>
      <c r="G167" s="1"/>
      <c r="H167" s="1"/>
      <c r="I167" s="1"/>
      <c r="J167" s="1"/>
      <c r="K167" s="1"/>
      <c r="P167" s="414"/>
      <c r="Q167" s="414"/>
      <c r="R167" s="414"/>
      <c r="S167" s="414"/>
      <c r="T167" s="414"/>
      <c r="U167" s="414"/>
    </row>
    <row r="168" spans="5:21" ht="15.6">
      <c r="E168" s="1"/>
      <c r="F168" s="1"/>
      <c r="G168" s="1"/>
      <c r="H168" s="1"/>
      <c r="I168" s="1"/>
      <c r="J168" s="1"/>
      <c r="K168" s="1"/>
      <c r="P168" s="414"/>
      <c r="Q168" s="414"/>
      <c r="R168" s="414"/>
      <c r="S168" s="414"/>
      <c r="T168" s="414"/>
      <c r="U168" s="414"/>
    </row>
    <row r="169" spans="5:21" ht="15.6">
      <c r="E169" s="1"/>
      <c r="F169" s="1"/>
      <c r="G169" s="1"/>
      <c r="H169" s="1"/>
      <c r="I169" s="1"/>
      <c r="J169" s="1"/>
      <c r="K169" s="1"/>
      <c r="P169" s="414"/>
      <c r="Q169" s="414"/>
      <c r="R169" s="414"/>
      <c r="S169" s="414"/>
      <c r="T169" s="414"/>
      <c r="U169" s="414"/>
    </row>
    <row r="170" spans="5:21" ht="15.6">
      <c r="E170" s="1"/>
      <c r="F170" s="1"/>
      <c r="G170" s="1"/>
      <c r="H170" s="1"/>
      <c r="I170" s="1"/>
      <c r="J170" s="1"/>
      <c r="K170" s="1"/>
      <c r="P170" s="414"/>
      <c r="Q170" s="414"/>
      <c r="R170" s="414"/>
      <c r="S170" s="414"/>
      <c r="T170" s="414"/>
      <c r="U170" s="414"/>
    </row>
    <row r="171" spans="5:21" ht="15.6">
      <c r="E171" s="1"/>
      <c r="F171" s="1"/>
      <c r="G171" s="1"/>
      <c r="H171" s="1"/>
      <c r="I171" s="1"/>
      <c r="J171" s="1"/>
      <c r="K171" s="1"/>
      <c r="P171" s="414"/>
      <c r="Q171" s="414"/>
      <c r="R171" s="414"/>
      <c r="S171" s="414"/>
      <c r="T171" s="414"/>
      <c r="U171" s="414"/>
    </row>
    <row r="172" spans="5:21" ht="15.6">
      <c r="E172" s="1"/>
      <c r="F172" s="1"/>
      <c r="G172" s="1"/>
      <c r="H172" s="1"/>
      <c r="I172" s="1"/>
      <c r="J172" s="1"/>
      <c r="K172" s="1"/>
      <c r="P172" s="414"/>
      <c r="Q172" s="414"/>
      <c r="R172" s="414"/>
      <c r="S172" s="414"/>
      <c r="T172" s="414"/>
      <c r="U172" s="414"/>
    </row>
    <row r="173" spans="5:21" ht="15.6">
      <c r="E173" s="1"/>
      <c r="F173" s="1"/>
      <c r="G173" s="1"/>
      <c r="H173" s="1"/>
      <c r="I173" s="1"/>
      <c r="J173" s="1"/>
      <c r="K173" s="1"/>
      <c r="P173" s="414"/>
      <c r="Q173" s="414"/>
      <c r="R173" s="414"/>
      <c r="S173" s="414"/>
      <c r="T173" s="414"/>
      <c r="U173" s="414"/>
    </row>
    <row r="174" spans="5:21" ht="15.6">
      <c r="E174" s="1"/>
      <c r="F174" s="1"/>
      <c r="G174" s="1"/>
      <c r="H174" s="1"/>
      <c r="I174" s="1"/>
      <c r="J174" s="1"/>
      <c r="K174" s="1"/>
      <c r="P174" s="414"/>
      <c r="Q174" s="414"/>
      <c r="R174" s="414"/>
      <c r="S174" s="414"/>
      <c r="T174" s="414"/>
      <c r="U174" s="414"/>
    </row>
    <row r="175" spans="5:21" ht="15.6">
      <c r="E175" s="1"/>
      <c r="F175" s="1"/>
      <c r="G175" s="1"/>
      <c r="H175" s="1"/>
      <c r="I175" s="1"/>
      <c r="J175" s="1"/>
      <c r="K175" s="1"/>
      <c r="P175" s="414"/>
      <c r="Q175" s="414"/>
      <c r="R175" s="414"/>
      <c r="S175" s="414"/>
      <c r="T175" s="414"/>
      <c r="U175" s="414"/>
    </row>
    <row r="176" spans="5:21" ht="15.6">
      <c r="E176" s="1"/>
      <c r="F176" s="1"/>
      <c r="G176" s="1"/>
      <c r="H176" s="1"/>
      <c r="I176" s="1"/>
      <c r="J176" s="1"/>
      <c r="K176" s="1"/>
      <c r="P176" s="414"/>
      <c r="Q176" s="414"/>
      <c r="R176" s="414"/>
      <c r="S176" s="414"/>
      <c r="T176" s="414"/>
      <c r="U176" s="414"/>
    </row>
    <row r="177" spans="5:21" ht="15.6">
      <c r="E177" s="1"/>
      <c r="F177" s="1"/>
      <c r="G177" s="1"/>
      <c r="H177" s="1"/>
      <c r="I177" s="1"/>
      <c r="J177" s="1"/>
      <c r="K177" s="1"/>
      <c r="P177" s="414"/>
      <c r="Q177" s="414"/>
      <c r="R177" s="414"/>
      <c r="S177" s="414"/>
      <c r="T177" s="414"/>
      <c r="U177" s="414"/>
    </row>
    <row r="178" spans="5:21" ht="15.6">
      <c r="E178" s="1"/>
      <c r="F178" s="1"/>
      <c r="G178" s="1"/>
      <c r="H178" s="1"/>
      <c r="I178" s="1"/>
      <c r="J178" s="1"/>
      <c r="K178" s="1"/>
      <c r="P178" s="414"/>
      <c r="Q178" s="414"/>
      <c r="R178" s="414"/>
      <c r="S178" s="414"/>
      <c r="T178" s="414"/>
      <c r="U178" s="414"/>
    </row>
    <row r="179" spans="5:21" ht="15.6">
      <c r="E179" s="1"/>
      <c r="F179" s="1"/>
      <c r="G179" s="1"/>
      <c r="H179" s="1"/>
      <c r="I179" s="1"/>
      <c r="J179" s="1"/>
      <c r="K179" s="1"/>
      <c r="P179" s="414"/>
      <c r="Q179" s="414"/>
      <c r="R179" s="414"/>
      <c r="S179" s="414"/>
      <c r="T179" s="414"/>
      <c r="U179" s="414"/>
    </row>
    <row r="180" spans="5:21" ht="15.6">
      <c r="E180" s="1"/>
      <c r="F180" s="1"/>
      <c r="G180" s="1"/>
      <c r="H180" s="1"/>
      <c r="I180" s="1"/>
      <c r="J180" s="1"/>
      <c r="K180" s="1"/>
      <c r="P180" s="414"/>
      <c r="Q180" s="414"/>
      <c r="R180" s="414"/>
      <c r="S180" s="414"/>
      <c r="T180" s="414"/>
      <c r="U180" s="414"/>
    </row>
    <row r="181" spans="5:21" ht="15.6">
      <c r="E181" s="1"/>
      <c r="F181" s="1"/>
      <c r="G181" s="1"/>
      <c r="H181" s="1"/>
      <c r="I181" s="1"/>
      <c r="J181" s="1"/>
      <c r="K181" s="1"/>
      <c r="P181" s="414"/>
      <c r="Q181" s="414"/>
      <c r="R181" s="414"/>
      <c r="S181" s="414"/>
      <c r="T181" s="414"/>
      <c r="U181" s="414"/>
    </row>
    <row r="182" spans="5:21" ht="15.6">
      <c r="E182" s="1"/>
      <c r="F182" s="1"/>
      <c r="G182" s="1"/>
      <c r="H182" s="1"/>
      <c r="I182" s="1"/>
      <c r="J182" s="1"/>
      <c r="K182" s="1"/>
      <c r="P182" s="414"/>
      <c r="Q182" s="414"/>
      <c r="R182" s="414"/>
      <c r="S182" s="414"/>
      <c r="T182" s="414"/>
      <c r="U182" s="414"/>
    </row>
    <row r="183" spans="5:21" ht="15.6">
      <c r="E183" s="1"/>
      <c r="F183" s="1"/>
      <c r="G183" s="1"/>
      <c r="H183" s="1"/>
      <c r="I183" s="1"/>
      <c r="J183" s="1"/>
      <c r="K183" s="1"/>
      <c r="P183" s="414"/>
      <c r="Q183" s="414"/>
      <c r="R183" s="414"/>
      <c r="S183" s="414"/>
      <c r="T183" s="414"/>
      <c r="U183" s="414"/>
    </row>
    <row r="184" spans="5:21" ht="15.6">
      <c r="E184" s="1"/>
      <c r="F184" s="1"/>
      <c r="G184" s="1"/>
      <c r="H184" s="1"/>
      <c r="I184" s="1"/>
      <c r="J184" s="1"/>
      <c r="K184" s="1"/>
      <c r="P184" s="414"/>
      <c r="Q184" s="414"/>
      <c r="R184" s="414"/>
      <c r="S184" s="414"/>
      <c r="T184" s="414"/>
      <c r="U184" s="414"/>
    </row>
    <row r="185" spans="5:21" ht="15.6">
      <c r="E185" s="1"/>
      <c r="F185" s="1"/>
      <c r="G185" s="1"/>
      <c r="H185" s="1"/>
      <c r="I185" s="1"/>
      <c r="J185" s="1"/>
      <c r="K185" s="1"/>
      <c r="P185" s="414"/>
      <c r="Q185" s="414"/>
      <c r="R185" s="414"/>
      <c r="S185" s="414"/>
      <c r="T185" s="414"/>
      <c r="U185" s="414"/>
    </row>
    <row r="186" spans="5:21" ht="15.6">
      <c r="E186" s="1"/>
      <c r="F186" s="1"/>
      <c r="G186" s="1"/>
      <c r="H186" s="1"/>
      <c r="I186" s="1"/>
      <c r="J186" s="1"/>
      <c r="K186" s="1"/>
      <c r="P186" s="414"/>
      <c r="Q186" s="414"/>
      <c r="R186" s="414"/>
      <c r="S186" s="414"/>
      <c r="T186" s="414"/>
      <c r="U186" s="414"/>
    </row>
    <row r="187" spans="5:21" ht="15.6">
      <c r="E187" s="1"/>
      <c r="F187" s="1"/>
      <c r="G187" s="1"/>
      <c r="H187" s="1"/>
      <c r="I187" s="1"/>
      <c r="J187" s="1"/>
      <c r="K187" s="1"/>
      <c r="P187" s="414"/>
      <c r="Q187" s="414"/>
      <c r="R187" s="414"/>
      <c r="S187" s="414"/>
      <c r="T187" s="414"/>
      <c r="U187" s="414"/>
    </row>
    <row r="188" spans="5:21" ht="15.6">
      <c r="E188" s="1"/>
      <c r="F188" s="1"/>
      <c r="G188" s="1"/>
      <c r="H188" s="1"/>
      <c r="I188" s="1"/>
      <c r="J188" s="1"/>
      <c r="K188" s="1"/>
      <c r="P188" s="414"/>
      <c r="Q188" s="414"/>
      <c r="R188" s="414"/>
      <c r="S188" s="414"/>
      <c r="T188" s="414"/>
      <c r="U188" s="414"/>
    </row>
    <row r="189" spans="5:21" ht="15.6">
      <c r="E189" s="1"/>
      <c r="F189" s="1"/>
      <c r="G189" s="1"/>
      <c r="H189" s="1"/>
      <c r="I189" s="1"/>
      <c r="J189" s="1"/>
      <c r="K189" s="1"/>
      <c r="P189" s="414"/>
      <c r="Q189" s="414"/>
      <c r="R189" s="414"/>
      <c r="S189" s="414"/>
      <c r="T189" s="414"/>
      <c r="U189" s="414"/>
    </row>
    <row r="190" spans="5:21" ht="15.6">
      <c r="E190" s="1"/>
      <c r="F190" s="1"/>
      <c r="G190" s="1"/>
      <c r="H190" s="1"/>
      <c r="I190" s="1"/>
      <c r="J190" s="1"/>
      <c r="K190" s="1"/>
      <c r="P190" s="414"/>
      <c r="Q190" s="414"/>
      <c r="R190" s="414"/>
      <c r="S190" s="414"/>
      <c r="T190" s="414"/>
      <c r="U190" s="414"/>
    </row>
    <row r="191" spans="5:21" ht="15.6">
      <c r="E191" s="1"/>
      <c r="F191" s="1"/>
      <c r="G191" s="1"/>
      <c r="H191" s="1"/>
      <c r="I191" s="1"/>
      <c r="J191" s="1"/>
      <c r="K191" s="1"/>
      <c r="P191" s="414"/>
      <c r="Q191" s="414"/>
      <c r="R191" s="414"/>
      <c r="S191" s="414"/>
      <c r="T191" s="414"/>
      <c r="U191" s="414"/>
    </row>
    <row r="192" spans="5:21" ht="15.6">
      <c r="E192" s="1"/>
      <c r="F192" s="1"/>
      <c r="G192" s="1"/>
      <c r="H192" s="1"/>
      <c r="I192" s="1"/>
      <c r="J192" s="1"/>
      <c r="K192" s="1"/>
      <c r="P192" s="414"/>
      <c r="Q192" s="414"/>
      <c r="R192" s="414"/>
      <c r="S192" s="414"/>
      <c r="T192" s="414"/>
      <c r="U192" s="414"/>
    </row>
    <row r="193" spans="5:21" ht="15.6">
      <c r="E193" s="1"/>
      <c r="F193" s="1"/>
      <c r="G193" s="1"/>
      <c r="H193" s="1"/>
      <c r="I193" s="1"/>
      <c r="J193" s="1"/>
      <c r="K193" s="1"/>
      <c r="P193" s="414"/>
      <c r="Q193" s="414"/>
      <c r="R193" s="414"/>
      <c r="S193" s="414"/>
      <c r="T193" s="414"/>
      <c r="U193" s="414"/>
    </row>
    <row r="194" spans="5:21" ht="15.6">
      <c r="E194" s="1"/>
      <c r="F194" s="1"/>
      <c r="G194" s="1"/>
      <c r="H194" s="1"/>
      <c r="I194" s="1"/>
      <c r="J194" s="1"/>
      <c r="K194" s="1"/>
      <c r="P194" s="414"/>
      <c r="Q194" s="414"/>
      <c r="R194" s="414"/>
      <c r="S194" s="414"/>
      <c r="T194" s="414"/>
      <c r="U194" s="414"/>
    </row>
    <row r="195" spans="5:21" ht="15.6">
      <c r="E195" s="1"/>
      <c r="F195" s="1"/>
      <c r="G195" s="1"/>
      <c r="H195" s="1"/>
      <c r="I195" s="1"/>
      <c r="J195" s="1"/>
      <c r="K195" s="1"/>
      <c r="P195" s="414"/>
      <c r="Q195" s="414"/>
      <c r="R195" s="414"/>
      <c r="S195" s="414"/>
      <c r="T195" s="414"/>
      <c r="U195" s="414"/>
    </row>
    <row r="196" spans="5:21" ht="15.6">
      <c r="E196" s="1"/>
      <c r="F196" s="1"/>
      <c r="G196" s="1"/>
      <c r="H196" s="1"/>
      <c r="I196" s="1"/>
      <c r="J196" s="1"/>
      <c r="K196" s="1"/>
      <c r="P196" s="414"/>
      <c r="Q196" s="414"/>
      <c r="R196" s="414"/>
      <c r="S196" s="414"/>
      <c r="T196" s="414"/>
      <c r="U196" s="414"/>
    </row>
    <row r="197" spans="5:21" ht="15.6">
      <c r="E197" s="1"/>
      <c r="F197" s="1"/>
      <c r="G197" s="1"/>
      <c r="H197" s="1"/>
      <c r="I197" s="1"/>
      <c r="J197" s="1"/>
      <c r="K197" s="1"/>
      <c r="P197" s="414"/>
      <c r="Q197" s="414"/>
      <c r="R197" s="414"/>
      <c r="S197" s="414"/>
      <c r="T197" s="414"/>
      <c r="U197" s="414"/>
    </row>
    <row r="198" spans="5:21" ht="15.6">
      <c r="E198" s="1"/>
      <c r="F198" s="1"/>
      <c r="G198" s="1"/>
      <c r="H198" s="1"/>
      <c r="I198" s="1"/>
      <c r="J198" s="1"/>
      <c r="K198" s="1"/>
      <c r="P198" s="414"/>
      <c r="Q198" s="414"/>
      <c r="R198" s="414"/>
      <c r="S198" s="414"/>
      <c r="T198" s="414"/>
      <c r="U198" s="414"/>
    </row>
    <row r="199" spans="5:21" ht="15.6">
      <c r="E199" s="1"/>
      <c r="F199" s="1"/>
      <c r="G199" s="1"/>
      <c r="H199" s="1"/>
      <c r="I199" s="1"/>
      <c r="J199" s="1"/>
      <c r="K199" s="1"/>
      <c r="P199" s="414"/>
      <c r="Q199" s="414"/>
      <c r="R199" s="414"/>
      <c r="S199" s="414"/>
      <c r="T199" s="414"/>
      <c r="U199" s="414"/>
    </row>
    <row r="200" spans="5:21" ht="15.6">
      <c r="E200" s="1"/>
      <c r="F200" s="1"/>
      <c r="G200" s="1"/>
      <c r="H200" s="1"/>
      <c r="I200" s="1"/>
      <c r="J200" s="1"/>
      <c r="K200" s="1"/>
      <c r="P200" s="414"/>
      <c r="Q200" s="414"/>
      <c r="R200" s="414"/>
      <c r="S200" s="414"/>
      <c r="T200" s="414"/>
      <c r="U200" s="414"/>
    </row>
    <row r="201" spans="5:21" ht="15.6">
      <c r="E201" s="1"/>
      <c r="F201" s="1"/>
      <c r="G201" s="1"/>
      <c r="H201" s="1"/>
      <c r="I201" s="1"/>
      <c r="J201" s="1"/>
      <c r="K201" s="1"/>
      <c r="P201" s="414"/>
      <c r="Q201" s="414"/>
      <c r="R201" s="414"/>
      <c r="S201" s="414"/>
      <c r="T201" s="414"/>
      <c r="U201" s="414"/>
    </row>
    <row r="202" spans="5:21" ht="15.6">
      <c r="E202" s="1"/>
      <c r="F202" s="1"/>
      <c r="G202" s="1"/>
      <c r="H202" s="1"/>
      <c r="I202" s="1"/>
      <c r="J202" s="1"/>
      <c r="K202" s="1"/>
      <c r="P202" s="414"/>
      <c r="Q202" s="414"/>
      <c r="R202" s="414"/>
      <c r="S202" s="414"/>
      <c r="T202" s="414"/>
      <c r="U202" s="414"/>
    </row>
    <row r="203" spans="5:21" ht="15.6">
      <c r="E203" s="1"/>
      <c r="F203" s="1"/>
      <c r="G203" s="1"/>
      <c r="H203" s="1"/>
      <c r="I203" s="1"/>
      <c r="J203" s="1"/>
      <c r="K203" s="1"/>
      <c r="P203" s="414"/>
      <c r="Q203" s="414"/>
      <c r="R203" s="414"/>
      <c r="S203" s="414"/>
      <c r="T203" s="414"/>
      <c r="U203" s="414"/>
    </row>
    <row r="204" spans="5:21" ht="15.6">
      <c r="E204" s="1"/>
      <c r="F204" s="1"/>
      <c r="G204" s="1"/>
      <c r="H204" s="1"/>
      <c r="I204" s="1"/>
      <c r="J204" s="1"/>
      <c r="K204" s="1"/>
      <c r="P204" s="414"/>
      <c r="Q204" s="414"/>
      <c r="R204" s="414"/>
      <c r="S204" s="414"/>
      <c r="T204" s="414"/>
      <c r="U204" s="414"/>
    </row>
    <row r="205" spans="5:21" ht="15.6">
      <c r="E205" s="1"/>
      <c r="F205" s="1"/>
      <c r="G205" s="1"/>
      <c r="H205" s="1"/>
      <c r="I205" s="1"/>
      <c r="J205" s="1"/>
      <c r="K205" s="1"/>
      <c r="P205" s="414"/>
      <c r="Q205" s="414"/>
      <c r="R205" s="414"/>
      <c r="S205" s="414"/>
      <c r="T205" s="414"/>
      <c r="U205" s="414"/>
    </row>
    <row r="206" spans="5:21" ht="15.6">
      <c r="E206" s="1"/>
      <c r="F206" s="1"/>
      <c r="G206" s="1"/>
      <c r="H206" s="1"/>
      <c r="I206" s="1"/>
      <c r="J206" s="1"/>
      <c r="K206" s="1"/>
      <c r="P206" s="414"/>
      <c r="Q206" s="414"/>
      <c r="R206" s="414"/>
      <c r="S206" s="414"/>
      <c r="T206" s="414"/>
      <c r="U206" s="414"/>
    </row>
    <row r="207" spans="5:21" ht="15.6">
      <c r="E207" s="1"/>
      <c r="F207" s="1"/>
      <c r="G207" s="1"/>
      <c r="H207" s="1"/>
      <c r="I207" s="1"/>
      <c r="J207" s="1"/>
      <c r="K207" s="1"/>
      <c r="P207" s="414"/>
      <c r="Q207" s="414"/>
      <c r="R207" s="414"/>
      <c r="S207" s="414"/>
      <c r="T207" s="414"/>
      <c r="U207" s="414"/>
    </row>
    <row r="208" spans="5:21" ht="15.6">
      <c r="E208" s="1"/>
      <c r="F208" s="1"/>
      <c r="G208" s="1"/>
      <c r="H208" s="1"/>
      <c r="I208" s="1"/>
      <c r="J208" s="1"/>
      <c r="K208" s="1"/>
      <c r="P208" s="414"/>
      <c r="Q208" s="414"/>
      <c r="R208" s="414"/>
      <c r="S208" s="414"/>
      <c r="T208" s="414"/>
      <c r="U208" s="414"/>
    </row>
    <row r="209" spans="5:21" ht="15.6">
      <c r="E209" s="1"/>
      <c r="F209" s="1"/>
      <c r="G209" s="1"/>
      <c r="H209" s="1"/>
      <c r="I209" s="1"/>
      <c r="J209" s="1"/>
      <c r="K209" s="1"/>
      <c r="P209" s="414"/>
      <c r="Q209" s="414"/>
      <c r="R209" s="414"/>
      <c r="S209" s="414"/>
      <c r="T209" s="414"/>
      <c r="U209" s="414"/>
    </row>
    <row r="210" spans="5:21" ht="15.6">
      <c r="E210" s="1"/>
      <c r="F210" s="1"/>
      <c r="G210" s="1"/>
      <c r="H210" s="1"/>
      <c r="I210" s="1"/>
      <c r="J210" s="1"/>
      <c r="K210" s="1"/>
      <c r="P210" s="414"/>
      <c r="Q210" s="414"/>
      <c r="R210" s="414"/>
      <c r="S210" s="414"/>
      <c r="T210" s="414"/>
      <c r="U210" s="414"/>
    </row>
    <row r="211" spans="5:21" ht="15.6">
      <c r="E211" s="1"/>
      <c r="F211" s="1"/>
      <c r="G211" s="1"/>
      <c r="H211" s="1"/>
      <c r="I211" s="1"/>
      <c r="J211" s="1"/>
      <c r="K211" s="1"/>
      <c r="P211" s="414"/>
      <c r="Q211" s="414"/>
      <c r="R211" s="414"/>
      <c r="S211" s="414"/>
      <c r="T211" s="414"/>
      <c r="U211" s="414"/>
    </row>
    <row r="212" spans="5:21" ht="15.6">
      <c r="E212" s="1"/>
      <c r="F212" s="1"/>
      <c r="G212" s="1"/>
      <c r="H212" s="1"/>
      <c r="I212" s="1"/>
      <c r="J212" s="1"/>
      <c r="K212" s="1"/>
      <c r="P212" s="414"/>
      <c r="Q212" s="414"/>
      <c r="R212" s="414"/>
      <c r="S212" s="414"/>
      <c r="T212" s="414"/>
      <c r="U212" s="414"/>
    </row>
    <row r="213" spans="5:21" ht="15.6">
      <c r="E213" s="1"/>
      <c r="F213" s="1"/>
      <c r="G213" s="1"/>
      <c r="H213" s="1"/>
      <c r="I213" s="1"/>
      <c r="J213" s="1"/>
      <c r="K213" s="1"/>
      <c r="P213" s="414"/>
      <c r="Q213" s="414"/>
      <c r="R213" s="414"/>
      <c r="S213" s="414"/>
      <c r="T213" s="414"/>
      <c r="U213" s="414"/>
    </row>
    <row r="214" spans="5:21" ht="15.6">
      <c r="E214" s="1"/>
      <c r="F214" s="1"/>
      <c r="G214" s="1"/>
      <c r="H214" s="1"/>
      <c r="I214" s="1"/>
      <c r="J214" s="1"/>
      <c r="K214" s="1"/>
      <c r="P214" s="414"/>
      <c r="Q214" s="414"/>
      <c r="R214" s="414"/>
      <c r="S214" s="414"/>
      <c r="T214" s="414"/>
      <c r="U214" s="414"/>
    </row>
    <row r="215" spans="5:21" ht="15.6">
      <c r="E215" s="1"/>
      <c r="F215" s="1"/>
      <c r="G215" s="1"/>
      <c r="H215" s="1"/>
      <c r="I215" s="1"/>
      <c r="J215" s="1"/>
      <c r="K215" s="1"/>
      <c r="P215" s="414"/>
      <c r="Q215" s="414"/>
      <c r="R215" s="414"/>
      <c r="S215" s="414"/>
      <c r="T215" s="414"/>
      <c r="U215" s="414"/>
    </row>
    <row r="216" spans="5:21" ht="15.6">
      <c r="E216" s="1"/>
      <c r="F216" s="1"/>
      <c r="G216" s="1"/>
      <c r="H216" s="1"/>
      <c r="I216" s="1"/>
      <c r="J216" s="1"/>
      <c r="K216" s="1"/>
      <c r="P216" s="414"/>
      <c r="Q216" s="414"/>
      <c r="R216" s="414"/>
      <c r="S216" s="414"/>
      <c r="T216" s="414"/>
      <c r="U216" s="414"/>
    </row>
    <row r="217" spans="5:21" ht="15.6">
      <c r="E217" s="1"/>
      <c r="F217" s="1"/>
      <c r="G217" s="1"/>
      <c r="H217" s="1"/>
      <c r="I217" s="1"/>
      <c r="J217" s="1"/>
      <c r="K217" s="1"/>
      <c r="P217" s="414"/>
      <c r="Q217" s="414"/>
      <c r="R217" s="414"/>
      <c r="S217" s="414"/>
      <c r="T217" s="414"/>
      <c r="U217" s="414"/>
    </row>
    <row r="218" spans="5:21" ht="15.6">
      <c r="E218" s="1"/>
      <c r="F218" s="1"/>
      <c r="G218" s="1"/>
      <c r="H218" s="1"/>
      <c r="I218" s="1"/>
      <c r="J218" s="1"/>
      <c r="K218" s="1"/>
      <c r="P218" s="414"/>
      <c r="Q218" s="414"/>
      <c r="R218" s="414"/>
      <c r="S218" s="414"/>
      <c r="T218" s="414"/>
      <c r="U218" s="414"/>
    </row>
    <row r="219" spans="5:21" ht="15.6">
      <c r="E219" s="1"/>
      <c r="F219" s="1"/>
      <c r="G219" s="1"/>
      <c r="H219" s="1"/>
      <c r="I219" s="1"/>
      <c r="J219" s="1"/>
      <c r="K219" s="1"/>
      <c r="P219" s="414"/>
      <c r="Q219" s="414"/>
      <c r="R219" s="414"/>
      <c r="S219" s="414"/>
      <c r="T219" s="414"/>
      <c r="U219" s="414"/>
    </row>
    <row r="220" spans="5:21" ht="15.6">
      <c r="E220" s="1"/>
      <c r="F220" s="1"/>
      <c r="G220" s="1"/>
      <c r="H220" s="1"/>
      <c r="I220" s="1"/>
      <c r="J220" s="1"/>
      <c r="K220" s="1"/>
      <c r="P220" s="414"/>
      <c r="Q220" s="414"/>
      <c r="R220" s="414"/>
      <c r="S220" s="414"/>
      <c r="T220" s="414"/>
      <c r="U220" s="414"/>
    </row>
    <row r="221" spans="5:21" ht="15.6">
      <c r="E221" s="1"/>
      <c r="F221" s="1"/>
      <c r="G221" s="1"/>
      <c r="H221" s="1"/>
      <c r="I221" s="1"/>
      <c r="J221" s="1"/>
      <c r="K221" s="1"/>
      <c r="P221" s="414"/>
      <c r="Q221" s="414"/>
      <c r="R221" s="414"/>
      <c r="S221" s="414"/>
      <c r="T221" s="414"/>
      <c r="U221" s="414"/>
    </row>
    <row r="222" spans="5:21" ht="15.6">
      <c r="E222" s="1"/>
      <c r="F222" s="1"/>
      <c r="G222" s="1"/>
      <c r="H222" s="1"/>
      <c r="I222" s="1"/>
      <c r="J222" s="1"/>
      <c r="K222" s="1"/>
      <c r="P222" s="414"/>
      <c r="Q222" s="414"/>
      <c r="R222" s="414"/>
      <c r="S222" s="414"/>
      <c r="T222" s="414"/>
      <c r="U222" s="414"/>
    </row>
    <row r="223" spans="5:21" ht="15.6">
      <c r="E223" s="1"/>
      <c r="F223" s="1"/>
      <c r="G223" s="1"/>
      <c r="H223" s="1"/>
      <c r="I223" s="1"/>
      <c r="J223" s="1"/>
      <c r="K223" s="1"/>
      <c r="P223" s="414"/>
      <c r="Q223" s="414"/>
      <c r="R223" s="414"/>
      <c r="S223" s="414"/>
      <c r="T223" s="414"/>
      <c r="U223" s="414"/>
    </row>
    <row r="224" spans="5:21" ht="15.6">
      <c r="E224" s="1"/>
      <c r="F224" s="1"/>
      <c r="G224" s="1"/>
      <c r="H224" s="1"/>
      <c r="I224" s="1"/>
      <c r="J224" s="1"/>
      <c r="K224" s="1"/>
      <c r="P224" s="414"/>
      <c r="Q224" s="414"/>
      <c r="R224" s="414"/>
      <c r="S224" s="414"/>
      <c r="T224" s="414"/>
      <c r="U224" s="414"/>
    </row>
    <row r="225" spans="5:21" ht="15.6">
      <c r="E225" s="1"/>
      <c r="F225" s="1"/>
      <c r="G225" s="1"/>
      <c r="H225" s="1"/>
      <c r="I225" s="1"/>
      <c r="J225" s="1"/>
      <c r="K225" s="1"/>
      <c r="P225" s="414"/>
      <c r="Q225" s="414"/>
      <c r="R225" s="414"/>
      <c r="S225" s="414"/>
      <c r="T225" s="414"/>
      <c r="U225" s="414"/>
    </row>
    <row r="226" spans="5:21" ht="15.6">
      <c r="E226" s="1"/>
      <c r="F226" s="1"/>
      <c r="G226" s="1"/>
      <c r="H226" s="1"/>
      <c r="I226" s="1"/>
      <c r="J226" s="1"/>
      <c r="K226" s="1"/>
      <c r="P226" s="414"/>
      <c r="Q226" s="414"/>
      <c r="R226" s="414"/>
      <c r="S226" s="414"/>
      <c r="T226" s="414"/>
      <c r="U226" s="414"/>
    </row>
    <row r="227" spans="5:21" ht="15.6">
      <c r="E227" s="1"/>
      <c r="F227" s="1"/>
      <c r="G227" s="1"/>
      <c r="H227" s="1"/>
      <c r="I227" s="1"/>
      <c r="J227" s="1"/>
      <c r="K227" s="1"/>
      <c r="P227" s="414"/>
      <c r="Q227" s="414"/>
      <c r="R227" s="414"/>
      <c r="S227" s="414"/>
      <c r="T227" s="414"/>
      <c r="U227" s="414"/>
    </row>
    <row r="228" spans="5:21" ht="15.6">
      <c r="E228" s="1"/>
      <c r="F228" s="1"/>
      <c r="G228" s="1"/>
      <c r="H228" s="1"/>
      <c r="I228" s="1"/>
      <c r="J228" s="1"/>
      <c r="K228" s="1"/>
      <c r="P228" s="414"/>
      <c r="Q228" s="414"/>
      <c r="R228" s="414"/>
      <c r="S228" s="414"/>
      <c r="T228" s="414"/>
      <c r="U228" s="414"/>
    </row>
    <row r="229" spans="5:21" ht="15.6">
      <c r="E229" s="1"/>
      <c r="F229" s="1"/>
      <c r="G229" s="1"/>
      <c r="H229" s="1"/>
      <c r="I229" s="1"/>
      <c r="J229" s="1"/>
      <c r="K229" s="1"/>
      <c r="P229" s="414"/>
      <c r="Q229" s="414"/>
      <c r="R229" s="414"/>
      <c r="S229" s="414"/>
      <c r="T229" s="414"/>
      <c r="U229" s="414"/>
    </row>
    <row r="230" spans="5:21" ht="15.6">
      <c r="E230" s="1"/>
      <c r="F230" s="1"/>
      <c r="G230" s="1"/>
      <c r="H230" s="1"/>
      <c r="I230" s="1"/>
      <c r="J230" s="1"/>
      <c r="K230" s="1"/>
      <c r="P230" s="414"/>
      <c r="Q230" s="414"/>
      <c r="R230" s="414"/>
      <c r="S230" s="414"/>
      <c r="T230" s="414"/>
      <c r="U230" s="414"/>
    </row>
    <row r="231" spans="5:21" ht="15.6">
      <c r="E231" s="1"/>
      <c r="F231" s="1"/>
      <c r="G231" s="1"/>
      <c r="H231" s="1"/>
      <c r="I231" s="1"/>
      <c r="J231" s="1"/>
      <c r="K231" s="1"/>
      <c r="P231" s="414"/>
      <c r="Q231" s="414"/>
      <c r="R231" s="414"/>
      <c r="S231" s="414"/>
      <c r="T231" s="414"/>
      <c r="U231" s="414"/>
    </row>
    <row r="232" spans="5:21" ht="15.6">
      <c r="E232" s="1"/>
      <c r="F232" s="1"/>
      <c r="G232" s="1"/>
      <c r="H232" s="1"/>
      <c r="I232" s="1"/>
      <c r="J232" s="1"/>
      <c r="K232" s="1"/>
      <c r="P232" s="414"/>
      <c r="Q232" s="414"/>
      <c r="R232" s="414"/>
      <c r="S232" s="414"/>
      <c r="T232" s="414"/>
      <c r="U232" s="414"/>
    </row>
    <row r="233" spans="5:21" ht="15.6">
      <c r="E233" s="1"/>
      <c r="F233" s="1"/>
      <c r="G233" s="1"/>
      <c r="H233" s="1"/>
      <c r="I233" s="1"/>
      <c r="J233" s="1"/>
      <c r="K233" s="1"/>
      <c r="P233" s="414"/>
      <c r="Q233" s="414"/>
      <c r="R233" s="414"/>
      <c r="S233" s="414"/>
      <c r="T233" s="414"/>
      <c r="U233" s="414"/>
    </row>
    <row r="234" spans="5:21" ht="15.6">
      <c r="E234" s="1"/>
      <c r="F234" s="1"/>
      <c r="G234" s="1"/>
      <c r="H234" s="1"/>
      <c r="I234" s="1"/>
      <c r="J234" s="1"/>
      <c r="K234" s="1"/>
      <c r="P234" s="414"/>
      <c r="Q234" s="414"/>
      <c r="R234" s="414"/>
      <c r="S234" s="414"/>
      <c r="T234" s="414"/>
      <c r="U234" s="414"/>
    </row>
    <row r="235" spans="5:21" ht="15.6">
      <c r="E235" s="1"/>
      <c r="F235" s="1"/>
      <c r="G235" s="1"/>
      <c r="H235" s="1"/>
      <c r="I235" s="1"/>
      <c r="J235" s="1"/>
      <c r="K235" s="1"/>
      <c r="P235" s="414"/>
      <c r="Q235" s="414"/>
      <c r="R235" s="414"/>
      <c r="S235" s="414"/>
      <c r="T235" s="414"/>
      <c r="U235" s="414"/>
    </row>
    <row r="236" spans="5:21" ht="15.6">
      <c r="E236" s="1"/>
      <c r="F236" s="1"/>
      <c r="G236" s="1"/>
      <c r="H236" s="1"/>
      <c r="I236" s="1"/>
      <c r="J236" s="1"/>
      <c r="K236" s="1"/>
      <c r="P236" s="414"/>
      <c r="Q236" s="414"/>
      <c r="R236" s="414"/>
      <c r="S236" s="414"/>
      <c r="T236" s="414"/>
      <c r="U236" s="414"/>
    </row>
    <row r="237" spans="5:21" ht="15.6">
      <c r="E237" s="1"/>
      <c r="F237" s="1"/>
      <c r="G237" s="1"/>
      <c r="H237" s="1"/>
      <c r="I237" s="1"/>
      <c r="J237" s="1"/>
      <c r="K237" s="1"/>
      <c r="P237" s="414"/>
      <c r="Q237" s="414"/>
      <c r="R237" s="414"/>
      <c r="S237" s="414"/>
      <c r="T237" s="414"/>
      <c r="U237" s="414"/>
    </row>
    <row r="238" spans="5:21" ht="15.6">
      <c r="E238" s="1"/>
      <c r="F238" s="1"/>
      <c r="G238" s="1"/>
      <c r="H238" s="1"/>
      <c r="I238" s="1"/>
      <c r="J238" s="1"/>
      <c r="K238" s="1"/>
      <c r="P238" s="414"/>
      <c r="Q238" s="414"/>
      <c r="R238" s="414"/>
      <c r="S238" s="414"/>
      <c r="T238" s="414"/>
      <c r="U238" s="414"/>
    </row>
    <row r="239" spans="5:21" ht="15.6">
      <c r="E239" s="1"/>
      <c r="F239" s="1"/>
      <c r="G239" s="1"/>
      <c r="H239" s="1"/>
      <c r="I239" s="1"/>
      <c r="J239" s="1"/>
      <c r="K239" s="1"/>
      <c r="P239" s="414"/>
      <c r="Q239" s="414"/>
      <c r="R239" s="414"/>
      <c r="S239" s="414"/>
      <c r="T239" s="414"/>
      <c r="U239" s="414"/>
    </row>
    <row r="240" spans="5:21" ht="15.6">
      <c r="E240" s="1"/>
      <c r="F240" s="1"/>
      <c r="G240" s="1"/>
      <c r="H240" s="1"/>
      <c r="I240" s="1"/>
      <c r="J240" s="1"/>
      <c r="K240" s="1"/>
      <c r="P240" s="414"/>
      <c r="Q240" s="414"/>
      <c r="R240" s="414"/>
      <c r="S240" s="414"/>
      <c r="T240" s="414"/>
      <c r="U240" s="414"/>
    </row>
    <row r="241" spans="5:21" ht="15.6">
      <c r="E241" s="1"/>
      <c r="F241" s="1"/>
      <c r="G241" s="1"/>
      <c r="H241" s="1"/>
      <c r="I241" s="1"/>
      <c r="J241" s="1"/>
      <c r="K241" s="1"/>
      <c r="P241" s="414"/>
      <c r="Q241" s="414"/>
      <c r="R241" s="414"/>
      <c r="S241" s="414"/>
      <c r="T241" s="414"/>
      <c r="U241" s="414"/>
    </row>
    <row r="242" spans="5:21" ht="15.6">
      <c r="E242" s="1"/>
      <c r="F242" s="1"/>
      <c r="G242" s="1"/>
      <c r="H242" s="1"/>
      <c r="I242" s="1"/>
      <c r="J242" s="1"/>
      <c r="K242" s="1"/>
      <c r="P242" s="414"/>
      <c r="Q242" s="414"/>
      <c r="R242" s="414"/>
      <c r="S242" s="414"/>
      <c r="T242" s="414"/>
      <c r="U242" s="414"/>
    </row>
    <row r="243" spans="5:21" ht="15.6">
      <c r="E243" s="1"/>
      <c r="F243" s="1"/>
      <c r="G243" s="1"/>
      <c r="H243" s="1"/>
      <c r="I243" s="1"/>
      <c r="J243" s="1"/>
      <c r="K243" s="1"/>
      <c r="P243" s="414"/>
      <c r="Q243" s="414"/>
      <c r="R243" s="414"/>
      <c r="S243" s="414"/>
      <c r="T243" s="414"/>
      <c r="U243" s="414"/>
    </row>
    <row r="244" spans="5:21" ht="15.6">
      <c r="E244" s="1"/>
      <c r="F244" s="1"/>
      <c r="G244" s="1"/>
      <c r="H244" s="1"/>
      <c r="I244" s="1"/>
      <c r="J244" s="1"/>
      <c r="K244" s="1"/>
      <c r="P244" s="414"/>
      <c r="Q244" s="414"/>
      <c r="R244" s="414"/>
      <c r="S244" s="414"/>
      <c r="T244" s="414"/>
      <c r="U244" s="414"/>
    </row>
    <row r="245" spans="5:21" ht="15.6">
      <c r="E245" s="1"/>
      <c r="F245" s="1"/>
      <c r="G245" s="1"/>
      <c r="H245" s="1"/>
      <c r="I245" s="1"/>
      <c r="J245" s="1"/>
      <c r="K245" s="1"/>
      <c r="P245" s="414"/>
      <c r="Q245" s="414"/>
      <c r="R245" s="414"/>
      <c r="S245" s="414"/>
      <c r="T245" s="414"/>
      <c r="U245" s="414"/>
    </row>
    <row r="246" spans="5:21" ht="15.6">
      <c r="E246" s="1"/>
      <c r="F246" s="1"/>
      <c r="G246" s="1"/>
      <c r="H246" s="1"/>
      <c r="I246" s="1"/>
      <c r="J246" s="1"/>
      <c r="K246" s="1"/>
      <c r="P246" s="414"/>
      <c r="Q246" s="414"/>
      <c r="R246" s="414"/>
      <c r="S246" s="414"/>
      <c r="T246" s="414"/>
      <c r="U246" s="414"/>
    </row>
    <row r="247" spans="5:21" ht="15.6">
      <c r="E247" s="1"/>
      <c r="F247" s="1"/>
      <c r="G247" s="1"/>
      <c r="H247" s="1"/>
      <c r="I247" s="1"/>
      <c r="J247" s="1"/>
      <c r="K247" s="1"/>
      <c r="P247" s="414"/>
      <c r="Q247" s="414"/>
      <c r="R247" s="414"/>
      <c r="S247" s="414"/>
      <c r="T247" s="414"/>
      <c r="U247" s="414"/>
    </row>
    <row r="248" spans="5:21" ht="15.6">
      <c r="E248" s="1"/>
      <c r="F248" s="1"/>
      <c r="G248" s="1"/>
      <c r="H248" s="1"/>
      <c r="I248" s="1"/>
      <c r="J248" s="1"/>
      <c r="K248" s="1"/>
      <c r="P248" s="414"/>
      <c r="Q248" s="414"/>
      <c r="R248" s="414"/>
      <c r="S248" s="414"/>
      <c r="T248" s="414"/>
      <c r="U248" s="414"/>
    </row>
    <row r="249" spans="5:21" ht="15.6">
      <c r="E249" s="1"/>
      <c r="F249" s="1"/>
      <c r="G249" s="1"/>
      <c r="H249" s="1"/>
      <c r="I249" s="1"/>
      <c r="J249" s="1"/>
      <c r="K249" s="1"/>
      <c r="P249" s="414"/>
      <c r="Q249" s="414"/>
      <c r="R249" s="414"/>
      <c r="S249" s="414"/>
      <c r="T249" s="414"/>
      <c r="U249" s="414"/>
    </row>
    <row r="250" spans="5:21" ht="15.6">
      <c r="E250" s="1"/>
      <c r="F250" s="1"/>
      <c r="G250" s="1"/>
      <c r="H250" s="1"/>
      <c r="I250" s="1"/>
      <c r="J250" s="1"/>
      <c r="K250" s="1"/>
      <c r="P250" s="414"/>
      <c r="Q250" s="414"/>
      <c r="R250" s="414"/>
      <c r="S250" s="414"/>
      <c r="T250" s="414"/>
      <c r="U250" s="414"/>
    </row>
    <row r="251" spans="5:21" ht="15.6">
      <c r="E251" s="1"/>
      <c r="F251" s="1"/>
      <c r="G251" s="1"/>
      <c r="H251" s="1"/>
      <c r="I251" s="1"/>
      <c r="J251" s="1"/>
      <c r="K251" s="1"/>
      <c r="P251" s="414"/>
      <c r="Q251" s="414"/>
      <c r="R251" s="414"/>
      <c r="S251" s="414"/>
      <c r="T251" s="414"/>
      <c r="U251" s="414"/>
    </row>
    <row r="252" spans="5:21" ht="15.6">
      <c r="E252" s="1"/>
      <c r="F252" s="1"/>
      <c r="G252" s="1"/>
      <c r="H252" s="1"/>
      <c r="I252" s="1"/>
      <c r="J252" s="1"/>
      <c r="K252" s="1"/>
      <c r="P252" s="414"/>
      <c r="Q252" s="414"/>
      <c r="R252" s="414"/>
      <c r="S252" s="414"/>
      <c r="T252" s="414"/>
      <c r="U252" s="414"/>
    </row>
    <row r="253" spans="5:21" ht="15.6">
      <c r="E253" s="1"/>
      <c r="F253" s="1"/>
      <c r="G253" s="1"/>
      <c r="H253" s="1"/>
      <c r="I253" s="1"/>
      <c r="J253" s="1"/>
      <c r="K253" s="1"/>
      <c r="P253" s="414"/>
      <c r="Q253" s="414"/>
      <c r="R253" s="414"/>
      <c r="S253" s="414"/>
      <c r="T253" s="414"/>
      <c r="U253" s="414"/>
    </row>
    <row r="254" spans="5:21" ht="15.6">
      <c r="E254" s="1"/>
      <c r="F254" s="1"/>
      <c r="G254" s="1"/>
      <c r="H254" s="1"/>
      <c r="I254" s="1"/>
      <c r="J254" s="1"/>
      <c r="K254" s="1"/>
      <c r="P254" s="414"/>
      <c r="Q254" s="414"/>
      <c r="R254" s="414"/>
      <c r="S254" s="414"/>
      <c r="T254" s="414"/>
      <c r="U254" s="414"/>
    </row>
    <row r="255" spans="5:21" ht="15.6">
      <c r="E255" s="1"/>
      <c r="F255" s="1"/>
      <c r="G255" s="1"/>
      <c r="H255" s="1"/>
      <c r="I255" s="1"/>
      <c r="J255" s="1"/>
      <c r="K255" s="1"/>
      <c r="P255" s="414"/>
      <c r="Q255" s="414"/>
      <c r="R255" s="414"/>
      <c r="S255" s="414"/>
      <c r="T255" s="414"/>
      <c r="U255" s="414"/>
    </row>
    <row r="256" spans="5:21" ht="15.6">
      <c r="E256" s="1"/>
      <c r="F256" s="1"/>
      <c r="G256" s="1"/>
      <c r="H256" s="1"/>
      <c r="I256" s="1"/>
      <c r="J256" s="1"/>
      <c r="K256" s="1"/>
      <c r="P256" s="414"/>
      <c r="Q256" s="414"/>
      <c r="R256" s="414"/>
      <c r="S256" s="414"/>
      <c r="T256" s="414"/>
      <c r="U256" s="414"/>
    </row>
    <row r="257" spans="5:21" ht="15.6">
      <c r="E257" s="1"/>
      <c r="F257" s="1"/>
      <c r="G257" s="1"/>
      <c r="H257" s="1"/>
      <c r="I257" s="1"/>
      <c r="J257" s="1"/>
      <c r="K257" s="1"/>
      <c r="P257" s="414"/>
      <c r="Q257" s="414"/>
      <c r="R257" s="414"/>
      <c r="S257" s="414"/>
      <c r="T257" s="414"/>
      <c r="U257" s="414"/>
    </row>
    <row r="258" spans="5:21" ht="15.6">
      <c r="E258" s="1"/>
      <c r="F258" s="1"/>
      <c r="G258" s="1"/>
      <c r="H258" s="1"/>
      <c r="I258" s="1"/>
      <c r="J258" s="1"/>
      <c r="K258" s="1"/>
      <c r="P258" s="414"/>
      <c r="Q258" s="414"/>
      <c r="R258" s="414"/>
      <c r="S258" s="414"/>
      <c r="T258" s="414"/>
      <c r="U258" s="414"/>
    </row>
    <row r="259" spans="5:21" ht="15.6">
      <c r="E259" s="1"/>
      <c r="F259" s="1"/>
      <c r="G259" s="1"/>
      <c r="H259" s="1"/>
      <c r="I259" s="1"/>
      <c r="J259" s="1"/>
      <c r="K259" s="1"/>
      <c r="P259" s="414"/>
      <c r="Q259" s="414"/>
      <c r="R259" s="414"/>
      <c r="S259" s="414"/>
      <c r="T259" s="414"/>
      <c r="U259" s="414"/>
    </row>
    <row r="260" spans="5:21" ht="15.6">
      <c r="E260" s="1"/>
      <c r="F260" s="1"/>
      <c r="G260" s="1"/>
      <c r="H260" s="1"/>
      <c r="I260" s="1"/>
      <c r="J260" s="1"/>
      <c r="K260" s="1"/>
      <c r="P260" s="414"/>
      <c r="Q260" s="414"/>
      <c r="R260" s="414"/>
      <c r="S260" s="414"/>
      <c r="T260" s="414"/>
      <c r="U260" s="414"/>
    </row>
    <row r="261" spans="5:21" ht="15.6">
      <c r="E261" s="1"/>
      <c r="F261" s="1"/>
      <c r="G261" s="1"/>
      <c r="H261" s="1"/>
      <c r="I261" s="1"/>
      <c r="J261" s="1"/>
      <c r="K261" s="1"/>
      <c r="P261" s="414"/>
      <c r="Q261" s="414"/>
      <c r="R261" s="414"/>
      <c r="S261" s="414"/>
      <c r="T261" s="414"/>
      <c r="U261" s="414"/>
    </row>
    <row r="262" spans="5:21" ht="15.6">
      <c r="E262" s="1"/>
      <c r="F262" s="1"/>
      <c r="G262" s="1"/>
      <c r="H262" s="1"/>
      <c r="I262" s="1"/>
      <c r="J262" s="1"/>
      <c r="K262" s="1"/>
      <c r="P262" s="414"/>
      <c r="Q262" s="414"/>
      <c r="R262" s="414"/>
      <c r="S262" s="414"/>
      <c r="T262" s="414"/>
      <c r="U262" s="414"/>
    </row>
    <row r="263" spans="5:21" ht="15.6">
      <c r="E263" s="1"/>
      <c r="F263" s="1"/>
      <c r="G263" s="1"/>
      <c r="H263" s="1"/>
      <c r="I263" s="1"/>
      <c r="J263" s="1"/>
      <c r="K263" s="1"/>
      <c r="P263" s="414"/>
      <c r="Q263" s="414"/>
      <c r="R263" s="414"/>
      <c r="S263" s="414"/>
      <c r="T263" s="414"/>
      <c r="U263" s="414"/>
    </row>
    <row r="264" spans="5:21" ht="15.6">
      <c r="E264" s="1"/>
      <c r="F264" s="1"/>
      <c r="G264" s="1"/>
      <c r="H264" s="1"/>
      <c r="I264" s="1"/>
      <c r="J264" s="1"/>
      <c r="K264" s="1"/>
      <c r="P264" s="414"/>
      <c r="Q264" s="414"/>
      <c r="R264" s="414"/>
      <c r="S264" s="414"/>
      <c r="T264" s="414"/>
      <c r="U264" s="414"/>
    </row>
    <row r="265" spans="5:21" ht="15.6">
      <c r="E265" s="1"/>
      <c r="F265" s="1"/>
      <c r="G265" s="1"/>
      <c r="H265" s="1"/>
      <c r="I265" s="1"/>
      <c r="J265" s="1"/>
      <c r="K265" s="1"/>
      <c r="P265" s="414"/>
      <c r="Q265" s="414"/>
      <c r="R265" s="414"/>
      <c r="S265" s="414"/>
      <c r="T265" s="414"/>
      <c r="U265" s="414"/>
    </row>
    <row r="266" spans="5:21" ht="15.6">
      <c r="E266" s="1"/>
      <c r="F266" s="1"/>
      <c r="G266" s="1"/>
      <c r="H266" s="1"/>
      <c r="I266" s="1"/>
      <c r="J266" s="1"/>
      <c r="K266" s="1"/>
      <c r="P266" s="414"/>
      <c r="Q266" s="414"/>
      <c r="R266" s="414"/>
      <c r="S266" s="414"/>
      <c r="T266" s="414"/>
      <c r="U266" s="414"/>
    </row>
    <row r="267" spans="5:21" ht="15.6">
      <c r="E267" s="1"/>
      <c r="F267" s="1"/>
      <c r="G267" s="1"/>
      <c r="H267" s="1"/>
      <c r="I267" s="1"/>
      <c r="J267" s="1"/>
      <c r="K267" s="1"/>
      <c r="P267" s="414"/>
      <c r="Q267" s="414"/>
      <c r="R267" s="414"/>
      <c r="S267" s="414"/>
      <c r="T267" s="414"/>
      <c r="U267" s="414"/>
    </row>
    <row r="268" spans="5:21" ht="15.6">
      <c r="E268" s="1"/>
      <c r="F268" s="1"/>
      <c r="G268" s="1"/>
      <c r="H268" s="1"/>
      <c r="I268" s="1"/>
      <c r="J268" s="1"/>
      <c r="K268" s="1"/>
      <c r="P268" s="414"/>
      <c r="Q268" s="414"/>
      <c r="R268" s="414"/>
      <c r="S268" s="414"/>
      <c r="T268" s="414"/>
      <c r="U268" s="414"/>
    </row>
    <row r="269" spans="5:21" ht="15.6">
      <c r="E269" s="1"/>
      <c r="F269" s="1"/>
      <c r="G269" s="1"/>
      <c r="H269" s="1"/>
      <c r="I269" s="1"/>
      <c r="J269" s="1"/>
      <c r="K269" s="1"/>
      <c r="P269" s="414"/>
      <c r="Q269" s="414"/>
      <c r="R269" s="414"/>
      <c r="S269" s="414"/>
      <c r="T269" s="414"/>
      <c r="U269" s="414"/>
    </row>
    <row r="270" spans="5:21" ht="15.6">
      <c r="E270" s="1"/>
      <c r="F270" s="1"/>
      <c r="G270" s="1"/>
      <c r="H270" s="1"/>
      <c r="I270" s="1"/>
      <c r="J270" s="1"/>
      <c r="K270" s="1"/>
      <c r="P270" s="414"/>
      <c r="Q270" s="414"/>
      <c r="R270" s="414"/>
      <c r="S270" s="414"/>
      <c r="T270" s="414"/>
      <c r="U270" s="414"/>
    </row>
    <row r="271" spans="5:21" ht="15.6">
      <c r="E271" s="1"/>
      <c r="F271" s="1"/>
      <c r="G271" s="1"/>
      <c r="H271" s="1"/>
      <c r="I271" s="1"/>
      <c r="J271" s="1"/>
      <c r="K271" s="1"/>
      <c r="P271" s="414"/>
      <c r="Q271" s="414"/>
      <c r="R271" s="414"/>
      <c r="S271" s="414"/>
      <c r="T271" s="414"/>
      <c r="U271" s="414"/>
    </row>
    <row r="272" spans="5:21" ht="15.6">
      <c r="E272" s="1"/>
      <c r="F272" s="1"/>
      <c r="G272" s="1"/>
      <c r="H272" s="1"/>
      <c r="I272" s="1"/>
      <c r="J272" s="1"/>
      <c r="K272" s="1"/>
      <c r="P272" s="414"/>
      <c r="Q272" s="414"/>
      <c r="R272" s="414"/>
      <c r="S272" s="414"/>
      <c r="T272" s="414"/>
      <c r="U272" s="414"/>
    </row>
    <row r="273" spans="5:21" ht="15.6">
      <c r="E273" s="1"/>
      <c r="F273" s="1"/>
      <c r="G273" s="1"/>
      <c r="H273" s="1"/>
      <c r="I273" s="1"/>
      <c r="J273" s="1"/>
      <c r="K273" s="1"/>
      <c r="P273" s="414"/>
      <c r="Q273" s="414"/>
      <c r="R273" s="414"/>
      <c r="S273" s="414"/>
      <c r="T273" s="414"/>
      <c r="U273" s="414"/>
    </row>
    <row r="274" spans="5:21" ht="15.6">
      <c r="E274" s="1"/>
      <c r="F274" s="1"/>
      <c r="G274" s="1"/>
      <c r="H274" s="1"/>
      <c r="I274" s="1"/>
      <c r="J274" s="1"/>
      <c r="K274" s="1"/>
      <c r="P274" s="414"/>
      <c r="Q274" s="414"/>
      <c r="R274" s="414"/>
      <c r="S274" s="414"/>
      <c r="T274" s="414"/>
      <c r="U274" s="414"/>
    </row>
    <row r="275" spans="5:21" ht="15.6">
      <c r="E275" s="1"/>
      <c r="F275" s="1"/>
      <c r="G275" s="1"/>
      <c r="H275" s="1"/>
      <c r="I275" s="1"/>
      <c r="J275" s="1"/>
      <c r="K275" s="1"/>
      <c r="P275" s="414"/>
      <c r="Q275" s="414"/>
      <c r="R275" s="414"/>
      <c r="S275" s="414"/>
      <c r="T275" s="414"/>
      <c r="U275" s="414"/>
    </row>
    <row r="276" spans="5:21" ht="15.6">
      <c r="E276" s="1"/>
      <c r="F276" s="1"/>
      <c r="G276" s="1"/>
      <c r="H276" s="1"/>
      <c r="I276" s="1"/>
      <c r="J276" s="1"/>
      <c r="K276" s="1"/>
      <c r="P276" s="414"/>
      <c r="Q276" s="414"/>
      <c r="R276" s="414"/>
      <c r="S276" s="414"/>
      <c r="T276" s="414"/>
      <c r="U276" s="414"/>
    </row>
    <row r="277" spans="5:21" ht="15.6">
      <c r="E277" s="1"/>
      <c r="F277" s="1"/>
      <c r="G277" s="1"/>
      <c r="H277" s="1"/>
      <c r="I277" s="1"/>
      <c r="J277" s="1"/>
      <c r="K277" s="1"/>
      <c r="P277" s="414"/>
      <c r="Q277" s="414"/>
      <c r="R277" s="414"/>
      <c r="S277" s="414"/>
      <c r="T277" s="414"/>
      <c r="U277" s="414"/>
    </row>
    <row r="278" spans="5:21" ht="15.6">
      <c r="E278" s="1"/>
      <c r="F278" s="1"/>
      <c r="G278" s="1"/>
      <c r="H278" s="1"/>
      <c r="I278" s="1"/>
      <c r="J278" s="1"/>
      <c r="K278" s="1"/>
      <c r="P278" s="414"/>
      <c r="Q278" s="414"/>
      <c r="R278" s="414"/>
      <c r="S278" s="414"/>
      <c r="T278" s="414"/>
      <c r="U278" s="414"/>
    </row>
    <row r="279" spans="5:21" ht="15.6">
      <c r="E279" s="1"/>
      <c r="F279" s="1"/>
      <c r="G279" s="1"/>
      <c r="H279" s="1"/>
      <c r="I279" s="1"/>
      <c r="J279" s="1"/>
      <c r="K279" s="1"/>
      <c r="P279" s="414"/>
      <c r="Q279" s="414"/>
      <c r="R279" s="414"/>
      <c r="S279" s="414"/>
      <c r="T279" s="414"/>
      <c r="U279" s="414"/>
    </row>
    <row r="280" spans="5:21" ht="15.6">
      <c r="E280" s="1"/>
      <c r="F280" s="1"/>
      <c r="G280" s="1"/>
      <c r="H280" s="1"/>
      <c r="I280" s="1"/>
      <c r="J280" s="1"/>
      <c r="K280" s="1"/>
      <c r="P280" s="414"/>
      <c r="Q280" s="414"/>
      <c r="R280" s="414"/>
      <c r="S280" s="414"/>
      <c r="T280" s="414"/>
      <c r="U280" s="414"/>
    </row>
    <row r="281" spans="5:21" ht="15.6">
      <c r="E281" s="1"/>
      <c r="F281" s="1"/>
      <c r="G281" s="1"/>
      <c r="H281" s="1"/>
      <c r="I281" s="1"/>
      <c r="J281" s="1"/>
      <c r="K281" s="1"/>
      <c r="P281" s="414"/>
      <c r="Q281" s="414"/>
      <c r="R281" s="414"/>
      <c r="S281" s="414"/>
      <c r="T281" s="414"/>
      <c r="U281" s="414"/>
    </row>
    <row r="282" spans="5:21" ht="15.6">
      <c r="E282" s="1"/>
      <c r="F282" s="1"/>
      <c r="G282" s="1"/>
      <c r="H282" s="1"/>
      <c r="I282" s="1"/>
      <c r="J282" s="1"/>
      <c r="K282" s="1"/>
      <c r="P282" s="414"/>
      <c r="Q282" s="414"/>
      <c r="R282" s="414"/>
      <c r="S282" s="414"/>
      <c r="T282" s="414"/>
      <c r="U282" s="414"/>
    </row>
    <row r="283" spans="5:21" ht="15.6">
      <c r="E283" s="1"/>
      <c r="F283" s="1"/>
      <c r="G283" s="1"/>
      <c r="H283" s="1"/>
      <c r="I283" s="1"/>
      <c r="J283" s="1"/>
      <c r="K283" s="1"/>
      <c r="P283" s="414"/>
      <c r="Q283" s="414"/>
      <c r="R283" s="414"/>
      <c r="S283" s="414"/>
      <c r="T283" s="414"/>
      <c r="U283" s="414"/>
    </row>
    <row r="284" spans="5:21" ht="15.6">
      <c r="E284" s="1"/>
      <c r="F284" s="1"/>
      <c r="G284" s="1"/>
      <c r="H284" s="1"/>
      <c r="I284" s="1"/>
      <c r="J284" s="1"/>
      <c r="K284" s="1"/>
      <c r="P284" s="414"/>
      <c r="Q284" s="414"/>
      <c r="R284" s="414"/>
      <c r="S284" s="414"/>
      <c r="T284" s="414"/>
      <c r="U284" s="414"/>
    </row>
    <row r="285" spans="5:21" ht="15.6">
      <c r="E285" s="1"/>
      <c r="F285" s="1"/>
      <c r="G285" s="1"/>
      <c r="H285" s="1"/>
      <c r="I285" s="1"/>
      <c r="J285" s="1"/>
      <c r="K285" s="1"/>
      <c r="P285" s="414"/>
      <c r="Q285" s="414"/>
      <c r="R285" s="414"/>
      <c r="S285" s="414"/>
      <c r="T285" s="414"/>
      <c r="U285" s="414"/>
    </row>
    <row r="286" spans="5:21" ht="15.6">
      <c r="E286" s="1"/>
      <c r="F286" s="1"/>
      <c r="G286" s="1"/>
      <c r="H286" s="1"/>
      <c r="I286" s="1"/>
      <c r="J286" s="1"/>
      <c r="K286" s="1"/>
      <c r="P286" s="414"/>
      <c r="Q286" s="414"/>
      <c r="R286" s="414"/>
      <c r="S286" s="414"/>
      <c r="T286" s="414"/>
      <c r="U286" s="414"/>
    </row>
    <row r="287" spans="5:21" ht="15.6">
      <c r="E287" s="1"/>
      <c r="F287" s="1"/>
      <c r="G287" s="1"/>
      <c r="H287" s="1"/>
      <c r="I287" s="1"/>
      <c r="J287" s="1"/>
      <c r="K287" s="1"/>
      <c r="P287" s="414"/>
      <c r="Q287" s="414"/>
      <c r="R287" s="414"/>
      <c r="S287" s="414"/>
      <c r="T287" s="414"/>
      <c r="U287" s="414"/>
    </row>
    <row r="288" spans="5:21" ht="15.6">
      <c r="E288" s="1"/>
      <c r="F288" s="1"/>
      <c r="G288" s="1"/>
      <c r="H288" s="1"/>
      <c r="I288" s="1"/>
      <c r="J288" s="1"/>
      <c r="K288" s="1"/>
      <c r="P288" s="414"/>
      <c r="Q288" s="414"/>
      <c r="R288" s="414"/>
      <c r="S288" s="414"/>
      <c r="T288" s="414"/>
      <c r="U288" s="414"/>
    </row>
    <row r="289" spans="5:21" ht="15.6">
      <c r="E289" s="1"/>
      <c r="F289" s="1"/>
      <c r="G289" s="1"/>
      <c r="H289" s="1"/>
      <c r="I289" s="1"/>
      <c r="J289" s="1"/>
      <c r="K289" s="1"/>
      <c r="P289" s="414"/>
      <c r="Q289" s="414"/>
      <c r="R289" s="414"/>
      <c r="S289" s="414"/>
      <c r="T289" s="414"/>
      <c r="U289" s="414"/>
    </row>
    <row r="290" spans="5:21" ht="15.6">
      <c r="E290" s="1"/>
      <c r="F290" s="1"/>
      <c r="G290" s="1"/>
      <c r="H290" s="1"/>
      <c r="I290" s="1"/>
      <c r="J290" s="1"/>
      <c r="K290" s="1"/>
      <c r="P290" s="414"/>
      <c r="Q290" s="414"/>
      <c r="R290" s="414"/>
      <c r="S290" s="414"/>
      <c r="T290" s="414"/>
      <c r="U290" s="414"/>
    </row>
    <row r="291" spans="5:21" ht="15.6">
      <c r="E291" s="1"/>
      <c r="F291" s="1"/>
      <c r="G291" s="1"/>
      <c r="H291" s="1"/>
      <c r="I291" s="1"/>
      <c r="J291" s="1"/>
      <c r="K291" s="1"/>
      <c r="P291" s="414"/>
      <c r="Q291" s="414"/>
      <c r="R291" s="414"/>
      <c r="S291" s="414"/>
      <c r="T291" s="414"/>
      <c r="U291" s="414"/>
    </row>
    <row r="292" spans="5:21" ht="15.6">
      <c r="E292" s="1"/>
      <c r="F292" s="1"/>
      <c r="G292" s="1"/>
      <c r="H292" s="1"/>
      <c r="I292" s="1"/>
      <c r="J292" s="1"/>
      <c r="K292" s="1"/>
      <c r="P292" s="414"/>
      <c r="Q292" s="414"/>
      <c r="R292" s="414"/>
      <c r="S292" s="414"/>
      <c r="T292" s="414"/>
      <c r="U292" s="414"/>
    </row>
    <row r="293" spans="5:21" ht="15.6">
      <c r="E293" s="1"/>
      <c r="F293" s="1"/>
      <c r="G293" s="1"/>
      <c r="H293" s="1"/>
      <c r="I293" s="1"/>
      <c r="J293" s="1"/>
      <c r="K293" s="1"/>
      <c r="P293" s="414"/>
      <c r="Q293" s="414"/>
      <c r="R293" s="414"/>
      <c r="S293" s="414"/>
      <c r="T293" s="414"/>
      <c r="U293" s="414"/>
    </row>
    <row r="294" spans="5:21" ht="15.6">
      <c r="E294" s="1"/>
      <c r="F294" s="1"/>
      <c r="G294" s="1"/>
      <c r="H294" s="1"/>
      <c r="I294" s="1"/>
      <c r="J294" s="1"/>
      <c r="K294" s="1"/>
      <c r="P294" s="414"/>
      <c r="Q294" s="414"/>
      <c r="R294" s="414"/>
      <c r="S294" s="414"/>
      <c r="T294" s="414"/>
      <c r="U294" s="414"/>
    </row>
    <row r="295" spans="5:21" ht="15.6">
      <c r="E295" s="1"/>
      <c r="F295" s="1"/>
      <c r="G295" s="1"/>
      <c r="H295" s="1"/>
      <c r="I295" s="1"/>
      <c r="J295" s="1"/>
      <c r="K295" s="1"/>
      <c r="P295" s="414"/>
      <c r="Q295" s="414"/>
      <c r="R295" s="414"/>
      <c r="S295" s="414"/>
      <c r="T295" s="414"/>
      <c r="U295" s="414"/>
    </row>
    <row r="296" spans="5:21" ht="15.6">
      <c r="E296" s="1"/>
      <c r="F296" s="1"/>
      <c r="G296" s="1"/>
      <c r="H296" s="1"/>
      <c r="I296" s="1"/>
      <c r="J296" s="1"/>
      <c r="K296" s="1"/>
      <c r="P296" s="414"/>
      <c r="Q296" s="414"/>
      <c r="R296" s="414"/>
      <c r="S296" s="414"/>
      <c r="T296" s="414"/>
      <c r="U296" s="414"/>
    </row>
    <row r="297" spans="5:21" ht="15.6">
      <c r="E297" s="1"/>
      <c r="F297" s="1"/>
      <c r="G297" s="1"/>
      <c r="H297" s="1"/>
      <c r="I297" s="1"/>
      <c r="J297" s="1"/>
      <c r="K297" s="1"/>
      <c r="P297" s="414"/>
      <c r="Q297" s="414"/>
      <c r="R297" s="414"/>
      <c r="S297" s="414"/>
      <c r="T297" s="414"/>
      <c r="U297" s="414"/>
    </row>
    <row r="298" spans="5:21" ht="15.6">
      <c r="E298" s="1"/>
      <c r="F298" s="1"/>
      <c r="G298" s="1"/>
      <c r="H298" s="1"/>
      <c r="I298" s="1"/>
      <c r="J298" s="1"/>
      <c r="K298" s="1"/>
      <c r="P298" s="414"/>
      <c r="Q298" s="414"/>
      <c r="R298" s="414"/>
      <c r="S298" s="414"/>
      <c r="T298" s="414"/>
      <c r="U298" s="414"/>
    </row>
    <row r="299" spans="5:21" ht="15.6">
      <c r="E299" s="1"/>
      <c r="F299" s="1"/>
      <c r="G299" s="1"/>
      <c r="H299" s="1"/>
      <c r="I299" s="1"/>
      <c r="J299" s="1"/>
      <c r="K299" s="1"/>
      <c r="P299" s="414"/>
      <c r="Q299" s="414"/>
      <c r="R299" s="414"/>
      <c r="S299" s="414"/>
      <c r="T299" s="414"/>
      <c r="U299" s="414"/>
    </row>
    <row r="300" spans="5:21" ht="15.6">
      <c r="E300" s="1"/>
      <c r="F300" s="1"/>
      <c r="G300" s="1"/>
      <c r="H300" s="1"/>
      <c r="I300" s="1"/>
      <c r="J300" s="1"/>
      <c r="K300" s="1"/>
      <c r="P300" s="414"/>
      <c r="Q300" s="414"/>
      <c r="R300" s="414"/>
      <c r="S300" s="414"/>
      <c r="T300" s="414"/>
      <c r="U300" s="414"/>
    </row>
    <row r="301" spans="5:21" ht="15.6">
      <c r="E301" s="1"/>
      <c r="F301" s="1"/>
      <c r="G301" s="1"/>
      <c r="H301" s="1"/>
      <c r="I301" s="1"/>
      <c r="J301" s="1"/>
      <c r="K301" s="1"/>
      <c r="P301" s="414"/>
      <c r="Q301" s="414"/>
      <c r="R301" s="414"/>
      <c r="S301" s="414"/>
      <c r="T301" s="414"/>
      <c r="U301" s="414"/>
    </row>
    <row r="302" spans="5:21" ht="15.6">
      <c r="E302" s="1"/>
      <c r="F302" s="1"/>
      <c r="G302" s="1"/>
      <c r="H302" s="1"/>
      <c r="I302" s="1"/>
      <c r="J302" s="1"/>
      <c r="K302" s="1"/>
      <c r="P302" s="414"/>
      <c r="Q302" s="414"/>
      <c r="R302" s="414"/>
      <c r="S302" s="414"/>
      <c r="T302" s="414"/>
      <c r="U302" s="414"/>
    </row>
    <row r="303" spans="5:21" ht="15.6">
      <c r="E303" s="1"/>
      <c r="F303" s="1"/>
      <c r="G303" s="1"/>
      <c r="H303" s="1"/>
      <c r="I303" s="1"/>
      <c r="J303" s="1"/>
      <c r="K303" s="1"/>
      <c r="P303" s="414"/>
      <c r="Q303" s="414"/>
      <c r="R303" s="414"/>
      <c r="S303" s="414"/>
      <c r="T303" s="414"/>
      <c r="U303" s="414"/>
    </row>
    <row r="304" spans="5:21" ht="15.6">
      <c r="E304" s="1"/>
      <c r="F304" s="1"/>
      <c r="G304" s="1"/>
      <c r="H304" s="1"/>
      <c r="I304" s="1"/>
      <c r="J304" s="1"/>
      <c r="K304" s="1"/>
      <c r="P304" s="414"/>
      <c r="Q304" s="414"/>
      <c r="R304" s="414"/>
      <c r="S304" s="414"/>
      <c r="T304" s="414"/>
      <c r="U304" s="414"/>
    </row>
    <row r="305" spans="5:21" ht="15.6">
      <c r="E305" s="1"/>
      <c r="F305" s="1"/>
      <c r="G305" s="1"/>
      <c r="H305" s="1"/>
      <c r="I305" s="1"/>
      <c r="J305" s="1"/>
      <c r="K305" s="1"/>
      <c r="P305" s="414"/>
      <c r="Q305" s="414"/>
      <c r="R305" s="414"/>
      <c r="S305" s="414"/>
      <c r="T305" s="414"/>
      <c r="U305" s="414"/>
    </row>
    <row r="306" spans="5:21" ht="15.6">
      <c r="E306" s="1"/>
      <c r="F306" s="1"/>
      <c r="G306" s="1"/>
      <c r="H306" s="1"/>
      <c r="I306" s="1"/>
      <c r="J306" s="1"/>
      <c r="K306" s="1"/>
      <c r="P306" s="414"/>
      <c r="Q306" s="414"/>
      <c r="R306" s="414"/>
      <c r="S306" s="414"/>
      <c r="T306" s="414"/>
      <c r="U306" s="414"/>
    </row>
    <row r="307" spans="5:21" ht="15.6">
      <c r="E307" s="1"/>
      <c r="F307" s="1"/>
      <c r="G307" s="1"/>
      <c r="H307" s="1"/>
      <c r="I307" s="1"/>
      <c r="J307" s="1"/>
      <c r="K307" s="1"/>
      <c r="P307" s="414"/>
      <c r="Q307" s="414"/>
      <c r="R307" s="414"/>
      <c r="S307" s="414"/>
      <c r="T307" s="414"/>
      <c r="U307" s="414"/>
    </row>
    <row r="308" spans="5:21" ht="15.6">
      <c r="E308" s="1"/>
      <c r="F308" s="1"/>
      <c r="G308" s="1"/>
      <c r="H308" s="1"/>
      <c r="I308" s="1"/>
      <c r="J308" s="1"/>
      <c r="K308" s="1"/>
      <c r="P308" s="414"/>
      <c r="Q308" s="414"/>
      <c r="R308" s="414"/>
      <c r="S308" s="414"/>
      <c r="T308" s="414"/>
      <c r="U308" s="414"/>
    </row>
    <row r="309" spans="5:21" ht="15.6">
      <c r="E309" s="1"/>
      <c r="F309" s="1"/>
      <c r="G309" s="1"/>
      <c r="H309" s="1"/>
      <c r="I309" s="1"/>
      <c r="J309" s="1"/>
      <c r="K309" s="1"/>
      <c r="P309" s="414"/>
      <c r="Q309" s="414"/>
      <c r="R309" s="414"/>
      <c r="S309" s="414"/>
      <c r="T309" s="414"/>
      <c r="U309" s="414"/>
    </row>
    <row r="310" spans="5:21" ht="15.6">
      <c r="E310" s="1"/>
      <c r="F310" s="1"/>
      <c r="G310" s="1"/>
      <c r="H310" s="1"/>
      <c r="I310" s="1"/>
      <c r="J310" s="1"/>
      <c r="K310" s="1"/>
      <c r="P310" s="414"/>
      <c r="Q310" s="414"/>
      <c r="R310" s="414"/>
      <c r="S310" s="414"/>
      <c r="T310" s="414"/>
      <c r="U310" s="414"/>
    </row>
    <row r="311" spans="5:21" ht="15.6">
      <c r="E311" s="1"/>
      <c r="F311" s="1"/>
      <c r="G311" s="1"/>
      <c r="H311" s="1"/>
      <c r="I311" s="1"/>
      <c r="J311" s="1"/>
      <c r="K311" s="1"/>
      <c r="P311" s="414"/>
      <c r="Q311" s="414"/>
      <c r="R311" s="414"/>
      <c r="S311" s="414"/>
      <c r="T311" s="414"/>
      <c r="U311" s="414"/>
    </row>
    <row r="312" spans="5:21" ht="15.6">
      <c r="E312" s="1"/>
      <c r="F312" s="1"/>
      <c r="G312" s="1"/>
      <c r="H312" s="1"/>
      <c r="I312" s="1"/>
      <c r="J312" s="1"/>
      <c r="K312" s="1"/>
      <c r="P312" s="414"/>
      <c r="Q312" s="414"/>
      <c r="R312" s="414"/>
      <c r="S312" s="414"/>
      <c r="T312" s="414"/>
      <c r="U312" s="414"/>
    </row>
    <row r="313" spans="5:21" ht="15.6">
      <c r="E313" s="1"/>
      <c r="F313" s="1"/>
      <c r="G313" s="1"/>
      <c r="H313" s="1"/>
      <c r="I313" s="1"/>
      <c r="J313" s="1"/>
      <c r="K313" s="1"/>
      <c r="P313" s="414"/>
      <c r="Q313" s="414"/>
      <c r="R313" s="414"/>
      <c r="S313" s="414"/>
      <c r="T313" s="414"/>
      <c r="U313" s="414"/>
    </row>
    <row r="314" spans="5:21" ht="15.6">
      <c r="E314" s="1"/>
      <c r="F314" s="1"/>
      <c r="G314" s="1"/>
      <c r="H314" s="1"/>
      <c r="I314" s="1"/>
      <c r="J314" s="1"/>
      <c r="K314" s="1"/>
      <c r="P314" s="414"/>
      <c r="Q314" s="414"/>
      <c r="R314" s="414"/>
      <c r="S314" s="414"/>
      <c r="T314" s="414"/>
      <c r="U314" s="414"/>
    </row>
    <row r="315" spans="5:21" ht="15.6">
      <c r="E315" s="1"/>
      <c r="F315" s="1"/>
      <c r="G315" s="1"/>
      <c r="H315" s="1"/>
      <c r="I315" s="1"/>
      <c r="J315" s="1"/>
      <c r="K315" s="1"/>
      <c r="P315" s="414"/>
      <c r="Q315" s="414"/>
      <c r="R315" s="414"/>
      <c r="S315" s="414"/>
      <c r="T315" s="414"/>
      <c r="U315" s="414"/>
    </row>
    <row r="316" spans="5:21" ht="15.6">
      <c r="E316" s="1"/>
      <c r="F316" s="1"/>
      <c r="G316" s="1"/>
      <c r="H316" s="1"/>
      <c r="I316" s="1"/>
      <c r="J316" s="1"/>
      <c r="K316" s="1"/>
      <c r="P316" s="414"/>
      <c r="Q316" s="414"/>
      <c r="R316" s="414"/>
      <c r="S316" s="414"/>
      <c r="T316" s="414"/>
      <c r="U316" s="414"/>
    </row>
    <row r="317" spans="5:21" ht="15.6">
      <c r="E317" s="1"/>
      <c r="F317" s="1"/>
      <c r="G317" s="1"/>
      <c r="H317" s="1"/>
      <c r="I317" s="1"/>
      <c r="J317" s="1"/>
      <c r="K317" s="1"/>
      <c r="P317" s="414"/>
      <c r="Q317" s="414"/>
      <c r="R317" s="414"/>
      <c r="S317" s="414"/>
      <c r="T317" s="414"/>
      <c r="U317" s="414"/>
    </row>
    <row r="318" spans="5:21" ht="15.6">
      <c r="E318" s="1"/>
      <c r="F318" s="1"/>
      <c r="G318" s="1"/>
      <c r="H318" s="1"/>
      <c r="I318" s="1"/>
      <c r="J318" s="1"/>
      <c r="K318" s="1"/>
      <c r="P318" s="414"/>
      <c r="Q318" s="414"/>
      <c r="R318" s="414"/>
      <c r="S318" s="414"/>
      <c r="T318" s="414"/>
      <c r="U318" s="414"/>
    </row>
    <row r="319" spans="5:21" ht="15.6">
      <c r="E319" s="1"/>
      <c r="F319" s="1"/>
      <c r="G319" s="1"/>
      <c r="H319" s="1"/>
      <c r="I319" s="1"/>
      <c r="J319" s="1"/>
      <c r="K319" s="1"/>
      <c r="P319" s="414"/>
      <c r="Q319" s="414"/>
      <c r="R319" s="414"/>
      <c r="S319" s="414"/>
      <c r="T319" s="414"/>
      <c r="U319" s="414"/>
    </row>
    <row r="320" spans="5:21" ht="15.6">
      <c r="E320" s="1"/>
      <c r="F320" s="1"/>
      <c r="G320" s="1"/>
      <c r="H320" s="1"/>
      <c r="I320" s="1"/>
      <c r="J320" s="1"/>
      <c r="K320" s="1"/>
      <c r="P320" s="414"/>
      <c r="Q320" s="414"/>
      <c r="R320" s="414"/>
      <c r="S320" s="414"/>
      <c r="T320" s="414"/>
      <c r="U320" s="414"/>
    </row>
    <row r="321" spans="5:21" ht="15.6">
      <c r="E321" s="1"/>
      <c r="F321" s="1"/>
      <c r="G321" s="1"/>
      <c r="H321" s="1"/>
      <c r="I321" s="1"/>
      <c r="J321" s="1"/>
      <c r="K321" s="1"/>
      <c r="P321" s="414"/>
      <c r="Q321" s="414"/>
      <c r="R321" s="414"/>
      <c r="S321" s="414"/>
      <c r="T321" s="414"/>
      <c r="U321" s="414"/>
    </row>
    <row r="322" spans="5:21" ht="15.6">
      <c r="E322" s="1"/>
      <c r="F322" s="1"/>
      <c r="G322" s="1"/>
      <c r="H322" s="1"/>
      <c r="I322" s="1"/>
      <c r="J322" s="1"/>
      <c r="K322" s="1"/>
      <c r="P322" s="414"/>
      <c r="Q322" s="414"/>
      <c r="R322" s="414"/>
      <c r="S322" s="414"/>
      <c r="T322" s="414"/>
      <c r="U322" s="414"/>
    </row>
    <row r="323" spans="5:21" ht="15.6">
      <c r="E323" s="1"/>
      <c r="F323" s="1"/>
      <c r="G323" s="1"/>
      <c r="H323" s="1"/>
      <c r="I323" s="1"/>
      <c r="J323" s="1"/>
      <c r="K323" s="1"/>
      <c r="P323" s="414"/>
      <c r="Q323" s="414"/>
      <c r="R323" s="414"/>
      <c r="S323" s="414"/>
      <c r="T323" s="414"/>
      <c r="U323" s="414"/>
    </row>
    <row r="324" spans="5:21" ht="15.6">
      <c r="E324" s="1"/>
      <c r="F324" s="1"/>
      <c r="G324" s="1"/>
      <c r="H324" s="1"/>
      <c r="I324" s="1"/>
      <c r="J324" s="1"/>
      <c r="K324" s="1"/>
      <c r="P324" s="414"/>
      <c r="Q324" s="414"/>
      <c r="R324" s="414"/>
      <c r="S324" s="414"/>
      <c r="T324" s="414"/>
      <c r="U324" s="414"/>
    </row>
    <row r="325" spans="5:21" ht="15.6">
      <c r="E325" s="1"/>
      <c r="F325" s="1"/>
      <c r="G325" s="1"/>
      <c r="H325" s="1"/>
      <c r="I325" s="1"/>
      <c r="J325" s="1"/>
      <c r="K325" s="1"/>
      <c r="P325" s="414"/>
      <c r="Q325" s="414"/>
      <c r="R325" s="414"/>
      <c r="S325" s="414"/>
      <c r="T325" s="414"/>
      <c r="U325" s="414"/>
    </row>
    <row r="326" spans="5:21" ht="15.6">
      <c r="E326" s="1"/>
      <c r="F326" s="1"/>
      <c r="G326" s="1"/>
      <c r="H326" s="1"/>
      <c r="I326" s="1"/>
      <c r="J326" s="1"/>
      <c r="K326" s="1"/>
      <c r="P326" s="414"/>
      <c r="Q326" s="414"/>
      <c r="R326" s="414"/>
      <c r="S326" s="414"/>
      <c r="T326" s="414"/>
      <c r="U326" s="414"/>
    </row>
    <row r="327" spans="5:21" ht="15.6">
      <c r="E327" s="1"/>
      <c r="F327" s="1"/>
      <c r="G327" s="1"/>
      <c r="H327" s="1"/>
      <c r="I327" s="1"/>
      <c r="J327" s="1"/>
      <c r="K327" s="1"/>
      <c r="P327" s="414"/>
      <c r="Q327" s="414"/>
      <c r="R327" s="414"/>
      <c r="S327" s="414"/>
      <c r="T327" s="414"/>
      <c r="U327" s="414"/>
    </row>
    <row r="328" spans="5:21" ht="15.6">
      <c r="E328" s="1"/>
      <c r="F328" s="1"/>
      <c r="G328" s="1"/>
      <c r="H328" s="1"/>
      <c r="I328" s="1"/>
      <c r="J328" s="1"/>
      <c r="K328" s="1"/>
      <c r="P328" s="414"/>
      <c r="Q328" s="414"/>
      <c r="R328" s="414"/>
      <c r="S328" s="414"/>
      <c r="T328" s="414"/>
      <c r="U328" s="414"/>
    </row>
    <row r="329" spans="5:21" ht="15.6">
      <c r="E329" s="1"/>
      <c r="F329" s="1"/>
      <c r="G329" s="1"/>
      <c r="H329" s="1"/>
      <c r="I329" s="1"/>
      <c r="J329" s="1"/>
      <c r="K329" s="1"/>
      <c r="P329" s="414"/>
      <c r="Q329" s="414"/>
      <c r="R329" s="414"/>
      <c r="S329" s="414"/>
      <c r="T329" s="414"/>
      <c r="U329" s="414"/>
    </row>
    <row r="330" spans="5:21" ht="15.6">
      <c r="E330" s="1"/>
      <c r="F330" s="1"/>
      <c r="G330" s="1"/>
      <c r="H330" s="1"/>
      <c r="I330" s="1"/>
      <c r="J330" s="1"/>
      <c r="K330" s="1"/>
      <c r="P330" s="414"/>
      <c r="Q330" s="414"/>
      <c r="R330" s="414"/>
      <c r="S330" s="414"/>
      <c r="T330" s="414"/>
      <c r="U330" s="414"/>
    </row>
    <row r="331" spans="5:21" ht="15.6">
      <c r="E331" s="1"/>
      <c r="F331" s="1"/>
      <c r="G331" s="1"/>
      <c r="H331" s="1"/>
      <c r="I331" s="1"/>
      <c r="J331" s="1"/>
      <c r="K331" s="1"/>
      <c r="P331" s="414"/>
      <c r="Q331" s="414"/>
      <c r="R331" s="414"/>
      <c r="S331" s="414"/>
      <c r="T331" s="414"/>
      <c r="U331" s="414"/>
    </row>
    <row r="332" spans="5:21" ht="15.6">
      <c r="E332" s="1"/>
      <c r="F332" s="1"/>
      <c r="G332" s="1"/>
      <c r="H332" s="1"/>
      <c r="I332" s="1"/>
      <c r="J332" s="1"/>
      <c r="K332" s="1"/>
      <c r="P332" s="414"/>
      <c r="Q332" s="414"/>
      <c r="R332" s="414"/>
      <c r="S332" s="414"/>
      <c r="T332" s="414"/>
      <c r="U332" s="414"/>
    </row>
    <row r="333" spans="5:21" ht="15.6">
      <c r="E333" s="1"/>
      <c r="F333" s="1"/>
      <c r="G333" s="1"/>
      <c r="H333" s="1"/>
      <c r="I333" s="1"/>
      <c r="J333" s="1"/>
      <c r="K333" s="1"/>
      <c r="P333" s="414"/>
      <c r="Q333" s="414"/>
      <c r="R333" s="414"/>
      <c r="S333" s="414"/>
      <c r="T333" s="414"/>
      <c r="U333" s="414"/>
    </row>
    <row r="334" spans="5:21" ht="15.6">
      <c r="E334" s="1"/>
      <c r="F334" s="1"/>
      <c r="G334" s="1"/>
      <c r="H334" s="1"/>
      <c r="I334" s="1"/>
      <c r="J334" s="1"/>
      <c r="K334" s="1"/>
      <c r="P334" s="414"/>
      <c r="Q334" s="414"/>
      <c r="R334" s="414"/>
      <c r="S334" s="414"/>
      <c r="T334" s="414"/>
      <c r="U334" s="414"/>
    </row>
    <row r="335" spans="5:21" ht="15.6">
      <c r="E335" s="1"/>
      <c r="F335" s="1"/>
      <c r="G335" s="1"/>
      <c r="H335" s="1"/>
      <c r="I335" s="1"/>
      <c r="J335" s="1"/>
      <c r="K335" s="1"/>
      <c r="P335" s="414"/>
      <c r="Q335" s="414"/>
      <c r="R335" s="414"/>
      <c r="S335" s="414"/>
      <c r="T335" s="414"/>
      <c r="U335" s="414"/>
    </row>
    <row r="336" spans="5:21" ht="15.6">
      <c r="E336" s="1"/>
      <c r="F336" s="1"/>
      <c r="G336" s="1"/>
      <c r="H336" s="1"/>
      <c r="I336" s="1"/>
      <c r="J336" s="1"/>
      <c r="K336" s="1"/>
      <c r="P336" s="414"/>
      <c r="Q336" s="414"/>
      <c r="R336" s="414"/>
      <c r="S336" s="414"/>
      <c r="T336" s="414"/>
      <c r="U336" s="414"/>
    </row>
    <row r="337" spans="5:21" ht="15.6">
      <c r="E337" s="1"/>
      <c r="F337" s="1"/>
      <c r="G337" s="1"/>
      <c r="H337" s="1"/>
      <c r="I337" s="1"/>
      <c r="J337" s="1"/>
      <c r="K337" s="1"/>
      <c r="P337" s="414"/>
      <c r="Q337" s="414"/>
      <c r="R337" s="414"/>
      <c r="S337" s="414"/>
      <c r="T337" s="414"/>
      <c r="U337" s="414"/>
    </row>
    <row r="338" spans="5:21" ht="15.6">
      <c r="E338" s="1"/>
      <c r="F338" s="1"/>
      <c r="G338" s="1"/>
      <c r="H338" s="1"/>
      <c r="I338" s="1"/>
      <c r="J338" s="1"/>
      <c r="K338" s="1"/>
      <c r="P338" s="414"/>
      <c r="Q338" s="414"/>
      <c r="R338" s="414"/>
      <c r="S338" s="414"/>
      <c r="T338" s="414"/>
      <c r="U338" s="414"/>
    </row>
    <row r="339" spans="5:21" ht="15.6">
      <c r="E339" s="1"/>
      <c r="F339" s="1"/>
      <c r="G339" s="1"/>
      <c r="H339" s="1"/>
      <c r="I339" s="1"/>
      <c r="J339" s="1"/>
      <c r="K339" s="1"/>
      <c r="P339" s="414"/>
      <c r="Q339" s="414"/>
      <c r="R339" s="414"/>
      <c r="S339" s="414"/>
      <c r="T339" s="414"/>
      <c r="U339" s="414"/>
    </row>
    <row r="340" spans="5:21" ht="15.6">
      <c r="E340" s="1"/>
      <c r="F340" s="1"/>
      <c r="G340" s="1"/>
      <c r="H340" s="1"/>
      <c r="I340" s="1"/>
      <c r="J340" s="1"/>
      <c r="K340" s="1"/>
      <c r="P340" s="414"/>
      <c r="Q340" s="414"/>
      <c r="R340" s="414"/>
      <c r="S340" s="414"/>
      <c r="T340" s="414"/>
      <c r="U340" s="414"/>
    </row>
    <row r="341" spans="5:21" ht="15.6">
      <c r="E341" s="1"/>
      <c r="F341" s="1"/>
      <c r="G341" s="1"/>
      <c r="H341" s="1"/>
      <c r="I341" s="1"/>
      <c r="J341" s="1"/>
      <c r="K341" s="1"/>
      <c r="P341" s="414"/>
      <c r="Q341" s="414"/>
      <c r="R341" s="414"/>
      <c r="S341" s="414"/>
      <c r="T341" s="414"/>
      <c r="U341" s="414"/>
    </row>
    <row r="342" spans="5:21" ht="15.6">
      <c r="E342" s="1"/>
      <c r="F342" s="1"/>
      <c r="G342" s="1"/>
      <c r="H342" s="1"/>
      <c r="I342" s="1"/>
      <c r="J342" s="1"/>
      <c r="K342" s="1"/>
      <c r="P342" s="414"/>
      <c r="Q342" s="414"/>
      <c r="R342" s="414"/>
      <c r="S342" s="414"/>
      <c r="T342" s="414"/>
      <c r="U342" s="414"/>
    </row>
    <row r="343" spans="5:21" ht="15.6">
      <c r="E343" s="1"/>
      <c r="F343" s="1"/>
      <c r="G343" s="1"/>
      <c r="H343" s="1"/>
      <c r="I343" s="1"/>
      <c r="J343" s="1"/>
      <c r="K343" s="1"/>
      <c r="P343" s="414"/>
      <c r="Q343" s="414"/>
      <c r="R343" s="414"/>
      <c r="S343" s="414"/>
      <c r="T343" s="414"/>
      <c r="U343" s="414"/>
    </row>
    <row r="344" spans="5:21" ht="15.6">
      <c r="E344" s="1"/>
      <c r="F344" s="1"/>
      <c r="G344" s="1"/>
      <c r="H344" s="1"/>
      <c r="I344" s="1"/>
      <c r="J344" s="1"/>
      <c r="K344" s="1"/>
      <c r="P344" s="414"/>
      <c r="Q344" s="414"/>
      <c r="R344" s="414"/>
      <c r="S344" s="414"/>
      <c r="T344" s="414"/>
      <c r="U344" s="414"/>
    </row>
    <row r="345" spans="5:21" ht="15.6">
      <c r="E345" s="1"/>
      <c r="F345" s="1"/>
      <c r="G345" s="1"/>
      <c r="H345" s="1"/>
      <c r="I345" s="1"/>
      <c r="J345" s="1"/>
      <c r="K345" s="1"/>
      <c r="P345" s="414"/>
      <c r="Q345" s="414"/>
      <c r="R345" s="414"/>
      <c r="S345" s="414"/>
      <c r="T345" s="414"/>
      <c r="U345" s="414"/>
    </row>
    <row r="346" spans="5:21" ht="15.6">
      <c r="E346" s="1"/>
      <c r="F346" s="1"/>
      <c r="G346" s="1"/>
      <c r="H346" s="1"/>
      <c r="I346" s="1"/>
      <c r="J346" s="1"/>
      <c r="K346" s="1"/>
      <c r="P346" s="414"/>
      <c r="Q346" s="414"/>
      <c r="R346" s="414"/>
      <c r="S346" s="414"/>
      <c r="T346" s="414"/>
      <c r="U346" s="414"/>
    </row>
    <row r="347" spans="5:21" ht="15.6">
      <c r="E347" s="1"/>
      <c r="F347" s="1"/>
      <c r="G347" s="1"/>
      <c r="H347" s="1"/>
      <c r="I347" s="1"/>
      <c r="J347" s="1"/>
      <c r="K347" s="1"/>
      <c r="P347" s="414"/>
      <c r="Q347" s="414"/>
      <c r="R347" s="414"/>
      <c r="S347" s="414"/>
      <c r="T347" s="414"/>
      <c r="U347" s="414"/>
    </row>
    <row r="348" spans="5:21" ht="15.6">
      <c r="E348" s="1"/>
      <c r="F348" s="1"/>
      <c r="G348" s="1"/>
      <c r="H348" s="1"/>
      <c r="I348" s="1"/>
      <c r="J348" s="1"/>
      <c r="K348" s="1"/>
      <c r="P348" s="414"/>
      <c r="Q348" s="414"/>
      <c r="R348" s="414"/>
      <c r="S348" s="414"/>
      <c r="T348" s="414"/>
      <c r="U348" s="414"/>
    </row>
    <row r="349" spans="5:21" ht="15.6">
      <c r="E349" s="1"/>
      <c r="F349" s="1"/>
      <c r="G349" s="1"/>
      <c r="H349" s="1"/>
      <c r="I349" s="1"/>
      <c r="J349" s="1"/>
      <c r="K349" s="1"/>
      <c r="P349" s="414"/>
      <c r="Q349" s="414"/>
      <c r="R349" s="414"/>
      <c r="S349" s="414"/>
      <c r="T349" s="414"/>
      <c r="U349" s="414"/>
    </row>
    <row r="350" spans="5:21" ht="15.6">
      <c r="E350" s="1"/>
      <c r="F350" s="1"/>
      <c r="G350" s="1"/>
      <c r="H350" s="1"/>
      <c r="I350" s="1"/>
      <c r="J350" s="1"/>
      <c r="K350" s="1"/>
      <c r="P350" s="414"/>
      <c r="Q350" s="414"/>
      <c r="R350" s="414"/>
      <c r="S350" s="414"/>
      <c r="T350" s="414"/>
      <c r="U350" s="414"/>
    </row>
    <row r="351" spans="5:21" ht="15.6">
      <c r="E351" s="1"/>
      <c r="F351" s="1"/>
      <c r="G351" s="1"/>
      <c r="H351" s="1"/>
      <c r="I351" s="1"/>
      <c r="J351" s="1"/>
      <c r="K351" s="1"/>
      <c r="P351" s="414"/>
      <c r="Q351" s="414"/>
      <c r="R351" s="414"/>
      <c r="S351" s="414"/>
      <c r="T351" s="414"/>
      <c r="U351" s="414"/>
    </row>
    <row r="352" spans="5:21" ht="15.6">
      <c r="E352" s="1"/>
      <c r="F352" s="1"/>
      <c r="G352" s="1"/>
      <c r="H352" s="1"/>
      <c r="I352" s="1"/>
      <c r="J352" s="1"/>
      <c r="K352" s="1"/>
      <c r="P352" s="414"/>
      <c r="Q352" s="414"/>
      <c r="R352" s="414"/>
      <c r="S352" s="414"/>
      <c r="T352" s="414"/>
      <c r="U352" s="414"/>
    </row>
    <row r="353" spans="5:21" ht="15.6">
      <c r="E353" s="1"/>
      <c r="F353" s="1"/>
      <c r="G353" s="1"/>
      <c r="H353" s="1"/>
      <c r="I353" s="1"/>
      <c r="J353" s="1"/>
      <c r="K353" s="1"/>
      <c r="P353" s="414"/>
      <c r="Q353" s="414"/>
      <c r="R353" s="414"/>
      <c r="S353" s="414"/>
      <c r="T353" s="414"/>
      <c r="U353" s="414"/>
    </row>
    <row r="354" spans="5:21" ht="15.6">
      <c r="E354" s="1"/>
      <c r="F354" s="1"/>
      <c r="G354" s="1"/>
      <c r="H354" s="1"/>
      <c r="I354" s="1"/>
      <c r="J354" s="1"/>
      <c r="K354" s="1"/>
      <c r="P354" s="414"/>
      <c r="Q354" s="414"/>
      <c r="R354" s="414"/>
      <c r="S354" s="414"/>
      <c r="T354" s="414"/>
      <c r="U354" s="414"/>
    </row>
    <row r="355" spans="5:21" ht="15.6">
      <c r="E355" s="1"/>
      <c r="F355" s="1"/>
      <c r="G355" s="1"/>
      <c r="H355" s="1"/>
      <c r="I355" s="1"/>
      <c r="J355" s="1"/>
      <c r="K355" s="1"/>
      <c r="P355" s="414"/>
      <c r="Q355" s="414"/>
      <c r="R355" s="414"/>
      <c r="S355" s="414"/>
      <c r="T355" s="414"/>
      <c r="U355" s="414"/>
    </row>
    <row r="356" spans="5:21" ht="15.6">
      <c r="E356" s="1"/>
      <c r="F356" s="1"/>
      <c r="G356" s="1"/>
      <c r="H356" s="1"/>
      <c r="I356" s="1"/>
      <c r="J356" s="1"/>
      <c r="K356" s="1"/>
      <c r="P356" s="414"/>
      <c r="Q356" s="414"/>
      <c r="R356" s="414"/>
      <c r="S356" s="414"/>
      <c r="T356" s="414"/>
      <c r="U356" s="414"/>
    </row>
    <row r="357" spans="5:21" ht="15.6">
      <c r="E357" s="1"/>
      <c r="F357" s="1"/>
      <c r="G357" s="1"/>
      <c r="H357" s="1"/>
      <c r="I357" s="1"/>
      <c r="J357" s="1"/>
      <c r="K357" s="1"/>
      <c r="P357" s="414"/>
      <c r="Q357" s="414"/>
      <c r="R357" s="414"/>
      <c r="S357" s="414"/>
      <c r="T357" s="414"/>
      <c r="U357" s="414"/>
    </row>
    <row r="358" spans="5:21" ht="15.6">
      <c r="E358" s="1"/>
      <c r="F358" s="1"/>
      <c r="G358" s="1"/>
      <c r="H358" s="1"/>
      <c r="I358" s="1"/>
      <c r="J358" s="1"/>
      <c r="K358" s="1"/>
      <c r="P358" s="414"/>
      <c r="Q358" s="414"/>
      <c r="R358" s="414"/>
      <c r="S358" s="414"/>
      <c r="T358" s="414"/>
      <c r="U358" s="414"/>
    </row>
    <row r="359" spans="5:21" ht="15.6">
      <c r="E359" s="1"/>
      <c r="F359" s="1"/>
      <c r="G359" s="1"/>
      <c r="H359" s="1"/>
      <c r="I359" s="1"/>
      <c r="J359" s="1"/>
      <c r="K359" s="1"/>
      <c r="P359" s="414"/>
      <c r="Q359" s="414"/>
      <c r="R359" s="414"/>
      <c r="S359" s="414"/>
      <c r="T359" s="414"/>
      <c r="U359" s="414"/>
    </row>
    <row r="360" spans="5:21" ht="15.6">
      <c r="E360" s="1"/>
      <c r="F360" s="1"/>
      <c r="G360" s="1"/>
      <c r="H360" s="1"/>
      <c r="I360" s="1"/>
      <c r="J360" s="1"/>
      <c r="K360" s="1"/>
      <c r="P360" s="414"/>
      <c r="Q360" s="414"/>
      <c r="R360" s="414"/>
      <c r="S360" s="414"/>
      <c r="T360" s="414"/>
      <c r="U360" s="414"/>
    </row>
    <row r="361" spans="5:21" ht="15.6">
      <c r="E361" s="1"/>
      <c r="F361" s="1"/>
      <c r="G361" s="1"/>
      <c r="H361" s="1"/>
      <c r="I361" s="1"/>
      <c r="J361" s="1"/>
      <c r="K361" s="1"/>
      <c r="P361" s="414"/>
      <c r="Q361" s="414"/>
      <c r="R361" s="414"/>
      <c r="S361" s="414"/>
      <c r="T361" s="414"/>
      <c r="U361" s="414"/>
    </row>
    <row r="362" spans="5:21" ht="15.6">
      <c r="E362" s="1"/>
      <c r="F362" s="1"/>
      <c r="G362" s="1"/>
      <c r="H362" s="1"/>
      <c r="I362" s="1"/>
      <c r="J362" s="1"/>
      <c r="K362" s="1"/>
      <c r="P362" s="414"/>
      <c r="Q362" s="414"/>
      <c r="R362" s="414"/>
      <c r="S362" s="414"/>
      <c r="T362" s="414"/>
      <c r="U362" s="414"/>
    </row>
    <row r="363" spans="5:21" ht="15.6">
      <c r="E363" s="1"/>
      <c r="F363" s="1"/>
      <c r="G363" s="1"/>
      <c r="H363" s="1"/>
      <c r="I363" s="1"/>
      <c r="J363" s="1"/>
      <c r="K363" s="1"/>
      <c r="P363" s="414"/>
      <c r="Q363" s="414"/>
      <c r="R363" s="414"/>
      <c r="S363" s="414"/>
      <c r="T363" s="414"/>
      <c r="U363" s="414"/>
    </row>
    <row r="364" spans="5:21" ht="15.6">
      <c r="E364" s="1"/>
      <c r="F364" s="1"/>
      <c r="G364" s="1"/>
      <c r="H364" s="1"/>
      <c r="I364" s="1"/>
      <c r="J364" s="1"/>
      <c r="K364" s="1"/>
      <c r="P364" s="414"/>
      <c r="Q364" s="414"/>
      <c r="R364" s="414"/>
      <c r="S364" s="414"/>
      <c r="T364" s="414"/>
      <c r="U364" s="414"/>
    </row>
    <row r="365" spans="5:21" ht="15.6">
      <c r="E365" s="1"/>
      <c r="F365" s="1"/>
      <c r="G365" s="1"/>
      <c r="H365" s="1"/>
      <c r="I365" s="1"/>
      <c r="J365" s="1"/>
      <c r="K365" s="1"/>
      <c r="P365" s="414"/>
      <c r="Q365" s="414"/>
      <c r="R365" s="414"/>
      <c r="S365" s="414"/>
      <c r="T365" s="414"/>
      <c r="U365" s="414"/>
    </row>
    <row r="366" spans="5:21" ht="15.6">
      <c r="E366" s="1"/>
      <c r="F366" s="1"/>
      <c r="G366" s="1"/>
      <c r="H366" s="1"/>
      <c r="I366" s="1"/>
      <c r="J366" s="1"/>
      <c r="K366" s="1"/>
      <c r="P366" s="414"/>
      <c r="Q366" s="414"/>
      <c r="R366" s="414"/>
      <c r="S366" s="414"/>
      <c r="T366" s="414"/>
      <c r="U366" s="414"/>
    </row>
    <row r="367" spans="5:21" ht="15.6">
      <c r="E367" s="1"/>
      <c r="F367" s="1"/>
      <c r="G367" s="1"/>
      <c r="H367" s="1"/>
      <c r="I367" s="1"/>
      <c r="J367" s="1"/>
      <c r="K367" s="1"/>
      <c r="P367" s="414"/>
      <c r="Q367" s="414"/>
      <c r="R367" s="414"/>
      <c r="S367" s="414"/>
      <c r="T367" s="414"/>
      <c r="U367" s="414"/>
    </row>
    <row r="368" spans="5:21" ht="15.6">
      <c r="E368" s="1"/>
      <c r="F368" s="1"/>
      <c r="G368" s="1"/>
      <c r="H368" s="1"/>
      <c r="I368" s="1"/>
      <c r="J368" s="1"/>
      <c r="K368" s="1"/>
      <c r="P368" s="414"/>
      <c r="Q368" s="414"/>
      <c r="R368" s="414"/>
      <c r="S368" s="414"/>
      <c r="T368" s="414"/>
      <c r="U368" s="414"/>
    </row>
    <row r="369" spans="5:21" ht="15.6">
      <c r="E369" s="1"/>
      <c r="F369" s="1"/>
      <c r="G369" s="1"/>
      <c r="H369" s="1"/>
      <c r="I369" s="1"/>
      <c r="J369" s="1"/>
      <c r="K369" s="1"/>
      <c r="P369" s="414"/>
      <c r="Q369" s="414"/>
      <c r="R369" s="414"/>
      <c r="S369" s="414"/>
      <c r="T369" s="414"/>
      <c r="U369" s="414"/>
    </row>
    <row r="370" spans="5:21" ht="15.6">
      <c r="E370" s="1"/>
      <c r="F370" s="1"/>
      <c r="G370" s="1"/>
      <c r="H370" s="1"/>
      <c r="I370" s="1"/>
      <c r="J370" s="1"/>
      <c r="K370" s="1"/>
      <c r="P370" s="414"/>
      <c r="Q370" s="414"/>
      <c r="R370" s="414"/>
      <c r="S370" s="414"/>
      <c r="T370" s="414"/>
      <c r="U370" s="414"/>
    </row>
    <row r="371" spans="5:21" ht="15.6">
      <c r="E371" s="1"/>
      <c r="F371" s="1"/>
      <c r="G371" s="1"/>
      <c r="H371" s="1"/>
      <c r="I371" s="1"/>
      <c r="J371" s="1"/>
      <c r="K371" s="1"/>
      <c r="P371" s="414"/>
      <c r="Q371" s="414"/>
      <c r="R371" s="414"/>
      <c r="S371" s="414"/>
      <c r="T371" s="414"/>
      <c r="U371" s="414"/>
    </row>
    <row r="372" spans="5:21" ht="15.6">
      <c r="E372" s="1"/>
      <c r="F372" s="1"/>
      <c r="G372" s="1"/>
      <c r="H372" s="1"/>
      <c r="I372" s="1"/>
      <c r="J372" s="1"/>
      <c r="K372" s="1"/>
      <c r="P372" s="414"/>
      <c r="Q372" s="414"/>
      <c r="R372" s="414"/>
      <c r="S372" s="414"/>
      <c r="T372" s="414"/>
      <c r="U372" s="414"/>
    </row>
    <row r="373" spans="5:21" ht="15.6">
      <c r="E373" s="1"/>
      <c r="F373" s="1"/>
      <c r="G373" s="1"/>
      <c r="H373" s="1"/>
      <c r="I373" s="1"/>
      <c r="J373" s="1"/>
      <c r="K373" s="1"/>
      <c r="P373" s="414"/>
      <c r="Q373" s="414"/>
      <c r="R373" s="414"/>
      <c r="S373" s="414"/>
      <c r="T373" s="414"/>
      <c r="U373" s="414"/>
    </row>
    <row r="374" spans="5:21" ht="15.6">
      <c r="E374" s="1"/>
      <c r="F374" s="1"/>
      <c r="G374" s="1"/>
      <c r="H374" s="1"/>
      <c r="I374" s="1"/>
      <c r="J374" s="1"/>
      <c r="K374" s="1"/>
      <c r="P374" s="414"/>
      <c r="Q374" s="414"/>
      <c r="R374" s="414"/>
      <c r="S374" s="414"/>
      <c r="T374" s="414"/>
      <c r="U374" s="414"/>
    </row>
    <row r="375" spans="5:21" ht="15.6">
      <c r="E375" s="1"/>
      <c r="F375" s="1"/>
      <c r="G375" s="1"/>
      <c r="H375" s="1"/>
      <c r="I375" s="1"/>
      <c r="J375" s="1"/>
      <c r="K375" s="1"/>
      <c r="P375" s="414"/>
      <c r="Q375" s="414"/>
      <c r="R375" s="414"/>
      <c r="S375" s="414"/>
      <c r="T375" s="414"/>
      <c r="U375" s="414"/>
    </row>
    <row r="376" spans="5:21" ht="15.6">
      <c r="E376" s="1"/>
      <c r="F376" s="1"/>
      <c r="G376" s="1"/>
      <c r="H376" s="1"/>
      <c r="I376" s="1"/>
      <c r="J376" s="1"/>
      <c r="K376" s="1"/>
      <c r="P376" s="414"/>
      <c r="Q376" s="414"/>
      <c r="R376" s="414"/>
      <c r="S376" s="414"/>
      <c r="T376" s="414"/>
      <c r="U376" s="414"/>
    </row>
    <row r="377" spans="5:21" ht="15.6">
      <c r="E377" s="1"/>
      <c r="F377" s="1"/>
      <c r="G377" s="1"/>
      <c r="H377" s="1"/>
      <c r="I377" s="1"/>
      <c r="J377" s="1"/>
      <c r="K377" s="1"/>
      <c r="P377" s="414"/>
      <c r="Q377" s="414"/>
      <c r="R377" s="414"/>
      <c r="S377" s="414"/>
      <c r="T377" s="414"/>
      <c r="U377" s="414"/>
    </row>
    <row r="378" spans="5:21" ht="15.6">
      <c r="E378" s="1"/>
      <c r="F378" s="1"/>
      <c r="G378" s="1"/>
      <c r="H378" s="1"/>
      <c r="I378" s="1"/>
      <c r="J378" s="1"/>
      <c r="K378" s="1"/>
      <c r="P378" s="414"/>
      <c r="Q378" s="414"/>
      <c r="R378" s="414"/>
      <c r="S378" s="414"/>
      <c r="T378" s="414"/>
      <c r="U378" s="414"/>
    </row>
    <row r="379" spans="5:21" ht="15.6">
      <c r="E379" s="1"/>
      <c r="F379" s="1"/>
      <c r="G379" s="1"/>
      <c r="H379" s="1"/>
      <c r="I379" s="1"/>
      <c r="J379" s="1"/>
      <c r="K379" s="1"/>
      <c r="P379" s="414"/>
      <c r="Q379" s="414"/>
      <c r="R379" s="414"/>
      <c r="S379" s="414"/>
      <c r="T379" s="414"/>
      <c r="U379" s="414"/>
    </row>
    <row r="380" spans="5:21" ht="15.6">
      <c r="E380" s="1"/>
      <c r="F380" s="1"/>
      <c r="G380" s="1"/>
      <c r="H380" s="1"/>
      <c r="I380" s="1"/>
      <c r="J380" s="1"/>
      <c r="K380" s="1"/>
      <c r="P380" s="414"/>
      <c r="Q380" s="414"/>
      <c r="R380" s="414"/>
      <c r="S380" s="414"/>
      <c r="T380" s="414"/>
      <c r="U380" s="414"/>
    </row>
    <row r="381" spans="5:21" ht="15.6">
      <c r="E381" s="1"/>
      <c r="F381" s="1"/>
      <c r="G381" s="1"/>
      <c r="H381" s="1"/>
      <c r="I381" s="1"/>
      <c r="J381" s="1"/>
      <c r="K381" s="1"/>
      <c r="P381" s="414"/>
      <c r="Q381" s="414"/>
      <c r="R381" s="414"/>
      <c r="S381" s="414"/>
      <c r="T381" s="414"/>
      <c r="U381" s="414"/>
    </row>
    <row r="382" spans="5:21" ht="15.6">
      <c r="E382" s="1"/>
      <c r="F382" s="1"/>
      <c r="G382" s="1"/>
      <c r="H382" s="1"/>
      <c r="I382" s="1"/>
      <c r="J382" s="1"/>
      <c r="K382" s="1"/>
      <c r="P382" s="414"/>
      <c r="Q382" s="414"/>
      <c r="R382" s="414"/>
      <c r="S382" s="414"/>
      <c r="T382" s="414"/>
      <c r="U382" s="414"/>
    </row>
    <row r="383" spans="5:21" ht="15.6">
      <c r="E383" s="1"/>
      <c r="F383" s="1"/>
      <c r="G383" s="1"/>
      <c r="H383" s="1"/>
      <c r="I383" s="1"/>
      <c r="J383" s="1"/>
      <c r="K383" s="1"/>
      <c r="P383" s="414"/>
      <c r="Q383" s="414"/>
      <c r="R383" s="414"/>
      <c r="S383" s="414"/>
      <c r="T383" s="414"/>
      <c r="U383" s="414"/>
    </row>
    <row r="384" spans="5:21" ht="15.6">
      <c r="E384" s="1"/>
      <c r="F384" s="1"/>
      <c r="G384" s="1"/>
      <c r="H384" s="1"/>
      <c r="I384" s="1"/>
      <c r="J384" s="1"/>
      <c r="K384" s="1"/>
      <c r="P384" s="414"/>
      <c r="Q384" s="414"/>
      <c r="R384" s="414"/>
      <c r="S384" s="414"/>
      <c r="T384" s="414"/>
      <c r="U384" s="414"/>
    </row>
    <row r="385" spans="5:21" ht="15.6">
      <c r="E385" s="1"/>
      <c r="F385" s="1"/>
      <c r="G385" s="1"/>
      <c r="H385" s="1"/>
      <c r="I385" s="1"/>
      <c r="J385" s="1"/>
      <c r="K385" s="1"/>
      <c r="P385" s="414"/>
      <c r="Q385" s="414"/>
      <c r="R385" s="414"/>
      <c r="S385" s="414"/>
      <c r="T385" s="414"/>
      <c r="U385" s="414"/>
    </row>
    <row r="386" spans="5:21" ht="15.6">
      <c r="E386" s="1"/>
      <c r="F386" s="1"/>
      <c r="G386" s="1"/>
      <c r="H386" s="1"/>
      <c r="I386" s="1"/>
      <c r="J386" s="1"/>
      <c r="K386" s="1"/>
      <c r="P386" s="414"/>
      <c r="Q386" s="414"/>
      <c r="R386" s="414"/>
      <c r="S386" s="414"/>
      <c r="T386" s="414"/>
      <c r="U386" s="414"/>
    </row>
    <row r="387" spans="5:21" ht="15.6">
      <c r="E387" s="1"/>
      <c r="F387" s="1"/>
      <c r="G387" s="1"/>
      <c r="H387" s="1"/>
      <c r="I387" s="1"/>
      <c r="J387" s="1"/>
      <c r="K387" s="1"/>
      <c r="P387" s="414"/>
      <c r="Q387" s="414"/>
      <c r="R387" s="414"/>
      <c r="S387" s="414"/>
      <c r="T387" s="414"/>
      <c r="U387" s="414"/>
    </row>
    <row r="388" spans="5:21" ht="15.6">
      <c r="E388" s="1"/>
      <c r="F388" s="1"/>
      <c r="G388" s="1"/>
      <c r="H388" s="1"/>
      <c r="I388" s="1"/>
      <c r="J388" s="1"/>
      <c r="K388" s="1"/>
      <c r="P388" s="414"/>
      <c r="Q388" s="414"/>
      <c r="R388" s="414"/>
      <c r="S388" s="414"/>
      <c r="T388" s="414"/>
      <c r="U388" s="414"/>
    </row>
    <row r="389" spans="5:21" ht="15.6">
      <c r="E389" s="1"/>
      <c r="F389" s="1"/>
      <c r="G389" s="1"/>
      <c r="H389" s="1"/>
      <c r="I389" s="1"/>
      <c r="J389" s="1"/>
      <c r="K389" s="1"/>
      <c r="P389" s="414"/>
      <c r="Q389" s="414"/>
      <c r="R389" s="414"/>
      <c r="S389" s="414"/>
      <c r="T389" s="414"/>
      <c r="U389" s="414"/>
    </row>
    <row r="390" spans="5:21" ht="15.6">
      <c r="E390" s="1"/>
      <c r="F390" s="1"/>
      <c r="G390" s="1"/>
      <c r="H390" s="1"/>
      <c r="I390" s="1"/>
      <c r="J390" s="1"/>
      <c r="K390" s="1"/>
      <c r="P390" s="414"/>
      <c r="Q390" s="414"/>
      <c r="R390" s="414"/>
      <c r="S390" s="414"/>
      <c r="T390" s="414"/>
      <c r="U390" s="414"/>
    </row>
    <row r="391" spans="5:21" ht="15.6">
      <c r="E391" s="1"/>
      <c r="F391" s="1"/>
      <c r="G391" s="1"/>
      <c r="H391" s="1"/>
      <c r="I391" s="1"/>
      <c r="J391" s="1"/>
      <c r="K391" s="1"/>
      <c r="P391" s="414"/>
      <c r="Q391" s="414"/>
      <c r="R391" s="414"/>
      <c r="S391" s="414"/>
      <c r="T391" s="414"/>
      <c r="U391" s="414"/>
    </row>
    <row r="392" spans="5:21" ht="15.6">
      <c r="E392" s="1"/>
      <c r="F392" s="1"/>
      <c r="G392" s="1"/>
      <c r="H392" s="1"/>
      <c r="I392" s="1"/>
      <c r="J392" s="1"/>
      <c r="K392" s="1"/>
      <c r="P392" s="414"/>
      <c r="Q392" s="414"/>
      <c r="R392" s="414"/>
      <c r="S392" s="414"/>
      <c r="T392" s="414"/>
      <c r="U392" s="414"/>
    </row>
    <row r="393" spans="5:21" ht="15.6">
      <c r="E393" s="1"/>
      <c r="F393" s="1"/>
      <c r="G393" s="1"/>
      <c r="H393" s="1"/>
      <c r="I393" s="1"/>
      <c r="J393" s="1"/>
      <c r="K393" s="1"/>
      <c r="P393" s="414"/>
      <c r="Q393" s="414"/>
      <c r="R393" s="414"/>
      <c r="S393" s="414"/>
      <c r="T393" s="414"/>
      <c r="U393" s="414"/>
    </row>
    <row r="394" spans="5:21" ht="15.6">
      <c r="E394" s="1"/>
      <c r="F394" s="1"/>
      <c r="G394" s="1"/>
      <c r="H394" s="1"/>
      <c r="I394" s="1"/>
      <c r="J394" s="1"/>
      <c r="K394" s="1"/>
      <c r="P394" s="414"/>
      <c r="Q394" s="414"/>
      <c r="R394" s="414"/>
      <c r="S394" s="414"/>
      <c r="T394" s="414"/>
      <c r="U394" s="414"/>
    </row>
    <row r="395" spans="5:21" ht="15.6">
      <c r="E395" s="1"/>
      <c r="F395" s="1"/>
      <c r="G395" s="1"/>
      <c r="H395" s="1"/>
      <c r="I395" s="1"/>
      <c r="J395" s="1"/>
      <c r="K395" s="1"/>
      <c r="P395" s="414"/>
      <c r="Q395" s="414"/>
      <c r="R395" s="414"/>
      <c r="S395" s="414"/>
      <c r="T395" s="414"/>
      <c r="U395" s="414"/>
    </row>
    <row r="396" spans="5:21" ht="15.6">
      <c r="E396" s="1"/>
      <c r="F396" s="1"/>
      <c r="G396" s="1"/>
      <c r="H396" s="1"/>
      <c r="I396" s="1"/>
      <c r="J396" s="1"/>
      <c r="K396" s="1"/>
      <c r="P396" s="414"/>
      <c r="Q396" s="414"/>
      <c r="R396" s="414"/>
      <c r="S396" s="414"/>
      <c r="T396" s="414"/>
      <c r="U396" s="414"/>
    </row>
    <row r="397" spans="5:21" ht="15.6">
      <c r="E397" s="1"/>
      <c r="F397" s="1"/>
      <c r="G397" s="1"/>
      <c r="H397" s="1"/>
      <c r="I397" s="1"/>
      <c r="J397" s="1"/>
      <c r="K397" s="1"/>
      <c r="P397" s="414"/>
      <c r="Q397" s="414"/>
      <c r="R397" s="414"/>
      <c r="S397" s="414"/>
      <c r="T397" s="414"/>
      <c r="U397" s="414"/>
    </row>
    <row r="398" spans="5:21" ht="15.6">
      <c r="E398" s="1"/>
      <c r="F398" s="1"/>
      <c r="G398" s="1"/>
      <c r="H398" s="1"/>
      <c r="I398" s="1"/>
      <c r="J398" s="1"/>
      <c r="K398" s="1"/>
      <c r="P398" s="414"/>
      <c r="Q398" s="414"/>
      <c r="R398" s="414"/>
      <c r="S398" s="414"/>
      <c r="T398" s="414"/>
      <c r="U398" s="414"/>
    </row>
    <row r="399" spans="5:21" ht="15.6">
      <c r="E399" s="1"/>
      <c r="F399" s="1"/>
      <c r="G399" s="1"/>
      <c r="H399" s="1"/>
      <c r="I399" s="1"/>
      <c r="J399" s="1"/>
      <c r="K399" s="1"/>
      <c r="P399" s="414"/>
      <c r="Q399" s="414"/>
      <c r="R399" s="414"/>
      <c r="S399" s="414"/>
      <c r="T399" s="414"/>
      <c r="U399" s="414"/>
    </row>
    <row r="400" spans="5:21" ht="15.6">
      <c r="E400" s="1"/>
      <c r="F400" s="1"/>
      <c r="G400" s="1"/>
      <c r="H400" s="1"/>
      <c r="I400" s="1"/>
      <c r="J400" s="1"/>
      <c r="K400" s="1"/>
      <c r="P400" s="414"/>
      <c r="Q400" s="414"/>
      <c r="R400" s="414"/>
      <c r="S400" s="414"/>
      <c r="T400" s="414"/>
      <c r="U400" s="414"/>
    </row>
    <row r="401" spans="5:21" ht="15.6">
      <c r="E401" s="1"/>
      <c r="F401" s="1"/>
      <c r="G401" s="1"/>
      <c r="H401" s="1"/>
      <c r="I401" s="1"/>
      <c r="J401" s="1"/>
      <c r="K401" s="1"/>
      <c r="P401" s="414"/>
      <c r="Q401" s="414"/>
      <c r="R401" s="414"/>
      <c r="S401" s="414"/>
      <c r="T401" s="414"/>
      <c r="U401" s="414"/>
    </row>
    <row r="402" spans="5:21" ht="15.6">
      <c r="E402" s="1"/>
      <c r="F402" s="1"/>
      <c r="G402" s="1"/>
      <c r="H402" s="1"/>
      <c r="I402" s="1"/>
      <c r="J402" s="1"/>
      <c r="K402" s="1"/>
      <c r="P402" s="414"/>
      <c r="Q402" s="414"/>
      <c r="R402" s="414"/>
      <c r="S402" s="414"/>
      <c r="T402" s="414"/>
      <c r="U402" s="414"/>
    </row>
    <row r="403" spans="5:21" ht="15.6">
      <c r="E403" s="1"/>
      <c r="F403" s="1"/>
      <c r="G403" s="1"/>
      <c r="H403" s="1"/>
      <c r="I403" s="1"/>
      <c r="J403" s="1"/>
      <c r="K403" s="1"/>
      <c r="P403" s="414"/>
      <c r="Q403" s="414"/>
      <c r="R403" s="414"/>
      <c r="S403" s="414"/>
      <c r="T403" s="414"/>
      <c r="U403" s="414"/>
    </row>
    <row r="404" spans="5:21" ht="15.6">
      <c r="E404" s="1"/>
      <c r="F404" s="1"/>
      <c r="G404" s="1"/>
      <c r="H404" s="1"/>
      <c r="I404" s="1"/>
      <c r="J404" s="1"/>
      <c r="K404" s="1"/>
      <c r="P404" s="414"/>
      <c r="Q404" s="414"/>
      <c r="R404" s="414"/>
      <c r="S404" s="414"/>
      <c r="T404" s="414"/>
      <c r="U404" s="414"/>
    </row>
    <row r="405" spans="5:21" ht="15.6">
      <c r="E405" s="1"/>
      <c r="F405" s="1"/>
      <c r="G405" s="1"/>
      <c r="H405" s="1"/>
      <c r="I405" s="1"/>
      <c r="J405" s="1"/>
      <c r="K405" s="1"/>
      <c r="P405" s="414"/>
      <c r="Q405" s="414"/>
      <c r="R405" s="414"/>
      <c r="S405" s="414"/>
      <c r="T405" s="414"/>
      <c r="U405" s="414"/>
    </row>
    <row r="406" spans="5:21" ht="15.6">
      <c r="E406" s="1"/>
      <c r="F406" s="1"/>
      <c r="G406" s="1"/>
      <c r="H406" s="1"/>
      <c r="I406" s="1"/>
      <c r="J406" s="1"/>
      <c r="K406" s="1"/>
      <c r="P406" s="414"/>
      <c r="Q406" s="414"/>
      <c r="R406" s="414"/>
      <c r="S406" s="414"/>
      <c r="T406" s="414"/>
      <c r="U406" s="414"/>
    </row>
    <row r="407" spans="5:21" ht="15.6">
      <c r="E407" s="1"/>
      <c r="F407" s="1"/>
      <c r="G407" s="1"/>
      <c r="H407" s="1"/>
      <c r="I407" s="1"/>
      <c r="J407" s="1"/>
      <c r="K407" s="1"/>
      <c r="P407" s="414"/>
      <c r="Q407" s="414"/>
      <c r="R407" s="414"/>
      <c r="S407" s="414"/>
      <c r="T407" s="414"/>
      <c r="U407" s="414"/>
    </row>
    <row r="408" spans="5:21" ht="15.6">
      <c r="E408" s="1"/>
      <c r="F408" s="1"/>
      <c r="G408" s="1"/>
      <c r="H408" s="1"/>
      <c r="I408" s="1"/>
      <c r="J408" s="1"/>
      <c r="K408" s="1"/>
      <c r="P408" s="414"/>
      <c r="Q408" s="414"/>
      <c r="R408" s="414"/>
      <c r="S408" s="414"/>
      <c r="T408" s="414"/>
      <c r="U408" s="414"/>
    </row>
    <row r="409" spans="5:21" ht="15.6">
      <c r="E409" s="1"/>
      <c r="F409" s="1"/>
      <c r="G409" s="1"/>
      <c r="H409" s="1"/>
      <c r="I409" s="1"/>
      <c r="J409" s="1"/>
      <c r="K409" s="1"/>
      <c r="P409" s="414"/>
      <c r="Q409" s="414"/>
      <c r="R409" s="414"/>
      <c r="S409" s="414"/>
      <c r="T409" s="414"/>
      <c r="U409" s="414"/>
    </row>
    <row r="410" spans="5:21" ht="15.6">
      <c r="E410" s="1"/>
      <c r="F410" s="1"/>
      <c r="G410" s="1"/>
      <c r="H410" s="1"/>
      <c r="I410" s="1"/>
      <c r="J410" s="1"/>
      <c r="K410" s="1"/>
      <c r="P410" s="414"/>
      <c r="Q410" s="414"/>
      <c r="R410" s="414"/>
      <c r="S410" s="414"/>
      <c r="T410" s="414"/>
      <c r="U410" s="414"/>
    </row>
    <row r="411" spans="5:21" ht="15.6">
      <c r="E411" s="1"/>
      <c r="F411" s="1"/>
      <c r="G411" s="1"/>
      <c r="H411" s="1"/>
      <c r="I411" s="1"/>
      <c r="J411" s="1"/>
      <c r="K411" s="1"/>
      <c r="P411" s="414"/>
      <c r="Q411" s="414"/>
      <c r="R411" s="414"/>
      <c r="S411" s="414"/>
      <c r="T411" s="414"/>
      <c r="U411" s="414"/>
    </row>
    <row r="412" spans="5:21" ht="15.6">
      <c r="E412" s="1"/>
      <c r="F412" s="1"/>
      <c r="G412" s="1"/>
      <c r="H412" s="1"/>
      <c r="I412" s="1"/>
      <c r="J412" s="1"/>
      <c r="K412" s="1"/>
      <c r="P412" s="414"/>
      <c r="Q412" s="414"/>
      <c r="R412" s="414"/>
      <c r="S412" s="414"/>
      <c r="T412" s="414"/>
      <c r="U412" s="414"/>
    </row>
    <row r="413" spans="5:21" ht="15.6">
      <c r="E413" s="1"/>
      <c r="F413" s="1"/>
      <c r="G413" s="1"/>
      <c r="H413" s="1"/>
      <c r="I413" s="1"/>
      <c r="J413" s="1"/>
      <c r="K413" s="1"/>
      <c r="P413" s="414"/>
      <c r="Q413" s="414"/>
      <c r="R413" s="414"/>
      <c r="S413" s="414"/>
      <c r="T413" s="414"/>
      <c r="U413" s="414"/>
    </row>
    <row r="414" spans="5:21" ht="15.6">
      <c r="E414" s="1"/>
      <c r="F414" s="1"/>
      <c r="G414" s="1"/>
      <c r="H414" s="1"/>
      <c r="I414" s="1"/>
      <c r="J414" s="1"/>
      <c r="K414" s="1"/>
      <c r="P414" s="414"/>
      <c r="Q414" s="414"/>
      <c r="R414" s="414"/>
      <c r="S414" s="414"/>
      <c r="T414" s="414"/>
      <c r="U414" s="414"/>
    </row>
    <row r="415" spans="5:21" ht="15.6">
      <c r="E415" s="1"/>
      <c r="F415" s="1"/>
      <c r="G415" s="1"/>
      <c r="H415" s="1"/>
      <c r="I415" s="1"/>
      <c r="J415" s="1"/>
      <c r="K415" s="1"/>
      <c r="P415" s="414"/>
      <c r="Q415" s="414"/>
      <c r="R415" s="414"/>
      <c r="S415" s="414"/>
      <c r="T415" s="414"/>
      <c r="U415" s="414"/>
    </row>
    <row r="416" spans="5:21" ht="15.6">
      <c r="E416" s="1"/>
      <c r="F416" s="1"/>
      <c r="G416" s="1"/>
      <c r="H416" s="1"/>
      <c r="I416" s="1"/>
      <c r="J416" s="1"/>
      <c r="K416" s="1"/>
      <c r="P416" s="414"/>
      <c r="Q416" s="414"/>
      <c r="R416" s="414"/>
      <c r="S416" s="414"/>
      <c r="T416" s="414"/>
      <c r="U416" s="414"/>
    </row>
    <row r="417" spans="5:21" ht="15.6">
      <c r="E417" s="1"/>
      <c r="F417" s="1"/>
      <c r="G417" s="1"/>
      <c r="H417" s="1"/>
      <c r="I417" s="1"/>
      <c r="J417" s="1"/>
      <c r="K417" s="1"/>
      <c r="P417" s="414"/>
      <c r="Q417" s="414"/>
      <c r="R417" s="414"/>
      <c r="S417" s="414"/>
      <c r="T417" s="414"/>
      <c r="U417" s="414"/>
    </row>
    <row r="418" spans="5:21" ht="15.6">
      <c r="E418" s="1"/>
      <c r="F418" s="1"/>
      <c r="G418" s="1"/>
      <c r="H418" s="1"/>
      <c r="I418" s="1"/>
      <c r="J418" s="1"/>
      <c r="K418" s="1"/>
      <c r="P418" s="414"/>
      <c r="Q418" s="414"/>
      <c r="R418" s="414"/>
      <c r="S418" s="414"/>
      <c r="T418" s="414"/>
      <c r="U418" s="414"/>
    </row>
    <row r="419" spans="5:21" ht="15.6">
      <c r="E419" s="1"/>
      <c r="F419" s="1"/>
      <c r="G419" s="1"/>
      <c r="H419" s="1"/>
      <c r="I419" s="1"/>
      <c r="J419" s="1"/>
      <c r="K419" s="1"/>
      <c r="P419" s="414"/>
      <c r="Q419" s="414"/>
      <c r="R419" s="414"/>
      <c r="S419" s="414"/>
      <c r="T419" s="414"/>
      <c r="U419" s="414"/>
    </row>
    <row r="420" spans="5:21" ht="15.6">
      <c r="E420" s="1"/>
      <c r="F420" s="1"/>
      <c r="G420" s="1"/>
      <c r="H420" s="1"/>
      <c r="I420" s="1"/>
      <c r="J420" s="1"/>
      <c r="K420" s="1"/>
      <c r="P420" s="414"/>
      <c r="Q420" s="414"/>
      <c r="R420" s="414"/>
      <c r="S420" s="414"/>
      <c r="T420" s="414"/>
      <c r="U420" s="414"/>
    </row>
    <row r="421" spans="5:21" ht="15.6">
      <c r="E421" s="1"/>
      <c r="F421" s="1"/>
      <c r="G421" s="1"/>
      <c r="H421" s="1"/>
      <c r="I421" s="1"/>
      <c r="J421" s="1"/>
      <c r="K421" s="1"/>
      <c r="P421" s="414"/>
      <c r="Q421" s="414"/>
      <c r="R421" s="414"/>
      <c r="S421" s="414"/>
      <c r="T421" s="414"/>
      <c r="U421" s="414"/>
    </row>
    <row r="422" spans="5:21" ht="15.6">
      <c r="E422" s="1"/>
      <c r="F422" s="1"/>
      <c r="G422" s="1"/>
      <c r="H422" s="1"/>
      <c r="I422" s="1"/>
      <c r="J422" s="1"/>
      <c r="K422" s="1"/>
      <c r="P422" s="414"/>
      <c r="Q422" s="414"/>
      <c r="R422" s="414"/>
      <c r="S422" s="414"/>
      <c r="T422" s="414"/>
      <c r="U422" s="414"/>
    </row>
    <row r="423" spans="5:21" ht="15.6">
      <c r="E423" s="1"/>
      <c r="F423" s="1"/>
      <c r="G423" s="1"/>
      <c r="H423" s="1"/>
      <c r="I423" s="1"/>
      <c r="J423" s="1"/>
      <c r="K423" s="1"/>
      <c r="P423" s="414"/>
      <c r="Q423" s="414"/>
      <c r="R423" s="414"/>
      <c r="S423" s="414"/>
      <c r="T423" s="414"/>
      <c r="U423" s="414"/>
    </row>
    <row r="424" spans="5:21" ht="15.6">
      <c r="E424" s="1"/>
      <c r="F424" s="1"/>
      <c r="G424" s="1"/>
      <c r="H424" s="1"/>
      <c r="I424" s="1"/>
      <c r="J424" s="1"/>
      <c r="K424" s="1"/>
      <c r="P424" s="414"/>
      <c r="Q424" s="414"/>
      <c r="R424" s="414"/>
      <c r="S424" s="414"/>
      <c r="T424" s="414"/>
      <c r="U424" s="414"/>
    </row>
    <row r="425" spans="5:21" ht="15.6">
      <c r="E425" s="1"/>
      <c r="F425" s="1"/>
      <c r="G425" s="1"/>
      <c r="H425" s="1"/>
      <c r="I425" s="1"/>
      <c r="J425" s="1"/>
      <c r="K425" s="1"/>
      <c r="P425" s="414"/>
      <c r="Q425" s="414"/>
      <c r="R425" s="414"/>
      <c r="S425" s="414"/>
      <c r="T425" s="414"/>
      <c r="U425" s="414"/>
    </row>
    <row r="426" spans="5:21" ht="15.6">
      <c r="E426" s="1"/>
      <c r="F426" s="1"/>
      <c r="G426" s="1"/>
      <c r="H426" s="1"/>
      <c r="I426" s="1"/>
      <c r="J426" s="1"/>
      <c r="K426" s="1"/>
      <c r="P426" s="414"/>
      <c r="Q426" s="414"/>
      <c r="R426" s="414"/>
      <c r="S426" s="414"/>
      <c r="T426" s="414"/>
      <c r="U426" s="414"/>
    </row>
    <row r="427" spans="5:21" ht="15.6">
      <c r="E427" s="1"/>
      <c r="F427" s="1"/>
      <c r="G427" s="1"/>
      <c r="H427" s="1"/>
      <c r="I427" s="1"/>
      <c r="J427" s="1"/>
      <c r="K427" s="1"/>
      <c r="P427" s="414"/>
      <c r="Q427" s="414"/>
      <c r="R427" s="414"/>
      <c r="S427" s="414"/>
      <c r="T427" s="414"/>
      <c r="U427" s="414"/>
    </row>
    <row r="428" spans="5:21" ht="15.6">
      <c r="E428" s="1"/>
      <c r="F428" s="1"/>
      <c r="G428" s="1"/>
      <c r="H428" s="1"/>
      <c r="I428" s="1"/>
      <c r="J428" s="1"/>
      <c r="K428" s="1"/>
      <c r="P428" s="414"/>
      <c r="Q428" s="414"/>
      <c r="R428" s="414"/>
      <c r="S428" s="414"/>
      <c r="T428" s="414"/>
      <c r="U428" s="414"/>
    </row>
    <row r="429" spans="5:21" ht="15.6">
      <c r="E429" s="1"/>
      <c r="F429" s="1"/>
      <c r="G429" s="1"/>
      <c r="H429" s="1"/>
      <c r="I429" s="1"/>
      <c r="J429" s="1"/>
      <c r="K429" s="1"/>
      <c r="P429" s="414"/>
      <c r="Q429" s="414"/>
      <c r="R429" s="414"/>
      <c r="S429" s="414"/>
      <c r="T429" s="414"/>
      <c r="U429" s="414"/>
    </row>
    <row r="430" spans="5:21" ht="15.6">
      <c r="E430" s="1"/>
      <c r="F430" s="1"/>
      <c r="G430" s="1"/>
      <c r="H430" s="1"/>
      <c r="I430" s="1"/>
      <c r="J430" s="1"/>
      <c r="K430" s="1"/>
      <c r="P430" s="414"/>
      <c r="Q430" s="414"/>
      <c r="R430" s="414"/>
      <c r="S430" s="414"/>
      <c r="T430" s="414"/>
      <c r="U430" s="414"/>
    </row>
    <row r="431" spans="5:21" ht="15.6">
      <c r="E431" s="1"/>
      <c r="F431" s="1"/>
      <c r="G431" s="1"/>
      <c r="H431" s="1"/>
      <c r="I431" s="1"/>
      <c r="J431" s="1"/>
      <c r="K431" s="1"/>
      <c r="P431" s="414"/>
      <c r="Q431" s="414"/>
      <c r="R431" s="414"/>
      <c r="S431" s="414"/>
      <c r="T431" s="414"/>
      <c r="U431" s="414"/>
    </row>
    <row r="432" spans="5:21" ht="15.6">
      <c r="E432" s="1"/>
      <c r="F432" s="1"/>
      <c r="G432" s="1"/>
      <c r="H432" s="1"/>
      <c r="I432" s="1"/>
      <c r="J432" s="1"/>
      <c r="K432" s="1"/>
      <c r="P432" s="414"/>
      <c r="Q432" s="414"/>
      <c r="R432" s="414"/>
      <c r="S432" s="414"/>
      <c r="T432" s="414"/>
      <c r="U432" s="414"/>
    </row>
    <row r="433" spans="5:21" ht="15.6">
      <c r="E433" s="1"/>
      <c r="F433" s="1"/>
      <c r="G433" s="1"/>
      <c r="H433" s="1"/>
      <c r="I433" s="1"/>
      <c r="J433" s="1"/>
      <c r="K433" s="1"/>
      <c r="P433" s="414"/>
      <c r="Q433" s="414"/>
      <c r="R433" s="414"/>
      <c r="S433" s="414"/>
      <c r="T433" s="414"/>
      <c r="U433" s="414"/>
    </row>
    <row r="434" spans="5:21" ht="15.6">
      <c r="E434" s="1"/>
      <c r="F434" s="1"/>
      <c r="G434" s="1"/>
      <c r="H434" s="1"/>
      <c r="I434" s="1"/>
      <c r="J434" s="1"/>
      <c r="K434" s="1"/>
      <c r="P434" s="414"/>
      <c r="Q434" s="414"/>
      <c r="R434" s="414"/>
      <c r="S434" s="414"/>
      <c r="T434" s="414"/>
      <c r="U434" s="414"/>
    </row>
    <row r="435" spans="5:21" ht="15.6">
      <c r="E435" s="1"/>
      <c r="F435" s="1"/>
      <c r="G435" s="1"/>
      <c r="H435" s="1"/>
      <c r="I435" s="1"/>
      <c r="J435" s="1"/>
      <c r="K435" s="1"/>
      <c r="P435" s="414"/>
      <c r="Q435" s="414"/>
      <c r="R435" s="414"/>
      <c r="S435" s="414"/>
      <c r="T435" s="414"/>
      <c r="U435" s="414"/>
    </row>
    <row r="436" spans="5:21" ht="15.6">
      <c r="E436" s="1"/>
      <c r="F436" s="1"/>
      <c r="G436" s="1"/>
      <c r="H436" s="1"/>
      <c r="I436" s="1"/>
      <c r="J436" s="1"/>
      <c r="K436" s="1"/>
      <c r="P436" s="414"/>
      <c r="Q436" s="414"/>
      <c r="R436" s="414"/>
      <c r="S436" s="414"/>
      <c r="T436" s="414"/>
      <c r="U436" s="414"/>
    </row>
    <row r="437" spans="5:21" ht="15.6">
      <c r="E437" s="1"/>
      <c r="F437" s="1"/>
      <c r="G437" s="1"/>
      <c r="H437" s="1"/>
      <c r="I437" s="1"/>
      <c r="J437" s="1"/>
      <c r="K437" s="1"/>
      <c r="P437" s="414"/>
      <c r="Q437" s="414"/>
      <c r="R437" s="414"/>
      <c r="S437" s="414"/>
      <c r="T437" s="414"/>
      <c r="U437" s="414"/>
    </row>
    <row r="438" spans="5:21" ht="15.6">
      <c r="E438" s="1"/>
      <c r="F438" s="1"/>
      <c r="G438" s="1"/>
      <c r="H438" s="1"/>
      <c r="I438" s="1"/>
      <c r="J438" s="1"/>
      <c r="K438" s="1"/>
      <c r="P438" s="414"/>
      <c r="Q438" s="414"/>
      <c r="R438" s="414"/>
      <c r="S438" s="414"/>
      <c r="T438" s="414"/>
      <c r="U438" s="414"/>
    </row>
    <row r="439" spans="5:21" ht="15.6">
      <c r="E439" s="1"/>
      <c r="F439" s="1"/>
      <c r="G439" s="1"/>
      <c r="H439" s="1"/>
      <c r="I439" s="1"/>
      <c r="J439" s="1"/>
      <c r="K439" s="1"/>
      <c r="P439" s="414"/>
      <c r="Q439" s="414"/>
      <c r="R439" s="414"/>
      <c r="S439" s="414"/>
      <c r="T439" s="414"/>
      <c r="U439" s="414"/>
    </row>
    <row r="440" spans="5:21" ht="15.6">
      <c r="E440" s="1"/>
      <c r="F440" s="1"/>
      <c r="G440" s="1"/>
      <c r="H440" s="1"/>
      <c r="I440" s="1"/>
      <c r="J440" s="1"/>
      <c r="K440" s="1"/>
      <c r="P440" s="414"/>
      <c r="Q440" s="414"/>
      <c r="R440" s="414"/>
      <c r="S440" s="414"/>
      <c r="T440" s="414"/>
      <c r="U440" s="414"/>
    </row>
    <row r="441" spans="5:21" ht="15.6">
      <c r="E441" s="1"/>
      <c r="F441" s="1"/>
      <c r="G441" s="1"/>
      <c r="H441" s="1"/>
      <c r="I441" s="1"/>
      <c r="J441" s="1"/>
      <c r="K441" s="1"/>
      <c r="P441" s="414"/>
      <c r="Q441" s="414"/>
      <c r="R441" s="414"/>
      <c r="S441" s="414"/>
      <c r="T441" s="414"/>
      <c r="U441" s="414"/>
    </row>
    <row r="442" spans="5:21" ht="15.6">
      <c r="E442" s="1"/>
      <c r="F442" s="1"/>
      <c r="G442" s="1"/>
      <c r="H442" s="1"/>
      <c r="I442" s="1"/>
      <c r="J442" s="1"/>
      <c r="K442" s="1"/>
      <c r="P442" s="414"/>
      <c r="Q442" s="414"/>
      <c r="R442" s="414"/>
      <c r="S442" s="414"/>
      <c r="T442" s="414"/>
      <c r="U442" s="414"/>
    </row>
    <row r="443" spans="5:21" ht="15.6">
      <c r="E443" s="1"/>
      <c r="F443" s="1"/>
      <c r="G443" s="1"/>
      <c r="H443" s="1"/>
      <c r="I443" s="1"/>
      <c r="J443" s="1"/>
      <c r="K443" s="1"/>
      <c r="P443" s="414"/>
      <c r="Q443" s="414"/>
      <c r="R443" s="414"/>
      <c r="S443" s="414"/>
      <c r="T443" s="414"/>
      <c r="U443" s="414"/>
    </row>
    <row r="444" spans="5:21" ht="15.6">
      <c r="E444" s="1"/>
      <c r="F444" s="1"/>
      <c r="G444" s="1"/>
      <c r="H444" s="1"/>
      <c r="I444" s="1"/>
      <c r="J444" s="1"/>
      <c r="K444" s="1"/>
      <c r="P444" s="414"/>
      <c r="Q444" s="414"/>
      <c r="R444" s="414"/>
      <c r="S444" s="414"/>
      <c r="T444" s="414"/>
      <c r="U444" s="414"/>
    </row>
    <row r="445" spans="5:21" ht="15.6">
      <c r="E445" s="1"/>
      <c r="F445" s="1"/>
      <c r="G445" s="1"/>
      <c r="H445" s="1"/>
      <c r="I445" s="1"/>
      <c r="J445" s="1"/>
      <c r="K445" s="1"/>
      <c r="P445" s="414"/>
      <c r="Q445" s="414"/>
      <c r="R445" s="414"/>
      <c r="S445" s="414"/>
      <c r="T445" s="414"/>
      <c r="U445" s="414"/>
    </row>
    <row r="446" spans="5:21" ht="15.6">
      <c r="E446" s="1"/>
      <c r="F446" s="1"/>
      <c r="G446" s="1"/>
      <c r="H446" s="1"/>
      <c r="I446" s="1"/>
      <c r="J446" s="1"/>
      <c r="K446" s="1"/>
      <c r="P446" s="414"/>
      <c r="Q446" s="414"/>
      <c r="R446" s="414"/>
      <c r="S446" s="414"/>
      <c r="T446" s="414"/>
      <c r="U446" s="414"/>
    </row>
    <row r="447" spans="5:21" ht="15.6">
      <c r="E447" s="1"/>
      <c r="F447" s="1"/>
      <c r="G447" s="1"/>
      <c r="H447" s="1"/>
      <c r="I447" s="1"/>
      <c r="J447" s="1"/>
      <c r="K447" s="1"/>
      <c r="P447" s="414"/>
      <c r="Q447" s="414"/>
      <c r="R447" s="414"/>
      <c r="S447" s="414"/>
      <c r="T447" s="414"/>
      <c r="U447" s="414"/>
    </row>
    <row r="448" spans="5:21" ht="15.6">
      <c r="E448" s="1"/>
      <c r="F448" s="1"/>
      <c r="G448" s="1"/>
      <c r="H448" s="1"/>
      <c r="I448" s="1"/>
      <c r="J448" s="1"/>
      <c r="K448" s="1"/>
      <c r="P448" s="414"/>
      <c r="Q448" s="414"/>
      <c r="R448" s="414"/>
      <c r="S448" s="414"/>
      <c r="T448" s="414"/>
      <c r="U448" s="414"/>
    </row>
    <row r="449" spans="5:21" ht="15.6">
      <c r="E449" s="1"/>
      <c r="F449" s="1"/>
      <c r="G449" s="1"/>
      <c r="H449" s="1"/>
      <c r="I449" s="1"/>
      <c r="J449" s="1"/>
      <c r="K449" s="1"/>
      <c r="P449" s="414"/>
      <c r="Q449" s="414"/>
      <c r="R449" s="414"/>
      <c r="S449" s="414"/>
      <c r="T449" s="414"/>
      <c r="U449" s="414"/>
    </row>
    <row r="450" spans="5:21" ht="15.6">
      <c r="E450" s="1"/>
      <c r="F450" s="1"/>
      <c r="G450" s="1"/>
      <c r="H450" s="1"/>
      <c r="I450" s="1"/>
      <c r="J450" s="1"/>
      <c r="K450" s="1"/>
      <c r="P450" s="414"/>
      <c r="Q450" s="414"/>
      <c r="R450" s="414"/>
      <c r="S450" s="414"/>
      <c r="T450" s="414"/>
      <c r="U450" s="414"/>
    </row>
    <row r="451" spans="5:21" ht="15.6">
      <c r="E451" s="1"/>
      <c r="F451" s="1"/>
      <c r="G451" s="1"/>
      <c r="H451" s="1"/>
      <c r="I451" s="1"/>
      <c r="J451" s="1"/>
      <c r="K451" s="1"/>
      <c r="P451" s="414"/>
      <c r="Q451" s="414"/>
      <c r="R451" s="414"/>
      <c r="S451" s="414"/>
      <c r="T451" s="414"/>
      <c r="U451" s="414"/>
    </row>
    <row r="452" spans="5:21" ht="15.6">
      <c r="E452" s="1"/>
      <c r="F452" s="1"/>
      <c r="G452" s="1"/>
      <c r="H452" s="1"/>
      <c r="I452" s="1"/>
      <c r="J452" s="1"/>
      <c r="K452" s="1"/>
      <c r="P452" s="414"/>
      <c r="Q452" s="414"/>
      <c r="R452" s="414"/>
      <c r="S452" s="414"/>
      <c r="T452" s="414"/>
      <c r="U452" s="414"/>
    </row>
    <row r="453" spans="5:21" ht="15.6">
      <c r="E453" s="1"/>
      <c r="F453" s="1"/>
      <c r="G453" s="1"/>
      <c r="H453" s="1"/>
      <c r="I453" s="1"/>
      <c r="J453" s="1"/>
      <c r="K453" s="1"/>
      <c r="P453" s="414"/>
      <c r="Q453" s="414"/>
      <c r="R453" s="414"/>
      <c r="S453" s="414"/>
      <c r="T453" s="414"/>
      <c r="U453" s="414"/>
    </row>
    <row r="454" spans="5:21" ht="15.6">
      <c r="E454" s="1"/>
      <c r="F454" s="1"/>
      <c r="G454" s="1"/>
      <c r="H454" s="1"/>
      <c r="I454" s="1"/>
      <c r="J454" s="1"/>
      <c r="K454" s="1"/>
      <c r="P454" s="414"/>
      <c r="Q454" s="414"/>
      <c r="R454" s="414"/>
      <c r="S454" s="414"/>
      <c r="T454" s="414"/>
      <c r="U454" s="414"/>
    </row>
    <row r="455" spans="5:21" ht="15.6">
      <c r="E455" s="1"/>
      <c r="F455" s="1"/>
      <c r="G455" s="1"/>
      <c r="H455" s="1"/>
      <c r="I455" s="1"/>
      <c r="J455" s="1"/>
      <c r="K455" s="1"/>
      <c r="P455" s="414"/>
      <c r="Q455" s="414"/>
      <c r="R455" s="414"/>
      <c r="S455" s="414"/>
      <c r="T455" s="414"/>
      <c r="U455" s="414"/>
    </row>
    <row r="456" spans="5:21" ht="15.6">
      <c r="E456" s="1"/>
      <c r="F456" s="1"/>
      <c r="G456" s="1"/>
      <c r="H456" s="1"/>
      <c r="I456" s="1"/>
      <c r="J456" s="1"/>
      <c r="K456" s="1"/>
      <c r="P456" s="414"/>
      <c r="Q456" s="414"/>
      <c r="R456" s="414"/>
      <c r="S456" s="414"/>
      <c r="T456" s="414"/>
      <c r="U456" s="414"/>
    </row>
    <row r="457" spans="5:21" ht="15.6">
      <c r="E457" s="1"/>
      <c r="F457" s="1"/>
      <c r="G457" s="1"/>
      <c r="H457" s="1"/>
      <c r="I457" s="1"/>
      <c r="J457" s="1"/>
      <c r="K457" s="1"/>
      <c r="P457" s="414"/>
      <c r="Q457" s="414"/>
      <c r="R457" s="414"/>
      <c r="S457" s="414"/>
      <c r="T457" s="414"/>
      <c r="U457" s="414"/>
    </row>
    <row r="458" spans="5:21" ht="15.6">
      <c r="E458" s="1"/>
      <c r="F458" s="1"/>
      <c r="G458" s="1"/>
      <c r="H458" s="1"/>
      <c r="I458" s="1"/>
      <c r="J458" s="1"/>
      <c r="K458" s="1"/>
      <c r="P458" s="414"/>
      <c r="Q458" s="414"/>
      <c r="R458" s="414"/>
      <c r="S458" s="414"/>
      <c r="T458" s="414"/>
      <c r="U458" s="414"/>
    </row>
    <row r="459" spans="5:21" ht="15.6">
      <c r="E459" s="1"/>
      <c r="F459" s="1"/>
      <c r="G459" s="1"/>
      <c r="H459" s="1"/>
      <c r="I459" s="1"/>
      <c r="J459" s="1"/>
      <c r="K459" s="1"/>
      <c r="P459" s="414"/>
      <c r="Q459" s="414"/>
      <c r="R459" s="414"/>
      <c r="S459" s="414"/>
      <c r="T459" s="414"/>
      <c r="U459" s="414"/>
    </row>
    <row r="460" spans="5:21" ht="15.6">
      <c r="E460" s="1"/>
      <c r="F460" s="1"/>
      <c r="G460" s="1"/>
      <c r="H460" s="1"/>
      <c r="I460" s="1"/>
      <c r="J460" s="1"/>
      <c r="K460" s="1"/>
      <c r="P460" s="414"/>
      <c r="Q460" s="414"/>
      <c r="R460" s="414"/>
      <c r="S460" s="414"/>
      <c r="T460" s="414"/>
      <c r="U460" s="414"/>
    </row>
    <row r="461" spans="5:21" ht="15.6">
      <c r="E461" s="1"/>
      <c r="F461" s="1"/>
      <c r="G461" s="1"/>
      <c r="H461" s="1"/>
      <c r="I461" s="1"/>
      <c r="J461" s="1"/>
      <c r="K461" s="1"/>
      <c r="P461" s="414"/>
      <c r="Q461" s="414"/>
      <c r="R461" s="414"/>
      <c r="S461" s="414"/>
      <c r="T461" s="414"/>
      <c r="U461" s="414"/>
    </row>
    <row r="462" spans="5:21" ht="15.6">
      <c r="E462" s="1"/>
      <c r="F462" s="1"/>
      <c r="G462" s="1"/>
      <c r="H462" s="1"/>
      <c r="I462" s="1"/>
      <c r="J462" s="1"/>
      <c r="K462" s="1"/>
      <c r="P462" s="414"/>
      <c r="Q462" s="414"/>
      <c r="R462" s="414"/>
      <c r="S462" s="414"/>
      <c r="T462" s="414"/>
      <c r="U462" s="414"/>
    </row>
    <row r="463" spans="5:21" ht="15.6">
      <c r="E463" s="1"/>
      <c r="F463" s="1"/>
      <c r="G463" s="1"/>
      <c r="H463" s="1"/>
      <c r="I463" s="1"/>
      <c r="J463" s="1"/>
      <c r="K463" s="1"/>
      <c r="P463" s="414"/>
      <c r="Q463" s="414"/>
      <c r="R463" s="414"/>
      <c r="S463" s="414"/>
      <c r="T463" s="414"/>
      <c r="U463" s="414"/>
    </row>
    <row r="464" spans="5:21" ht="15.6">
      <c r="E464" s="1"/>
      <c r="F464" s="1"/>
      <c r="G464" s="1"/>
      <c r="H464" s="1"/>
      <c r="I464" s="1"/>
      <c r="J464" s="1"/>
      <c r="K464" s="1"/>
      <c r="P464" s="414"/>
      <c r="Q464" s="414"/>
      <c r="R464" s="414"/>
      <c r="S464" s="414"/>
      <c r="T464" s="414"/>
      <c r="U464" s="414"/>
    </row>
    <row r="465" spans="5:21" ht="15.6">
      <c r="E465" s="1"/>
      <c r="F465" s="1"/>
      <c r="G465" s="1"/>
      <c r="H465" s="1"/>
      <c r="I465" s="1"/>
      <c r="J465" s="1"/>
      <c r="K465" s="1"/>
      <c r="P465" s="414"/>
      <c r="Q465" s="414"/>
      <c r="R465" s="414"/>
      <c r="S465" s="414"/>
      <c r="T465" s="414"/>
      <c r="U465" s="414"/>
    </row>
    <row r="466" spans="5:21" ht="15.6">
      <c r="E466" s="1"/>
      <c r="F466" s="1"/>
      <c r="G466" s="1"/>
      <c r="H466" s="1"/>
      <c r="I466" s="1"/>
      <c r="J466" s="1"/>
      <c r="K466" s="1"/>
      <c r="P466" s="414"/>
      <c r="Q466" s="414"/>
      <c r="R466" s="414"/>
      <c r="S466" s="414"/>
      <c r="T466" s="414"/>
      <c r="U466" s="414"/>
    </row>
    <row r="467" spans="5:21" ht="15.6">
      <c r="E467" s="1"/>
      <c r="F467" s="1"/>
      <c r="G467" s="1"/>
      <c r="H467" s="1"/>
      <c r="I467" s="1"/>
      <c r="J467" s="1"/>
      <c r="K467" s="1"/>
      <c r="P467" s="414"/>
      <c r="Q467" s="414"/>
      <c r="R467" s="414"/>
      <c r="S467" s="414"/>
      <c r="T467" s="414"/>
      <c r="U467" s="414"/>
    </row>
    <row r="468" spans="5:21" ht="15.6">
      <c r="E468" s="1"/>
      <c r="F468" s="1"/>
      <c r="G468" s="1"/>
      <c r="H468" s="1"/>
      <c r="I468" s="1"/>
      <c r="J468" s="1"/>
      <c r="K468" s="1"/>
      <c r="P468" s="414"/>
      <c r="Q468" s="414"/>
      <c r="R468" s="414"/>
      <c r="S468" s="414"/>
      <c r="T468" s="414"/>
      <c r="U468" s="414"/>
    </row>
    <row r="469" spans="5:21" ht="15.6">
      <c r="E469" s="1"/>
      <c r="F469" s="1"/>
      <c r="G469" s="1"/>
      <c r="H469" s="1"/>
      <c r="I469" s="1"/>
      <c r="J469" s="1"/>
      <c r="K469" s="1"/>
      <c r="P469" s="414"/>
      <c r="Q469" s="414"/>
      <c r="R469" s="414"/>
      <c r="S469" s="414"/>
      <c r="T469" s="414"/>
      <c r="U469" s="414"/>
    </row>
    <row r="470" spans="5:21" ht="15.6">
      <c r="E470" s="1"/>
      <c r="F470" s="1"/>
      <c r="G470" s="1"/>
      <c r="H470" s="1"/>
      <c r="I470" s="1"/>
      <c r="J470" s="1"/>
      <c r="K470" s="1"/>
      <c r="P470" s="414"/>
      <c r="Q470" s="414"/>
      <c r="R470" s="414"/>
      <c r="S470" s="414"/>
      <c r="T470" s="414"/>
      <c r="U470" s="414"/>
    </row>
    <row r="471" spans="5:21" ht="15.6">
      <c r="E471" s="1"/>
      <c r="F471" s="1"/>
      <c r="G471" s="1"/>
      <c r="H471" s="1"/>
      <c r="I471" s="1"/>
      <c r="J471" s="1"/>
      <c r="K471" s="1"/>
      <c r="P471" s="414"/>
      <c r="Q471" s="414"/>
      <c r="R471" s="414"/>
      <c r="S471" s="414"/>
      <c r="T471" s="414"/>
      <c r="U471" s="414"/>
    </row>
    <row r="472" spans="5:21" ht="15.6">
      <c r="E472" s="1"/>
      <c r="F472" s="1"/>
      <c r="G472" s="1"/>
      <c r="H472" s="1"/>
      <c r="I472" s="1"/>
      <c r="J472" s="1"/>
      <c r="K472" s="1"/>
      <c r="P472" s="414"/>
      <c r="Q472" s="414"/>
      <c r="R472" s="414"/>
      <c r="S472" s="414"/>
      <c r="T472" s="414"/>
      <c r="U472" s="414"/>
    </row>
    <row r="473" spans="5:21" ht="15.6">
      <c r="E473" s="1"/>
      <c r="F473" s="1"/>
      <c r="G473" s="1"/>
      <c r="H473" s="1"/>
      <c r="I473" s="1"/>
      <c r="J473" s="1"/>
      <c r="K473" s="1"/>
      <c r="P473" s="414"/>
      <c r="Q473" s="414"/>
      <c r="R473" s="414"/>
      <c r="S473" s="414"/>
      <c r="T473" s="414"/>
      <c r="U473" s="414"/>
    </row>
    <row r="474" spans="5:21" ht="15.6">
      <c r="E474" s="1"/>
      <c r="F474" s="1"/>
      <c r="G474" s="1"/>
      <c r="H474" s="1"/>
      <c r="I474" s="1"/>
      <c r="J474" s="1"/>
      <c r="K474" s="1"/>
      <c r="P474" s="414"/>
      <c r="Q474" s="414"/>
      <c r="R474" s="414"/>
      <c r="S474" s="414"/>
      <c r="T474" s="414"/>
      <c r="U474" s="414"/>
    </row>
    <row r="475" spans="5:21" ht="15.6">
      <c r="E475" s="1"/>
      <c r="F475" s="1"/>
      <c r="G475" s="1"/>
      <c r="H475" s="1"/>
      <c r="I475" s="1"/>
      <c r="J475" s="1"/>
      <c r="K475" s="1"/>
      <c r="P475" s="414"/>
      <c r="Q475" s="414"/>
      <c r="R475" s="414"/>
      <c r="S475" s="414"/>
      <c r="T475" s="414"/>
      <c r="U475" s="414"/>
    </row>
    <row r="476" spans="5:21" ht="15.6">
      <c r="E476" s="1"/>
      <c r="F476" s="1"/>
      <c r="G476" s="1"/>
      <c r="H476" s="1"/>
      <c r="I476" s="1"/>
      <c r="J476" s="1"/>
      <c r="K476" s="1"/>
      <c r="P476" s="414"/>
      <c r="Q476" s="414"/>
      <c r="R476" s="414"/>
      <c r="S476" s="414"/>
      <c r="T476" s="414"/>
      <c r="U476" s="414"/>
    </row>
    <row r="477" spans="5:21" ht="15.6">
      <c r="E477" s="1"/>
      <c r="F477" s="1"/>
      <c r="G477" s="1"/>
      <c r="H477" s="1"/>
      <c r="I477" s="1"/>
      <c r="J477" s="1"/>
      <c r="K477" s="1"/>
      <c r="P477" s="414"/>
      <c r="Q477" s="414"/>
      <c r="R477" s="414"/>
      <c r="S477" s="414"/>
      <c r="T477" s="414"/>
      <c r="U477" s="414"/>
    </row>
    <row r="478" spans="5:21" ht="15.6">
      <c r="E478" s="1"/>
      <c r="F478" s="1"/>
      <c r="G478" s="1"/>
      <c r="H478" s="1"/>
      <c r="I478" s="1"/>
      <c r="J478" s="1"/>
      <c r="K478" s="1"/>
      <c r="P478" s="414"/>
      <c r="Q478" s="414"/>
      <c r="R478" s="414"/>
      <c r="S478" s="414"/>
      <c r="T478" s="414"/>
      <c r="U478" s="414"/>
    </row>
    <row r="479" spans="5:21" ht="15.6">
      <c r="E479" s="1"/>
      <c r="F479" s="1"/>
      <c r="G479" s="1"/>
      <c r="H479" s="1"/>
      <c r="I479" s="1"/>
      <c r="J479" s="1"/>
      <c r="K479" s="1"/>
      <c r="P479" s="414"/>
      <c r="Q479" s="414"/>
      <c r="R479" s="414"/>
      <c r="S479" s="414"/>
      <c r="T479" s="414"/>
      <c r="U479" s="414"/>
    </row>
    <row r="480" spans="5:21" ht="15.6">
      <c r="E480" s="1"/>
      <c r="F480" s="1"/>
      <c r="G480" s="1"/>
      <c r="H480" s="1"/>
      <c r="I480" s="1"/>
      <c r="J480" s="1"/>
      <c r="K480" s="1"/>
      <c r="P480" s="414"/>
      <c r="Q480" s="414"/>
      <c r="R480" s="414"/>
      <c r="S480" s="414"/>
      <c r="T480" s="414"/>
      <c r="U480" s="414"/>
    </row>
    <row r="481" spans="5:21" ht="15.6">
      <c r="E481" s="1"/>
      <c r="F481" s="1"/>
      <c r="G481" s="1"/>
      <c r="H481" s="1"/>
      <c r="I481" s="1"/>
      <c r="J481" s="1"/>
      <c r="K481" s="1"/>
      <c r="P481" s="414"/>
      <c r="Q481" s="414"/>
      <c r="R481" s="414"/>
      <c r="S481" s="414"/>
      <c r="T481" s="414"/>
      <c r="U481" s="414"/>
    </row>
    <row r="482" spans="5:21" ht="15.6">
      <c r="E482" s="1"/>
      <c r="F482" s="1"/>
      <c r="G482" s="1"/>
      <c r="H482" s="1"/>
      <c r="I482" s="1"/>
      <c r="J482" s="1"/>
      <c r="K482" s="1"/>
      <c r="P482" s="414"/>
      <c r="Q482" s="414"/>
      <c r="R482" s="414"/>
      <c r="S482" s="414"/>
      <c r="T482" s="414"/>
      <c r="U482" s="414"/>
    </row>
    <row r="483" spans="5:21" ht="15.6">
      <c r="E483" s="1"/>
      <c r="F483" s="1"/>
      <c r="G483" s="1"/>
      <c r="H483" s="1"/>
      <c r="I483" s="1"/>
      <c r="J483" s="1"/>
      <c r="K483" s="1"/>
      <c r="P483" s="414"/>
      <c r="Q483" s="414"/>
      <c r="R483" s="414"/>
      <c r="S483" s="414"/>
      <c r="T483" s="414"/>
      <c r="U483" s="414"/>
    </row>
    <row r="484" spans="5:21" ht="15.6">
      <c r="E484" s="1"/>
      <c r="F484" s="1"/>
      <c r="G484" s="1"/>
      <c r="H484" s="1"/>
      <c r="I484" s="1"/>
      <c r="J484" s="1"/>
      <c r="K484" s="1"/>
      <c r="P484" s="414"/>
      <c r="Q484" s="414"/>
      <c r="R484" s="414"/>
      <c r="S484" s="414"/>
      <c r="T484" s="414"/>
      <c r="U484" s="414"/>
    </row>
    <row r="485" spans="5:21" ht="15.6">
      <c r="E485" s="1"/>
      <c r="F485" s="1"/>
      <c r="G485" s="1"/>
      <c r="H485" s="1"/>
      <c r="I485" s="1"/>
      <c r="J485" s="1"/>
      <c r="K485" s="1"/>
      <c r="P485" s="414"/>
      <c r="Q485" s="414"/>
      <c r="R485" s="414"/>
      <c r="S485" s="414"/>
      <c r="T485" s="414"/>
      <c r="U485" s="414"/>
    </row>
    <row r="486" spans="5:21" ht="15.6">
      <c r="E486" s="1"/>
      <c r="F486" s="1"/>
      <c r="G486" s="1"/>
      <c r="H486" s="1"/>
      <c r="I486" s="1"/>
      <c r="J486" s="1"/>
      <c r="K486" s="1"/>
      <c r="P486" s="414"/>
      <c r="Q486" s="414"/>
      <c r="R486" s="414"/>
      <c r="S486" s="414"/>
      <c r="T486" s="414"/>
      <c r="U486" s="414"/>
    </row>
    <row r="487" spans="5:21" ht="15.6">
      <c r="E487" s="1"/>
      <c r="F487" s="1"/>
      <c r="G487" s="1"/>
      <c r="H487" s="1"/>
      <c r="I487" s="1"/>
      <c r="J487" s="1"/>
      <c r="K487" s="1"/>
      <c r="P487" s="414"/>
      <c r="Q487" s="414"/>
      <c r="R487" s="414"/>
      <c r="S487" s="414"/>
      <c r="T487" s="414"/>
      <c r="U487" s="414"/>
    </row>
    <row r="488" spans="5:21" ht="15.6">
      <c r="E488" s="1"/>
      <c r="F488" s="1"/>
      <c r="G488" s="1"/>
      <c r="H488" s="1"/>
      <c r="I488" s="1"/>
      <c r="J488" s="1"/>
      <c r="K488" s="1"/>
      <c r="P488" s="414"/>
      <c r="Q488" s="414"/>
      <c r="R488" s="414"/>
      <c r="S488" s="414"/>
      <c r="T488" s="414"/>
      <c r="U488" s="414"/>
    </row>
    <row r="489" spans="5:21" ht="15.6">
      <c r="E489" s="1"/>
      <c r="F489" s="1"/>
      <c r="G489" s="1"/>
      <c r="H489" s="1"/>
      <c r="I489" s="1"/>
      <c r="J489" s="1"/>
      <c r="K489" s="1"/>
      <c r="P489" s="414"/>
      <c r="Q489" s="414"/>
      <c r="R489" s="414"/>
      <c r="S489" s="414"/>
      <c r="T489" s="414"/>
      <c r="U489" s="414"/>
    </row>
    <row r="490" spans="5:21" ht="15.6">
      <c r="E490" s="1"/>
      <c r="F490" s="1"/>
      <c r="G490" s="1"/>
      <c r="H490" s="1"/>
      <c r="I490" s="1"/>
      <c r="J490" s="1"/>
      <c r="K490" s="1"/>
      <c r="P490" s="414"/>
      <c r="Q490" s="414"/>
      <c r="R490" s="414"/>
      <c r="S490" s="414"/>
      <c r="T490" s="414"/>
      <c r="U490" s="414"/>
    </row>
    <row r="491" spans="5:21" ht="15.6">
      <c r="E491" s="1"/>
      <c r="F491" s="1"/>
      <c r="G491" s="1"/>
      <c r="H491" s="1"/>
      <c r="I491" s="1"/>
      <c r="J491" s="1"/>
      <c r="K491" s="1"/>
      <c r="P491" s="414"/>
      <c r="Q491" s="414"/>
      <c r="R491" s="414"/>
      <c r="S491" s="414"/>
      <c r="T491" s="414"/>
      <c r="U491" s="414"/>
    </row>
    <row r="492" spans="5:21" ht="15.6">
      <c r="E492" s="1"/>
      <c r="F492" s="1"/>
      <c r="G492" s="1"/>
      <c r="H492" s="1"/>
      <c r="I492" s="1"/>
      <c r="J492" s="1"/>
      <c r="K492" s="1"/>
      <c r="P492" s="414"/>
      <c r="Q492" s="414"/>
      <c r="R492" s="414"/>
      <c r="S492" s="414"/>
      <c r="T492" s="414"/>
      <c r="U492" s="414"/>
    </row>
    <row r="493" spans="5:21" ht="15.6">
      <c r="E493" s="1"/>
      <c r="F493" s="1"/>
      <c r="G493" s="1"/>
      <c r="H493" s="1"/>
      <c r="I493" s="1"/>
      <c r="J493" s="1"/>
      <c r="K493" s="1"/>
      <c r="P493" s="414"/>
      <c r="Q493" s="414"/>
      <c r="R493" s="414"/>
      <c r="S493" s="414"/>
      <c r="T493" s="414"/>
      <c r="U493" s="414"/>
    </row>
    <row r="494" spans="5:21" ht="15.6">
      <c r="E494" s="1"/>
      <c r="F494" s="1"/>
      <c r="G494" s="1"/>
      <c r="H494" s="1"/>
      <c r="I494" s="1"/>
      <c r="J494" s="1"/>
      <c r="K494" s="1"/>
      <c r="P494" s="414"/>
      <c r="Q494" s="414"/>
      <c r="R494" s="414"/>
      <c r="S494" s="414"/>
      <c r="T494" s="414"/>
      <c r="U494" s="414"/>
    </row>
    <row r="495" spans="5:21" ht="15.6">
      <c r="E495" s="1"/>
      <c r="F495" s="1"/>
      <c r="G495" s="1"/>
      <c r="H495" s="1"/>
      <c r="I495" s="1"/>
      <c r="J495" s="1"/>
      <c r="K495" s="1"/>
      <c r="P495" s="414"/>
      <c r="Q495" s="414"/>
      <c r="R495" s="414"/>
      <c r="S495" s="414"/>
      <c r="T495" s="414"/>
      <c r="U495" s="414"/>
    </row>
    <row r="496" spans="5:21" ht="15.6">
      <c r="E496" s="1"/>
      <c r="F496" s="1"/>
      <c r="G496" s="1"/>
      <c r="H496" s="1"/>
      <c r="I496" s="1"/>
      <c r="J496" s="1"/>
      <c r="K496" s="1"/>
      <c r="P496" s="414"/>
      <c r="Q496" s="414"/>
      <c r="R496" s="414"/>
      <c r="S496" s="414"/>
      <c r="T496" s="414"/>
      <c r="U496" s="414"/>
    </row>
    <row r="497" spans="5:21" ht="15.6">
      <c r="E497" s="1"/>
      <c r="F497" s="1"/>
      <c r="G497" s="1"/>
      <c r="H497" s="1"/>
      <c r="I497" s="1"/>
      <c r="J497" s="1"/>
      <c r="K497" s="1"/>
      <c r="P497" s="414"/>
      <c r="Q497" s="414"/>
      <c r="R497" s="414"/>
      <c r="S497" s="414"/>
      <c r="T497" s="414"/>
      <c r="U497" s="414"/>
    </row>
    <row r="498" spans="5:21" ht="15.6">
      <c r="E498" s="1"/>
      <c r="F498" s="1"/>
      <c r="G498" s="1"/>
      <c r="H498" s="1"/>
      <c r="I498" s="1"/>
      <c r="J498" s="1"/>
      <c r="K498" s="1"/>
      <c r="P498" s="414"/>
      <c r="Q498" s="414"/>
      <c r="R498" s="414"/>
      <c r="S498" s="414"/>
      <c r="T498" s="414"/>
      <c r="U498" s="414"/>
    </row>
    <row r="499" spans="5:21" ht="15.6">
      <c r="E499" s="1"/>
      <c r="F499" s="1"/>
      <c r="G499" s="1"/>
      <c r="H499" s="1"/>
      <c r="I499" s="1"/>
      <c r="J499" s="1"/>
      <c r="K499" s="1"/>
      <c r="P499" s="414"/>
      <c r="Q499" s="414"/>
      <c r="R499" s="414"/>
      <c r="S499" s="414"/>
      <c r="T499" s="414"/>
      <c r="U499" s="414"/>
    </row>
    <row r="500" spans="5:21" ht="15.6">
      <c r="E500" s="1"/>
      <c r="F500" s="1"/>
      <c r="G500" s="1"/>
      <c r="H500" s="1"/>
      <c r="I500" s="1"/>
      <c r="J500" s="1"/>
      <c r="K500" s="1"/>
      <c r="P500" s="414"/>
      <c r="Q500" s="414"/>
      <c r="R500" s="414"/>
      <c r="S500" s="414"/>
      <c r="T500" s="414"/>
      <c r="U500" s="414"/>
    </row>
    <row r="501" spans="5:21" ht="15.6">
      <c r="E501" s="1"/>
      <c r="F501" s="1"/>
      <c r="G501" s="1"/>
      <c r="H501" s="1"/>
      <c r="I501" s="1"/>
      <c r="J501" s="1"/>
      <c r="K501" s="1"/>
      <c r="P501" s="414"/>
      <c r="Q501" s="414"/>
      <c r="R501" s="414"/>
      <c r="S501" s="414"/>
      <c r="T501" s="414"/>
      <c r="U501" s="414"/>
    </row>
    <row r="502" spans="5:21" ht="15.6">
      <c r="E502" s="1"/>
      <c r="F502" s="1"/>
      <c r="G502" s="1"/>
      <c r="H502" s="1"/>
      <c r="I502" s="1"/>
      <c r="J502" s="1"/>
      <c r="K502" s="1"/>
      <c r="P502" s="414"/>
      <c r="Q502" s="414"/>
      <c r="R502" s="414"/>
      <c r="S502" s="414"/>
      <c r="T502" s="414"/>
      <c r="U502" s="414"/>
    </row>
    <row r="503" spans="5:21" ht="15.6">
      <c r="E503" s="1"/>
      <c r="F503" s="1"/>
      <c r="G503" s="1"/>
      <c r="H503" s="1"/>
      <c r="I503" s="1"/>
      <c r="J503" s="1"/>
      <c r="K503" s="1"/>
      <c r="P503" s="414"/>
      <c r="Q503" s="414"/>
      <c r="R503" s="414"/>
      <c r="S503" s="414"/>
      <c r="T503" s="414"/>
      <c r="U503" s="414"/>
    </row>
    <row r="504" spans="5:21" ht="15.6">
      <c r="E504" s="1"/>
      <c r="F504" s="1"/>
      <c r="G504" s="1"/>
      <c r="H504" s="1"/>
      <c r="I504" s="1"/>
      <c r="J504" s="1"/>
      <c r="K504" s="1"/>
      <c r="P504" s="414"/>
      <c r="Q504" s="414"/>
      <c r="R504" s="414"/>
      <c r="S504" s="414"/>
      <c r="T504" s="414"/>
      <c r="U504" s="414"/>
    </row>
    <row r="505" spans="5:21" ht="15.6">
      <c r="E505" s="1"/>
      <c r="F505" s="1"/>
      <c r="G505" s="1"/>
      <c r="H505" s="1"/>
      <c r="I505" s="1"/>
      <c r="J505" s="1"/>
      <c r="K505" s="1"/>
      <c r="P505" s="414"/>
      <c r="Q505" s="414"/>
      <c r="R505" s="414"/>
      <c r="S505" s="414"/>
      <c r="T505" s="414"/>
      <c r="U505" s="414"/>
    </row>
    <row r="506" spans="5:21" ht="15.6">
      <c r="E506" s="1"/>
      <c r="F506" s="1"/>
      <c r="G506" s="1"/>
      <c r="H506" s="1"/>
      <c r="I506" s="1"/>
      <c r="J506" s="1"/>
      <c r="K506" s="1"/>
      <c r="P506" s="414"/>
      <c r="Q506" s="414"/>
      <c r="R506" s="414"/>
      <c r="S506" s="414"/>
      <c r="T506" s="414"/>
      <c r="U506" s="414"/>
    </row>
    <row r="507" spans="5:21" ht="15.6">
      <c r="E507" s="1"/>
      <c r="F507" s="1"/>
      <c r="G507" s="1"/>
      <c r="H507" s="1"/>
      <c r="I507" s="1"/>
      <c r="J507" s="1"/>
      <c r="K507" s="1"/>
      <c r="P507" s="414"/>
      <c r="Q507" s="414"/>
      <c r="R507" s="414"/>
      <c r="S507" s="414"/>
      <c r="T507" s="414"/>
      <c r="U507" s="414"/>
    </row>
    <row r="508" spans="5:21" ht="15.6">
      <c r="E508" s="1"/>
      <c r="F508" s="1"/>
      <c r="G508" s="1"/>
      <c r="H508" s="1"/>
      <c r="I508" s="1"/>
      <c r="J508" s="1"/>
      <c r="K508" s="1"/>
      <c r="P508" s="414"/>
      <c r="Q508" s="414"/>
      <c r="R508" s="414"/>
      <c r="S508" s="414"/>
      <c r="T508" s="414"/>
      <c r="U508" s="414"/>
    </row>
    <row r="509" spans="5:21" ht="15.6">
      <c r="E509" s="1"/>
      <c r="F509" s="1"/>
      <c r="G509" s="1"/>
      <c r="H509" s="1"/>
      <c r="I509" s="1"/>
      <c r="J509" s="1"/>
      <c r="K509" s="1"/>
      <c r="P509" s="414"/>
      <c r="Q509" s="414"/>
      <c r="R509" s="414"/>
      <c r="S509" s="414"/>
      <c r="T509" s="414"/>
      <c r="U509" s="414"/>
    </row>
    <row r="510" spans="5:21" ht="15.6">
      <c r="E510" s="1"/>
      <c r="F510" s="1"/>
      <c r="G510" s="1"/>
      <c r="H510" s="1"/>
      <c r="I510" s="1"/>
      <c r="J510" s="1"/>
      <c r="K510" s="1"/>
      <c r="P510" s="414"/>
      <c r="Q510" s="414"/>
      <c r="R510" s="414"/>
      <c r="S510" s="414"/>
      <c r="T510" s="414"/>
      <c r="U510" s="414"/>
    </row>
    <row r="511" spans="5:21" ht="15.6">
      <c r="E511" s="1"/>
      <c r="F511" s="1"/>
      <c r="G511" s="1"/>
      <c r="H511" s="1"/>
      <c r="I511" s="1"/>
      <c r="J511" s="1"/>
      <c r="K511" s="1"/>
      <c r="P511" s="414"/>
      <c r="Q511" s="414"/>
      <c r="R511" s="414"/>
      <c r="S511" s="414"/>
      <c r="T511" s="414"/>
      <c r="U511" s="414"/>
    </row>
    <row r="512" spans="5:21" ht="15.6">
      <c r="E512" s="1"/>
      <c r="F512" s="1"/>
      <c r="G512" s="1"/>
      <c r="H512" s="1"/>
      <c r="I512" s="1"/>
      <c r="J512" s="1"/>
      <c r="K512" s="1"/>
      <c r="P512" s="414"/>
      <c r="Q512" s="414"/>
      <c r="R512" s="414"/>
      <c r="S512" s="414"/>
      <c r="T512" s="414"/>
      <c r="U512" s="414"/>
    </row>
    <row r="513" spans="5:21" ht="15.6">
      <c r="E513" s="1"/>
      <c r="F513" s="1"/>
      <c r="G513" s="1"/>
      <c r="H513" s="1"/>
      <c r="I513" s="1"/>
      <c r="J513" s="1"/>
      <c r="K513" s="1"/>
      <c r="P513" s="414"/>
      <c r="Q513" s="414"/>
      <c r="R513" s="414"/>
      <c r="S513" s="414"/>
      <c r="T513" s="414"/>
      <c r="U513" s="414"/>
    </row>
    <row r="514" spans="5:21" ht="15.6">
      <c r="E514" s="1"/>
      <c r="F514" s="1"/>
      <c r="G514" s="1"/>
      <c r="H514" s="1"/>
      <c r="I514" s="1"/>
      <c r="J514" s="1"/>
      <c r="K514" s="1"/>
      <c r="P514" s="414"/>
      <c r="Q514" s="414"/>
      <c r="R514" s="414"/>
      <c r="S514" s="414"/>
      <c r="T514" s="414"/>
      <c r="U514" s="414"/>
    </row>
    <row r="515" spans="5:21" ht="15.6">
      <c r="E515" s="1"/>
      <c r="F515" s="1"/>
      <c r="G515" s="1"/>
      <c r="H515" s="1"/>
      <c r="I515" s="1"/>
      <c r="J515" s="1"/>
      <c r="K515" s="1"/>
      <c r="P515" s="414"/>
      <c r="Q515" s="414"/>
      <c r="R515" s="414"/>
      <c r="S515" s="414"/>
      <c r="T515" s="414"/>
      <c r="U515" s="414"/>
    </row>
    <row r="516" spans="5:21" ht="15.6">
      <c r="E516" s="1"/>
      <c r="F516" s="1"/>
      <c r="G516" s="1"/>
      <c r="H516" s="1"/>
      <c r="I516" s="1"/>
      <c r="J516" s="1"/>
      <c r="K516" s="1"/>
      <c r="P516" s="414"/>
      <c r="Q516" s="414"/>
      <c r="R516" s="414"/>
      <c r="S516" s="414"/>
      <c r="T516" s="414"/>
      <c r="U516" s="414"/>
    </row>
    <row r="517" spans="5:21" ht="15.6">
      <c r="E517" s="1"/>
      <c r="F517" s="1"/>
      <c r="G517" s="1"/>
      <c r="H517" s="1"/>
      <c r="I517" s="1"/>
      <c r="J517" s="1"/>
      <c r="K517" s="1"/>
      <c r="P517" s="414"/>
      <c r="Q517" s="414"/>
      <c r="R517" s="414"/>
      <c r="S517" s="414"/>
      <c r="T517" s="414"/>
      <c r="U517" s="414"/>
    </row>
    <row r="518" spans="5:21" ht="15.6">
      <c r="E518" s="1"/>
      <c r="F518" s="1"/>
      <c r="G518" s="1"/>
      <c r="H518" s="1"/>
      <c r="I518" s="1"/>
      <c r="J518" s="1"/>
      <c r="K518" s="1"/>
      <c r="P518" s="414"/>
      <c r="Q518" s="414"/>
      <c r="R518" s="414"/>
      <c r="S518" s="414"/>
      <c r="T518" s="414"/>
      <c r="U518" s="414"/>
    </row>
    <row r="519" spans="5:21" ht="15.6">
      <c r="E519" s="1"/>
      <c r="F519" s="1"/>
      <c r="G519" s="1"/>
      <c r="H519" s="1"/>
      <c r="I519" s="1"/>
      <c r="J519" s="1"/>
      <c r="K519" s="1"/>
      <c r="P519" s="414"/>
      <c r="Q519" s="414"/>
      <c r="R519" s="414"/>
      <c r="S519" s="414"/>
      <c r="T519" s="414"/>
      <c r="U519" s="414"/>
    </row>
    <row r="520" spans="5:21" ht="15.6">
      <c r="E520" s="1"/>
      <c r="F520" s="1"/>
      <c r="G520" s="1"/>
      <c r="H520" s="1"/>
      <c r="I520" s="1"/>
      <c r="J520" s="1"/>
      <c r="K520" s="1"/>
      <c r="P520" s="414"/>
      <c r="Q520" s="414"/>
      <c r="R520" s="414"/>
      <c r="S520" s="414"/>
      <c r="T520" s="414"/>
      <c r="U520" s="414"/>
    </row>
    <row r="521" spans="5:21" ht="15.6">
      <c r="E521" s="1"/>
      <c r="F521" s="1"/>
      <c r="G521" s="1"/>
      <c r="H521" s="1"/>
      <c r="I521" s="1"/>
      <c r="J521" s="1"/>
      <c r="K521" s="1"/>
      <c r="P521" s="414"/>
      <c r="Q521" s="414"/>
      <c r="R521" s="414"/>
      <c r="S521" s="414"/>
      <c r="T521" s="414"/>
      <c r="U521" s="414"/>
    </row>
    <row r="522" spans="5:21" ht="15.6">
      <c r="E522" s="1"/>
      <c r="F522" s="1"/>
      <c r="G522" s="1"/>
      <c r="H522" s="1"/>
      <c r="I522" s="1"/>
      <c r="J522" s="1"/>
      <c r="K522" s="1"/>
      <c r="P522" s="414"/>
      <c r="Q522" s="414"/>
      <c r="R522" s="414"/>
      <c r="S522" s="414"/>
      <c r="T522" s="414"/>
      <c r="U522" s="414"/>
    </row>
    <row r="523" spans="5:21" ht="15.6">
      <c r="E523" s="1"/>
      <c r="F523" s="1"/>
      <c r="G523" s="1"/>
      <c r="H523" s="1"/>
      <c r="I523" s="1"/>
      <c r="J523" s="1"/>
      <c r="K523" s="1"/>
      <c r="P523" s="414"/>
      <c r="Q523" s="414"/>
      <c r="R523" s="414"/>
      <c r="S523" s="414"/>
      <c r="T523" s="414"/>
      <c r="U523" s="414"/>
    </row>
    <row r="524" spans="5:21" ht="15.6">
      <c r="E524" s="1"/>
      <c r="F524" s="1"/>
      <c r="G524" s="1"/>
      <c r="H524" s="1"/>
      <c r="I524" s="1"/>
      <c r="J524" s="1"/>
      <c r="K524" s="1"/>
      <c r="P524" s="414"/>
      <c r="Q524" s="414"/>
      <c r="R524" s="414"/>
      <c r="S524" s="414"/>
      <c r="T524" s="414"/>
      <c r="U524" s="414"/>
    </row>
    <row r="525" spans="5:21" ht="15.6">
      <c r="E525" s="1"/>
      <c r="F525" s="1"/>
      <c r="G525" s="1"/>
      <c r="H525" s="1"/>
      <c r="I525" s="1"/>
      <c r="J525" s="1"/>
      <c r="K525" s="1"/>
      <c r="P525" s="414"/>
      <c r="Q525" s="414"/>
      <c r="R525" s="414"/>
      <c r="S525" s="414"/>
      <c r="T525" s="414"/>
      <c r="U525" s="414"/>
    </row>
    <row r="526" spans="5:21" ht="15.6">
      <c r="E526" s="1"/>
      <c r="F526" s="1"/>
      <c r="G526" s="1"/>
      <c r="H526" s="1"/>
      <c r="I526" s="1"/>
      <c r="J526" s="1"/>
      <c r="K526" s="1"/>
      <c r="P526" s="414"/>
      <c r="Q526" s="414"/>
      <c r="R526" s="414"/>
      <c r="S526" s="414"/>
      <c r="T526" s="414"/>
      <c r="U526" s="414"/>
    </row>
    <row r="527" spans="5:21" ht="15.6">
      <c r="E527" s="1"/>
      <c r="F527" s="1"/>
      <c r="G527" s="1"/>
      <c r="H527" s="1"/>
      <c r="I527" s="1"/>
      <c r="J527" s="1"/>
      <c r="K527" s="1"/>
      <c r="P527" s="414"/>
      <c r="Q527" s="414"/>
      <c r="R527" s="414"/>
      <c r="S527" s="414"/>
      <c r="T527" s="414"/>
      <c r="U527" s="414"/>
    </row>
    <row r="528" spans="5:21" ht="15.6">
      <c r="E528" s="1"/>
      <c r="F528" s="1"/>
      <c r="G528" s="1"/>
      <c r="H528" s="1"/>
      <c r="I528" s="1"/>
      <c r="J528" s="1"/>
      <c r="K528" s="1"/>
      <c r="P528" s="414"/>
      <c r="Q528" s="414"/>
      <c r="R528" s="414"/>
      <c r="S528" s="414"/>
      <c r="T528" s="414"/>
      <c r="U528" s="414"/>
    </row>
    <row r="529" spans="5:21" ht="15.6">
      <c r="E529" s="1"/>
      <c r="F529" s="1"/>
      <c r="G529" s="1"/>
      <c r="H529" s="1"/>
      <c r="I529" s="1"/>
      <c r="J529" s="1"/>
      <c r="K529" s="1"/>
      <c r="P529" s="414"/>
      <c r="Q529" s="414"/>
      <c r="R529" s="414"/>
      <c r="S529" s="414"/>
      <c r="T529" s="414"/>
      <c r="U529" s="414"/>
    </row>
    <row r="530" spans="5:21" ht="15.6">
      <c r="E530" s="1"/>
      <c r="F530" s="1"/>
      <c r="G530" s="1"/>
      <c r="H530" s="1"/>
      <c r="I530" s="1"/>
      <c r="J530" s="1"/>
      <c r="K530" s="1"/>
      <c r="P530" s="414"/>
      <c r="Q530" s="414"/>
      <c r="R530" s="414"/>
      <c r="S530" s="414"/>
      <c r="T530" s="414"/>
      <c r="U530" s="414"/>
    </row>
    <row r="531" spans="5:21" ht="15.6">
      <c r="E531" s="1"/>
      <c r="F531" s="1"/>
      <c r="G531" s="1"/>
      <c r="H531" s="1"/>
      <c r="I531" s="1"/>
      <c r="J531" s="1"/>
      <c r="K531" s="1"/>
      <c r="P531" s="414"/>
      <c r="Q531" s="414"/>
      <c r="R531" s="414"/>
      <c r="S531" s="414"/>
      <c r="T531" s="414"/>
      <c r="U531" s="414"/>
    </row>
    <row r="532" spans="5:21" ht="15.6">
      <c r="E532" s="1"/>
      <c r="F532" s="1"/>
      <c r="G532" s="1"/>
      <c r="H532" s="1"/>
      <c r="I532" s="1"/>
      <c r="J532" s="1"/>
      <c r="K532" s="1"/>
      <c r="P532" s="414"/>
      <c r="Q532" s="414"/>
      <c r="R532" s="414"/>
      <c r="S532" s="414"/>
      <c r="T532" s="414"/>
      <c r="U532" s="414"/>
    </row>
    <row r="533" spans="5:21" ht="15.6">
      <c r="E533" s="1"/>
      <c r="F533" s="1"/>
      <c r="G533" s="1"/>
      <c r="H533" s="1"/>
      <c r="I533" s="1"/>
      <c r="J533" s="1"/>
      <c r="K533" s="1"/>
      <c r="P533" s="414"/>
      <c r="Q533" s="414"/>
      <c r="R533" s="414"/>
      <c r="S533" s="414"/>
      <c r="T533" s="414"/>
      <c r="U533" s="414"/>
    </row>
    <row r="534" spans="5:21" ht="15.6">
      <c r="E534" s="1"/>
      <c r="F534" s="1"/>
      <c r="G534" s="1"/>
      <c r="H534" s="1"/>
      <c r="I534" s="1"/>
      <c r="J534" s="1"/>
      <c r="K534" s="1"/>
      <c r="P534" s="414"/>
      <c r="Q534" s="414"/>
      <c r="R534" s="414"/>
      <c r="S534" s="414"/>
      <c r="T534" s="414"/>
      <c r="U534" s="414"/>
    </row>
    <row r="535" spans="5:21" ht="15.6">
      <c r="E535" s="1"/>
      <c r="F535" s="1"/>
      <c r="G535" s="1"/>
      <c r="H535" s="1"/>
      <c r="I535" s="1"/>
      <c r="J535" s="1"/>
      <c r="K535" s="1"/>
      <c r="P535" s="414"/>
      <c r="Q535" s="414"/>
      <c r="R535" s="414"/>
      <c r="S535" s="414"/>
      <c r="T535" s="414"/>
      <c r="U535" s="414"/>
    </row>
    <row r="536" spans="5:21" ht="15.6">
      <c r="E536" s="1"/>
      <c r="F536" s="1"/>
      <c r="G536" s="1"/>
      <c r="H536" s="1"/>
      <c r="I536" s="1"/>
      <c r="J536" s="1"/>
      <c r="K536" s="1"/>
      <c r="P536" s="414"/>
      <c r="Q536" s="414"/>
      <c r="R536" s="414"/>
      <c r="S536" s="414"/>
      <c r="T536" s="414"/>
      <c r="U536" s="414"/>
    </row>
    <row r="537" spans="5:21" ht="15.6">
      <c r="E537" s="1"/>
      <c r="F537" s="1"/>
      <c r="G537" s="1"/>
      <c r="H537" s="1"/>
      <c r="I537" s="1"/>
      <c r="J537" s="1"/>
      <c r="K537" s="1"/>
      <c r="P537" s="414"/>
      <c r="Q537" s="414"/>
      <c r="R537" s="414"/>
      <c r="S537" s="414"/>
      <c r="T537" s="414"/>
      <c r="U537" s="414"/>
    </row>
    <row r="538" spans="5:21" ht="15.6">
      <c r="E538" s="1"/>
      <c r="F538" s="1"/>
      <c r="G538" s="1"/>
      <c r="H538" s="1"/>
      <c r="I538" s="1"/>
      <c r="J538" s="1"/>
      <c r="K538" s="1"/>
      <c r="P538" s="414"/>
      <c r="Q538" s="414"/>
      <c r="R538" s="414"/>
      <c r="S538" s="414"/>
      <c r="T538" s="414"/>
      <c r="U538" s="414"/>
    </row>
    <row r="539" spans="5:21" ht="15.6">
      <c r="E539" s="1"/>
      <c r="F539" s="1"/>
      <c r="G539" s="1"/>
      <c r="H539" s="1"/>
      <c r="I539" s="1"/>
      <c r="J539" s="1"/>
      <c r="K539" s="1"/>
      <c r="P539" s="414"/>
      <c r="Q539" s="414"/>
      <c r="R539" s="414"/>
      <c r="S539" s="414"/>
      <c r="T539" s="414"/>
      <c r="U539" s="414"/>
    </row>
    <row r="540" spans="5:21" ht="15.6">
      <c r="E540" s="1"/>
      <c r="F540" s="1"/>
      <c r="G540" s="1"/>
      <c r="H540" s="1"/>
      <c r="I540" s="1"/>
      <c r="J540" s="1"/>
      <c r="K540" s="1"/>
      <c r="P540" s="414"/>
      <c r="Q540" s="414"/>
      <c r="R540" s="414"/>
      <c r="S540" s="414"/>
      <c r="T540" s="414"/>
      <c r="U540" s="414"/>
    </row>
    <row r="541" spans="5:21" ht="15.6">
      <c r="E541" s="1"/>
      <c r="F541" s="1"/>
      <c r="G541" s="1"/>
      <c r="H541" s="1"/>
      <c r="I541" s="1"/>
      <c r="J541" s="1"/>
      <c r="K541" s="1"/>
      <c r="P541" s="414"/>
      <c r="Q541" s="414"/>
      <c r="R541" s="414"/>
      <c r="S541" s="414"/>
      <c r="T541" s="414"/>
      <c r="U541" s="414"/>
    </row>
    <row r="542" spans="5:21" ht="15.6">
      <c r="E542" s="1"/>
      <c r="F542" s="1"/>
      <c r="G542" s="1"/>
      <c r="H542" s="1"/>
      <c r="I542" s="1"/>
      <c r="J542" s="1"/>
      <c r="K542" s="1"/>
      <c r="P542" s="414"/>
      <c r="Q542" s="414"/>
      <c r="R542" s="414"/>
      <c r="S542" s="414"/>
      <c r="T542" s="414"/>
      <c r="U542" s="414"/>
    </row>
    <row r="543" spans="5:21" ht="15.6">
      <c r="E543" s="1"/>
      <c r="F543" s="1"/>
      <c r="G543" s="1"/>
      <c r="H543" s="1"/>
      <c r="I543" s="1"/>
      <c r="J543" s="1"/>
      <c r="K543" s="1"/>
      <c r="P543" s="414"/>
      <c r="Q543" s="414"/>
      <c r="R543" s="414"/>
      <c r="S543" s="414"/>
      <c r="T543" s="414"/>
      <c r="U543" s="414"/>
    </row>
    <row r="544" spans="5:21" ht="15.6">
      <c r="E544" s="1"/>
      <c r="F544" s="1"/>
      <c r="G544" s="1"/>
      <c r="H544" s="1"/>
      <c r="I544" s="1"/>
      <c r="J544" s="1"/>
      <c r="K544" s="1"/>
      <c r="P544" s="414"/>
      <c r="Q544" s="414"/>
      <c r="R544" s="414"/>
      <c r="S544" s="414"/>
      <c r="T544" s="414"/>
      <c r="U544" s="414"/>
    </row>
    <row r="545" spans="5:21" ht="15.6">
      <c r="E545" s="1"/>
      <c r="F545" s="1"/>
      <c r="G545" s="1"/>
      <c r="H545" s="1"/>
      <c r="I545" s="1"/>
      <c r="J545" s="1"/>
      <c r="K545" s="1"/>
      <c r="P545" s="414"/>
      <c r="Q545" s="414"/>
      <c r="R545" s="414"/>
      <c r="S545" s="414"/>
      <c r="T545" s="414"/>
      <c r="U545" s="414"/>
    </row>
    <row r="546" spans="5:21" ht="15.6">
      <c r="E546" s="1"/>
      <c r="F546" s="1"/>
      <c r="G546" s="1"/>
      <c r="H546" s="1"/>
      <c r="I546" s="1"/>
      <c r="J546" s="1"/>
      <c r="K546" s="1"/>
      <c r="P546" s="414"/>
      <c r="Q546" s="414"/>
      <c r="R546" s="414"/>
      <c r="S546" s="414"/>
      <c r="T546" s="414"/>
      <c r="U546" s="414"/>
    </row>
    <row r="547" spans="5:21" ht="15.6">
      <c r="E547" s="1"/>
      <c r="F547" s="1"/>
      <c r="G547" s="1"/>
      <c r="H547" s="1"/>
      <c r="I547" s="1"/>
      <c r="J547" s="1"/>
      <c r="K547" s="1"/>
      <c r="P547" s="414"/>
      <c r="Q547" s="414"/>
      <c r="R547" s="414"/>
      <c r="S547" s="414"/>
      <c r="T547" s="414"/>
      <c r="U547" s="414"/>
    </row>
    <row r="548" spans="5:21" ht="15.6">
      <c r="E548" s="1"/>
      <c r="F548" s="1"/>
      <c r="G548" s="1"/>
      <c r="H548" s="1"/>
      <c r="I548" s="1"/>
      <c r="J548" s="1"/>
      <c r="K548" s="1"/>
      <c r="P548" s="414"/>
      <c r="Q548" s="414"/>
      <c r="R548" s="414"/>
      <c r="S548" s="414"/>
      <c r="T548" s="414"/>
      <c r="U548" s="414"/>
    </row>
    <row r="549" spans="5:21" ht="15.6">
      <c r="E549" s="1"/>
      <c r="F549" s="1"/>
      <c r="G549" s="1"/>
      <c r="H549" s="1"/>
      <c r="I549" s="1"/>
      <c r="J549" s="1"/>
      <c r="K549" s="1"/>
      <c r="P549" s="414"/>
      <c r="Q549" s="414"/>
      <c r="R549" s="414"/>
      <c r="S549" s="414"/>
      <c r="T549" s="414"/>
      <c r="U549" s="414"/>
    </row>
    <row r="550" spans="5:21" ht="15.6">
      <c r="E550" s="1"/>
      <c r="F550" s="1"/>
      <c r="G550" s="1"/>
      <c r="H550" s="1"/>
      <c r="I550" s="1"/>
      <c r="J550" s="1"/>
      <c r="K550" s="1"/>
      <c r="P550" s="414"/>
      <c r="Q550" s="414"/>
      <c r="R550" s="414"/>
      <c r="S550" s="414"/>
      <c r="T550" s="414"/>
      <c r="U550" s="414"/>
    </row>
    <row r="551" spans="5:21" ht="15.6">
      <c r="E551" s="1"/>
      <c r="F551" s="1"/>
      <c r="G551" s="1"/>
      <c r="H551" s="1"/>
      <c r="I551" s="1"/>
      <c r="J551" s="1"/>
      <c r="K551" s="1"/>
      <c r="P551" s="414"/>
      <c r="Q551" s="414"/>
      <c r="R551" s="414"/>
      <c r="S551" s="414"/>
      <c r="T551" s="414"/>
      <c r="U551" s="414"/>
    </row>
    <row r="552" spans="5:21" ht="15.6">
      <c r="E552" s="1"/>
      <c r="F552" s="1"/>
      <c r="G552" s="1"/>
      <c r="H552" s="1"/>
      <c r="I552" s="1"/>
      <c r="J552" s="1"/>
      <c r="K552" s="1"/>
      <c r="P552" s="414"/>
      <c r="Q552" s="414"/>
      <c r="R552" s="414"/>
      <c r="S552" s="414"/>
      <c r="T552" s="414"/>
      <c r="U552" s="414"/>
    </row>
    <row r="553" spans="5:21" ht="15.6">
      <c r="E553" s="1"/>
      <c r="F553" s="1"/>
      <c r="G553" s="1"/>
      <c r="H553" s="1"/>
      <c r="I553" s="1"/>
      <c r="J553" s="1"/>
      <c r="K553" s="1"/>
      <c r="P553" s="414"/>
      <c r="Q553" s="414"/>
      <c r="R553" s="414"/>
      <c r="S553" s="414"/>
      <c r="T553" s="414"/>
      <c r="U553" s="414"/>
    </row>
    <row r="554" spans="5:21" ht="15.6">
      <c r="E554" s="1"/>
      <c r="F554" s="1"/>
      <c r="G554" s="1"/>
      <c r="H554" s="1"/>
      <c r="I554" s="1"/>
      <c r="J554" s="1"/>
      <c r="K554" s="1"/>
      <c r="P554" s="414"/>
      <c r="Q554" s="414"/>
      <c r="R554" s="414"/>
      <c r="S554" s="414"/>
      <c r="T554" s="414"/>
      <c r="U554" s="414"/>
    </row>
    <row r="555" spans="5:21" ht="15.6">
      <c r="E555" s="1"/>
      <c r="F555" s="1"/>
      <c r="G555" s="1"/>
      <c r="H555" s="1"/>
      <c r="I555" s="1"/>
      <c r="J555" s="1"/>
      <c r="K555" s="1"/>
      <c r="P555" s="414"/>
      <c r="Q555" s="414"/>
      <c r="R555" s="414"/>
      <c r="S555" s="414"/>
      <c r="T555" s="414"/>
      <c r="U555" s="414"/>
    </row>
    <row r="556" spans="5:21" ht="15.6">
      <c r="E556" s="1"/>
      <c r="F556" s="1"/>
      <c r="G556" s="1"/>
      <c r="H556" s="1"/>
      <c r="I556" s="1"/>
      <c r="J556" s="1"/>
      <c r="K556" s="1"/>
      <c r="P556" s="414"/>
      <c r="Q556" s="414"/>
      <c r="R556" s="414"/>
      <c r="S556" s="414"/>
      <c r="T556" s="414"/>
      <c r="U556" s="414"/>
    </row>
    <row r="557" spans="5:21" ht="15.6">
      <c r="E557" s="1"/>
      <c r="F557" s="1"/>
      <c r="G557" s="1"/>
      <c r="H557" s="1"/>
      <c r="I557" s="1"/>
      <c r="J557" s="1"/>
      <c r="K557" s="1"/>
      <c r="P557" s="414"/>
      <c r="Q557" s="414"/>
      <c r="R557" s="414"/>
      <c r="S557" s="414"/>
      <c r="T557" s="414"/>
      <c r="U557" s="414"/>
    </row>
    <row r="558" spans="5:21" ht="15.6">
      <c r="E558" s="1"/>
      <c r="F558" s="1"/>
      <c r="G558" s="1"/>
      <c r="H558" s="1"/>
      <c r="I558" s="1"/>
      <c r="J558" s="1"/>
      <c r="K558" s="1"/>
      <c r="P558" s="414"/>
      <c r="Q558" s="414"/>
      <c r="R558" s="414"/>
      <c r="S558" s="414"/>
      <c r="T558" s="414"/>
      <c r="U558" s="414"/>
    </row>
    <row r="559" spans="5:21" ht="15.6">
      <c r="E559" s="1"/>
      <c r="F559" s="1"/>
      <c r="G559" s="1"/>
      <c r="H559" s="1"/>
      <c r="I559" s="1"/>
      <c r="J559" s="1"/>
      <c r="K559" s="1"/>
      <c r="P559" s="414"/>
      <c r="Q559" s="414"/>
      <c r="R559" s="414"/>
      <c r="S559" s="414"/>
      <c r="T559" s="414"/>
      <c r="U559" s="414"/>
    </row>
    <row r="560" spans="5:21" ht="15.6">
      <c r="E560" s="1"/>
      <c r="F560" s="1"/>
      <c r="G560" s="1"/>
      <c r="H560" s="1"/>
      <c r="I560" s="1"/>
      <c r="J560" s="1"/>
      <c r="K560" s="1"/>
      <c r="P560" s="414"/>
      <c r="Q560" s="414"/>
      <c r="R560" s="414"/>
      <c r="S560" s="414"/>
      <c r="T560" s="414"/>
      <c r="U560" s="414"/>
    </row>
    <row r="561" spans="5:21" ht="15.6">
      <c r="E561" s="1"/>
      <c r="F561" s="1"/>
      <c r="G561" s="1"/>
      <c r="H561" s="1"/>
      <c r="I561" s="1"/>
      <c r="J561" s="1"/>
      <c r="K561" s="1"/>
      <c r="P561" s="414"/>
      <c r="Q561" s="414"/>
      <c r="R561" s="414"/>
      <c r="S561" s="414"/>
      <c r="T561" s="414"/>
      <c r="U561" s="414"/>
    </row>
    <row r="562" spans="5:21" ht="15.6">
      <c r="E562" s="1"/>
      <c r="F562" s="1"/>
      <c r="G562" s="1"/>
      <c r="H562" s="1"/>
      <c r="I562" s="1"/>
      <c r="J562" s="1"/>
      <c r="K562" s="1"/>
      <c r="P562" s="414"/>
      <c r="Q562" s="414"/>
      <c r="R562" s="414"/>
      <c r="S562" s="414"/>
      <c r="T562" s="414"/>
      <c r="U562" s="414"/>
    </row>
    <row r="563" spans="5:21" ht="15.6">
      <c r="E563" s="1"/>
      <c r="F563" s="1"/>
      <c r="G563" s="1"/>
      <c r="H563" s="1"/>
      <c r="I563" s="1"/>
      <c r="J563" s="1"/>
      <c r="K563" s="1"/>
      <c r="P563" s="414"/>
      <c r="Q563" s="414"/>
      <c r="R563" s="414"/>
      <c r="S563" s="414"/>
      <c r="T563" s="414"/>
      <c r="U563" s="414"/>
    </row>
    <row r="564" spans="5:21" ht="15.6">
      <c r="E564" s="1"/>
      <c r="F564" s="1"/>
      <c r="G564" s="1"/>
      <c r="H564" s="1"/>
      <c r="I564" s="1"/>
      <c r="J564" s="1"/>
      <c r="K564" s="1"/>
      <c r="P564" s="414"/>
      <c r="Q564" s="414"/>
      <c r="R564" s="414"/>
      <c r="S564" s="414"/>
      <c r="T564" s="414"/>
      <c r="U564" s="414"/>
    </row>
    <row r="565" spans="5:21" ht="15.6">
      <c r="E565" s="1"/>
      <c r="F565" s="1"/>
      <c r="G565" s="1"/>
      <c r="H565" s="1"/>
      <c r="I565" s="1"/>
      <c r="J565" s="1"/>
      <c r="K565" s="1"/>
      <c r="P565" s="414"/>
      <c r="Q565" s="414"/>
      <c r="R565" s="414"/>
      <c r="S565" s="414"/>
      <c r="T565" s="414"/>
      <c r="U565" s="414"/>
    </row>
    <row r="566" spans="5:21" ht="15.6">
      <c r="E566" s="1"/>
      <c r="F566" s="1"/>
      <c r="G566" s="1"/>
      <c r="H566" s="1"/>
      <c r="I566" s="1"/>
      <c r="J566" s="1"/>
      <c r="K566" s="1"/>
      <c r="P566" s="414"/>
      <c r="Q566" s="414"/>
      <c r="R566" s="414"/>
      <c r="S566" s="414"/>
      <c r="T566" s="414"/>
      <c r="U566" s="414"/>
    </row>
    <row r="567" spans="5:21" ht="15.6">
      <c r="E567" s="1"/>
      <c r="F567" s="1"/>
      <c r="G567" s="1"/>
      <c r="H567" s="1"/>
      <c r="I567" s="1"/>
      <c r="J567" s="1"/>
      <c r="K567" s="1"/>
      <c r="P567" s="414"/>
      <c r="Q567" s="414"/>
      <c r="R567" s="414"/>
      <c r="S567" s="414"/>
      <c r="T567" s="414"/>
      <c r="U567" s="414"/>
    </row>
    <row r="568" spans="5:21" ht="15.6">
      <c r="E568" s="1"/>
      <c r="F568" s="1"/>
      <c r="G568" s="1"/>
      <c r="H568" s="1"/>
      <c r="I568" s="1"/>
      <c r="J568" s="1"/>
      <c r="K568" s="1"/>
      <c r="P568" s="414"/>
      <c r="Q568" s="414"/>
      <c r="R568" s="414"/>
      <c r="S568" s="414"/>
      <c r="T568" s="414"/>
      <c r="U568" s="414"/>
    </row>
    <row r="569" spans="5:21" ht="15.6">
      <c r="E569" s="1"/>
      <c r="F569" s="1"/>
      <c r="G569" s="1"/>
      <c r="H569" s="1"/>
      <c r="I569" s="1"/>
      <c r="J569" s="1"/>
      <c r="K569" s="1"/>
      <c r="P569" s="414"/>
      <c r="Q569" s="414"/>
      <c r="R569" s="414"/>
      <c r="S569" s="414"/>
      <c r="T569" s="414"/>
      <c r="U569" s="414"/>
    </row>
    <row r="570" spans="5:21" ht="15.6">
      <c r="E570" s="1"/>
      <c r="F570" s="1"/>
      <c r="G570" s="1"/>
      <c r="H570" s="1"/>
      <c r="I570" s="1"/>
      <c r="J570" s="1"/>
      <c r="K570" s="1"/>
      <c r="P570" s="414"/>
      <c r="Q570" s="414"/>
      <c r="R570" s="414"/>
      <c r="S570" s="414"/>
      <c r="T570" s="414"/>
      <c r="U570" s="414"/>
    </row>
    <row r="571" spans="5:21" ht="15.6">
      <c r="E571" s="1"/>
      <c r="F571" s="1"/>
      <c r="G571" s="1"/>
      <c r="H571" s="1"/>
      <c r="I571" s="1"/>
      <c r="J571" s="1"/>
      <c r="K571" s="1"/>
      <c r="P571" s="414"/>
      <c r="Q571" s="414"/>
      <c r="R571" s="414"/>
      <c r="S571" s="414"/>
      <c r="T571" s="414"/>
      <c r="U571" s="414"/>
    </row>
    <row r="572" spans="5:21" ht="15.6">
      <c r="E572" s="1"/>
      <c r="F572" s="1"/>
      <c r="G572" s="1"/>
      <c r="H572" s="1"/>
      <c r="I572" s="1"/>
      <c r="J572" s="1"/>
      <c r="K572" s="1"/>
      <c r="P572" s="414"/>
      <c r="Q572" s="414"/>
      <c r="R572" s="414"/>
      <c r="S572" s="414"/>
      <c r="T572" s="414"/>
      <c r="U572" s="414"/>
    </row>
    <row r="573" spans="5:21" ht="15.6">
      <c r="E573" s="1"/>
      <c r="F573" s="1"/>
      <c r="G573" s="1"/>
      <c r="H573" s="1"/>
      <c r="I573" s="1"/>
      <c r="J573" s="1"/>
      <c r="K573" s="1"/>
      <c r="P573" s="414"/>
      <c r="Q573" s="414"/>
      <c r="R573" s="414"/>
      <c r="S573" s="414"/>
      <c r="T573" s="414"/>
      <c r="U573" s="414"/>
    </row>
    <row r="574" spans="5:21" ht="15.6">
      <c r="E574" s="1"/>
      <c r="F574" s="1"/>
      <c r="G574" s="1"/>
      <c r="H574" s="1"/>
      <c r="I574" s="1"/>
      <c r="J574" s="1"/>
      <c r="K574" s="1"/>
      <c r="P574" s="414"/>
      <c r="Q574" s="414"/>
      <c r="R574" s="414"/>
      <c r="S574" s="414"/>
      <c r="T574" s="414"/>
      <c r="U574" s="414"/>
    </row>
    <row r="575" spans="5:21" ht="15.6">
      <c r="E575" s="1"/>
      <c r="F575" s="1"/>
      <c r="G575" s="1"/>
      <c r="H575" s="1"/>
      <c r="I575" s="1"/>
      <c r="J575" s="1"/>
      <c r="K575" s="1"/>
      <c r="P575" s="414"/>
      <c r="Q575" s="414"/>
      <c r="R575" s="414"/>
      <c r="S575" s="414"/>
      <c r="T575" s="414"/>
      <c r="U575" s="414"/>
    </row>
    <row r="576" spans="5:21" ht="15.6">
      <c r="E576" s="1"/>
      <c r="F576" s="1"/>
      <c r="G576" s="1"/>
      <c r="H576" s="1"/>
      <c r="I576" s="1"/>
      <c r="J576" s="1"/>
      <c r="K576" s="1"/>
      <c r="P576" s="414"/>
      <c r="Q576" s="414"/>
      <c r="R576" s="414"/>
      <c r="S576" s="414"/>
      <c r="T576" s="414"/>
      <c r="U576" s="414"/>
    </row>
    <row r="577" spans="5:21" ht="15.6">
      <c r="E577" s="1"/>
      <c r="F577" s="1"/>
      <c r="G577" s="1"/>
      <c r="H577" s="1"/>
      <c r="I577" s="1"/>
      <c r="J577" s="1"/>
      <c r="K577" s="1"/>
      <c r="P577" s="414"/>
      <c r="Q577" s="414"/>
      <c r="R577" s="414"/>
      <c r="S577" s="414"/>
      <c r="T577" s="414"/>
      <c r="U577" s="414"/>
    </row>
    <row r="578" spans="5:21" ht="15.6">
      <c r="E578" s="1"/>
      <c r="F578" s="1"/>
      <c r="G578" s="1"/>
      <c r="H578" s="1"/>
      <c r="I578" s="1"/>
      <c r="J578" s="1"/>
      <c r="K578" s="1"/>
      <c r="P578" s="414"/>
      <c r="Q578" s="414"/>
      <c r="R578" s="414"/>
      <c r="S578" s="414"/>
      <c r="T578" s="414"/>
      <c r="U578" s="414"/>
    </row>
    <row r="579" spans="5:21" ht="15.6">
      <c r="E579" s="1"/>
      <c r="F579" s="1"/>
      <c r="G579" s="1"/>
      <c r="H579" s="1"/>
      <c r="I579" s="1"/>
      <c r="J579" s="1"/>
      <c r="K579" s="1"/>
      <c r="P579" s="414"/>
      <c r="Q579" s="414"/>
      <c r="R579" s="414"/>
      <c r="S579" s="414"/>
      <c r="T579" s="414"/>
      <c r="U579" s="414"/>
    </row>
    <row r="580" spans="5:21" ht="15.6">
      <c r="E580" s="1"/>
      <c r="F580" s="1"/>
      <c r="G580" s="1"/>
      <c r="H580" s="1"/>
      <c r="I580" s="1"/>
      <c r="J580" s="1"/>
      <c r="K580" s="1"/>
      <c r="P580" s="414"/>
      <c r="Q580" s="414"/>
      <c r="R580" s="414"/>
      <c r="S580" s="414"/>
      <c r="T580" s="414"/>
      <c r="U580" s="414"/>
    </row>
    <row r="581" spans="5:21" ht="15.6">
      <c r="E581" s="1"/>
      <c r="F581" s="1"/>
      <c r="G581" s="1"/>
      <c r="H581" s="1"/>
      <c r="I581" s="1"/>
      <c r="J581" s="1"/>
      <c r="K581" s="1"/>
      <c r="P581" s="414"/>
      <c r="Q581" s="414"/>
      <c r="R581" s="414"/>
      <c r="S581" s="414"/>
      <c r="T581" s="414"/>
      <c r="U581" s="414"/>
    </row>
    <row r="582" spans="5:21" ht="15.6">
      <c r="E582" s="1"/>
      <c r="F582" s="1"/>
      <c r="G582" s="1"/>
      <c r="H582" s="1"/>
      <c r="I582" s="1"/>
      <c r="J582" s="1"/>
      <c r="K582" s="1"/>
      <c r="P582" s="414"/>
      <c r="Q582" s="414"/>
      <c r="R582" s="414"/>
      <c r="S582" s="414"/>
      <c r="T582" s="414"/>
      <c r="U582" s="414"/>
    </row>
    <row r="583" spans="5:21" ht="15.6">
      <c r="E583" s="1"/>
      <c r="F583" s="1"/>
      <c r="G583" s="1"/>
      <c r="H583" s="1"/>
      <c r="I583" s="1"/>
      <c r="J583" s="1"/>
      <c r="K583" s="1"/>
      <c r="P583" s="414"/>
      <c r="Q583" s="414"/>
      <c r="R583" s="414"/>
      <c r="S583" s="414"/>
      <c r="T583" s="414"/>
      <c r="U583" s="414"/>
    </row>
    <row r="584" spans="5:21" ht="15.6">
      <c r="E584" s="1"/>
      <c r="F584" s="1"/>
      <c r="G584" s="1"/>
      <c r="H584" s="1"/>
      <c r="I584" s="1"/>
      <c r="J584" s="1"/>
      <c r="K584" s="1"/>
      <c r="P584" s="414"/>
      <c r="Q584" s="414"/>
      <c r="R584" s="414"/>
      <c r="S584" s="414"/>
      <c r="T584" s="414"/>
      <c r="U584" s="414"/>
    </row>
    <row r="585" spans="5:21" ht="15.6">
      <c r="E585" s="1"/>
      <c r="F585" s="1"/>
      <c r="G585" s="1"/>
      <c r="H585" s="1"/>
      <c r="I585" s="1"/>
      <c r="J585" s="1"/>
      <c r="K585" s="1"/>
      <c r="P585" s="414"/>
      <c r="Q585" s="414"/>
      <c r="R585" s="414"/>
      <c r="S585" s="414"/>
      <c r="T585" s="414"/>
      <c r="U585" s="414"/>
    </row>
    <row r="586" spans="5:21" ht="15.6">
      <c r="E586" s="1"/>
      <c r="F586" s="1"/>
      <c r="G586" s="1"/>
      <c r="H586" s="1"/>
      <c r="I586" s="1"/>
      <c r="J586" s="1"/>
      <c r="K586" s="1"/>
      <c r="P586" s="414"/>
      <c r="Q586" s="414"/>
      <c r="R586" s="414"/>
      <c r="S586" s="414"/>
      <c r="T586" s="414"/>
      <c r="U586" s="414"/>
    </row>
    <row r="587" spans="5:21" ht="15.6">
      <c r="E587" s="1"/>
      <c r="F587" s="1"/>
      <c r="G587" s="1"/>
      <c r="H587" s="1"/>
      <c r="I587" s="1"/>
      <c r="J587" s="1"/>
      <c r="K587" s="1"/>
      <c r="P587" s="414"/>
      <c r="Q587" s="414"/>
      <c r="R587" s="414"/>
      <c r="S587" s="414"/>
      <c r="T587" s="414"/>
      <c r="U587" s="414"/>
    </row>
    <row r="588" spans="5:21" ht="15.6">
      <c r="E588" s="1"/>
      <c r="F588" s="1"/>
      <c r="G588" s="1"/>
      <c r="H588" s="1"/>
      <c r="I588" s="1"/>
      <c r="J588" s="1"/>
      <c r="K588" s="1"/>
      <c r="P588" s="414"/>
      <c r="Q588" s="414"/>
      <c r="R588" s="414"/>
      <c r="S588" s="414"/>
      <c r="T588" s="414"/>
      <c r="U588" s="414"/>
    </row>
    <row r="589" spans="5:21" ht="15.6">
      <c r="E589" s="1"/>
      <c r="F589" s="1"/>
      <c r="G589" s="1"/>
      <c r="H589" s="1"/>
      <c r="I589" s="1"/>
      <c r="J589" s="1"/>
      <c r="K589" s="1"/>
      <c r="P589" s="414"/>
      <c r="Q589" s="414"/>
      <c r="R589" s="414"/>
      <c r="S589" s="414"/>
      <c r="T589" s="414"/>
      <c r="U589" s="414"/>
    </row>
    <row r="590" spans="5:21" ht="15.6">
      <c r="E590" s="1"/>
      <c r="F590" s="1"/>
      <c r="G590" s="1"/>
      <c r="H590" s="1"/>
      <c r="I590" s="1"/>
      <c r="J590" s="1"/>
      <c r="K590" s="1"/>
      <c r="P590" s="414"/>
      <c r="Q590" s="414"/>
      <c r="R590" s="414"/>
      <c r="S590" s="414"/>
      <c r="T590" s="414"/>
      <c r="U590" s="414"/>
    </row>
    <row r="591" spans="5:21" ht="15.6">
      <c r="E591" s="1"/>
      <c r="F591" s="1"/>
      <c r="G591" s="1"/>
      <c r="H591" s="1"/>
      <c r="I591" s="1"/>
      <c r="J591" s="1"/>
      <c r="K591" s="1"/>
      <c r="P591" s="414"/>
      <c r="Q591" s="414"/>
      <c r="R591" s="414"/>
      <c r="S591" s="414"/>
      <c r="T591" s="414"/>
      <c r="U591" s="414"/>
    </row>
    <row r="592" spans="5:21" ht="15.6">
      <c r="E592" s="1"/>
      <c r="F592" s="1"/>
      <c r="G592" s="1"/>
      <c r="H592" s="1"/>
      <c r="I592" s="1"/>
      <c r="J592" s="1"/>
      <c r="K592" s="1"/>
      <c r="P592" s="414"/>
      <c r="Q592" s="414"/>
      <c r="R592" s="414"/>
      <c r="S592" s="414"/>
      <c r="T592" s="414"/>
      <c r="U592" s="414"/>
    </row>
    <row r="593" spans="5:21" ht="15.6">
      <c r="E593" s="1"/>
      <c r="F593" s="1"/>
      <c r="G593" s="1"/>
      <c r="H593" s="1"/>
      <c r="I593" s="1"/>
      <c r="J593" s="1"/>
      <c r="K593" s="1"/>
      <c r="P593" s="414"/>
      <c r="Q593" s="414"/>
      <c r="R593" s="414"/>
      <c r="S593" s="414"/>
      <c r="T593" s="414"/>
      <c r="U593" s="414"/>
    </row>
    <row r="594" spans="5:21" ht="15.6">
      <c r="E594" s="1"/>
      <c r="F594" s="1"/>
      <c r="G594" s="1"/>
      <c r="H594" s="1"/>
      <c r="I594" s="1"/>
      <c r="J594" s="1"/>
      <c r="K594" s="1"/>
      <c r="P594" s="414"/>
      <c r="Q594" s="414"/>
      <c r="R594" s="414"/>
      <c r="S594" s="414"/>
      <c r="T594" s="414"/>
      <c r="U594" s="414"/>
    </row>
    <row r="595" spans="5:21" ht="15.6">
      <c r="E595" s="1"/>
      <c r="F595" s="1"/>
      <c r="G595" s="1"/>
      <c r="H595" s="1"/>
      <c r="I595" s="1"/>
      <c r="J595" s="1"/>
      <c r="K595" s="1"/>
      <c r="P595" s="414"/>
      <c r="Q595" s="414"/>
      <c r="R595" s="414"/>
      <c r="S595" s="414"/>
      <c r="T595" s="414"/>
      <c r="U595" s="414"/>
    </row>
    <row r="596" spans="5:21" ht="15.6">
      <c r="E596" s="1"/>
      <c r="F596" s="1"/>
      <c r="G596" s="1"/>
      <c r="H596" s="1"/>
      <c r="I596" s="1"/>
      <c r="J596" s="1"/>
      <c r="K596" s="1"/>
      <c r="P596" s="414"/>
      <c r="Q596" s="414"/>
      <c r="R596" s="414"/>
      <c r="S596" s="414"/>
      <c r="T596" s="414"/>
      <c r="U596" s="414"/>
    </row>
    <row r="597" spans="5:21" ht="15.6">
      <c r="E597" s="1"/>
      <c r="F597" s="1"/>
      <c r="G597" s="1"/>
      <c r="H597" s="1"/>
      <c r="I597" s="1"/>
      <c r="J597" s="1"/>
      <c r="K597" s="1"/>
      <c r="P597" s="414"/>
      <c r="Q597" s="414"/>
      <c r="R597" s="414"/>
      <c r="S597" s="414"/>
      <c r="T597" s="414"/>
      <c r="U597" s="414"/>
    </row>
    <row r="598" spans="5:21" ht="15.6">
      <c r="E598" s="1"/>
      <c r="F598" s="1"/>
      <c r="G598" s="1"/>
      <c r="H598" s="1"/>
      <c r="I598" s="1"/>
      <c r="J598" s="1"/>
      <c r="K598" s="1"/>
      <c r="P598" s="414"/>
      <c r="Q598" s="414"/>
      <c r="R598" s="414"/>
      <c r="S598" s="414"/>
      <c r="T598" s="414"/>
      <c r="U598" s="414"/>
    </row>
    <row r="599" spans="5:21" ht="15.6">
      <c r="E599" s="1"/>
      <c r="F599" s="1"/>
      <c r="G599" s="1"/>
      <c r="H599" s="1"/>
      <c r="I599" s="1"/>
      <c r="J599" s="1"/>
      <c r="K599" s="1"/>
      <c r="P599" s="414"/>
      <c r="Q599" s="414"/>
      <c r="R599" s="414"/>
      <c r="S599" s="414"/>
      <c r="T599" s="414"/>
      <c r="U599" s="414"/>
    </row>
    <row r="600" spans="5:21" ht="15.6">
      <c r="E600" s="1"/>
      <c r="F600" s="1"/>
      <c r="G600" s="1"/>
      <c r="H600" s="1"/>
      <c r="I600" s="1"/>
      <c r="J600" s="1"/>
      <c r="K600" s="1"/>
      <c r="P600" s="414"/>
      <c r="Q600" s="414"/>
      <c r="R600" s="414"/>
      <c r="S600" s="414"/>
      <c r="T600" s="414"/>
      <c r="U600" s="414"/>
    </row>
    <row r="601" spans="5:21" ht="15.6">
      <c r="E601" s="1"/>
      <c r="F601" s="1"/>
      <c r="G601" s="1"/>
      <c r="H601" s="1"/>
      <c r="I601" s="1"/>
      <c r="J601" s="1"/>
      <c r="K601" s="1"/>
      <c r="P601" s="414"/>
      <c r="Q601" s="414"/>
      <c r="R601" s="414"/>
      <c r="S601" s="414"/>
      <c r="T601" s="414"/>
      <c r="U601" s="414"/>
    </row>
    <row r="602" spans="5:21" ht="15.6">
      <c r="E602" s="1"/>
      <c r="F602" s="1"/>
      <c r="G602" s="1"/>
      <c r="H602" s="1"/>
      <c r="I602" s="1"/>
      <c r="J602" s="1"/>
      <c r="K602" s="1"/>
      <c r="P602" s="414"/>
      <c r="Q602" s="414"/>
      <c r="R602" s="414"/>
      <c r="S602" s="414"/>
      <c r="T602" s="414"/>
      <c r="U602" s="414"/>
    </row>
    <row r="603" spans="5:21" ht="15.6">
      <c r="E603" s="1"/>
      <c r="F603" s="1"/>
      <c r="G603" s="1"/>
      <c r="H603" s="1"/>
      <c r="I603" s="1"/>
      <c r="J603" s="1"/>
      <c r="K603" s="1"/>
      <c r="P603" s="414"/>
      <c r="Q603" s="414"/>
      <c r="R603" s="414"/>
      <c r="S603" s="414"/>
      <c r="T603" s="414"/>
      <c r="U603" s="414"/>
    </row>
    <row r="604" spans="5:21" ht="15.6">
      <c r="E604" s="1"/>
      <c r="F604" s="1"/>
      <c r="G604" s="1"/>
      <c r="H604" s="1"/>
      <c r="I604" s="1"/>
      <c r="J604" s="1"/>
      <c r="K604" s="1"/>
      <c r="P604" s="414"/>
      <c r="Q604" s="414"/>
      <c r="R604" s="414"/>
      <c r="S604" s="414"/>
      <c r="T604" s="414"/>
      <c r="U604" s="414"/>
    </row>
    <row r="605" spans="5:21" ht="15.6">
      <c r="E605" s="1"/>
      <c r="F605" s="1"/>
      <c r="G605" s="1"/>
      <c r="H605" s="1"/>
      <c r="I605" s="1"/>
      <c r="J605" s="1"/>
      <c r="K605" s="1"/>
      <c r="P605" s="414"/>
      <c r="Q605" s="414"/>
      <c r="R605" s="414"/>
      <c r="S605" s="414"/>
      <c r="T605" s="414"/>
      <c r="U605" s="414"/>
    </row>
    <row r="606" spans="5:21" ht="15.6">
      <c r="E606" s="1"/>
      <c r="F606" s="1"/>
      <c r="G606" s="1"/>
      <c r="H606" s="1"/>
      <c r="I606" s="1"/>
      <c r="J606" s="1"/>
      <c r="K606" s="1"/>
      <c r="P606" s="414"/>
      <c r="Q606" s="414"/>
      <c r="R606" s="414"/>
      <c r="S606" s="414"/>
      <c r="T606" s="414"/>
      <c r="U606" s="414"/>
    </row>
    <row r="607" spans="5:21" ht="15.6">
      <c r="E607" s="1"/>
      <c r="F607" s="1"/>
      <c r="G607" s="1"/>
      <c r="H607" s="1"/>
      <c r="I607" s="1"/>
      <c r="J607" s="1"/>
      <c r="K607" s="1"/>
      <c r="P607" s="414"/>
      <c r="Q607" s="414"/>
      <c r="R607" s="414"/>
      <c r="S607" s="414"/>
      <c r="T607" s="414"/>
      <c r="U607" s="414"/>
    </row>
    <row r="608" spans="5:21" ht="15.6">
      <c r="E608" s="1"/>
      <c r="F608" s="1"/>
      <c r="G608" s="1"/>
      <c r="H608" s="1"/>
      <c r="I608" s="1"/>
      <c r="J608" s="1"/>
      <c r="K608" s="1"/>
      <c r="P608" s="414"/>
      <c r="Q608" s="414"/>
      <c r="R608" s="414"/>
      <c r="S608" s="414"/>
      <c r="T608" s="414"/>
      <c r="U608" s="414"/>
    </row>
    <row r="609" spans="5:21" ht="15.6">
      <c r="E609" s="1"/>
      <c r="F609" s="1"/>
      <c r="G609" s="1"/>
      <c r="H609" s="1"/>
      <c r="I609" s="1"/>
      <c r="J609" s="1"/>
      <c r="K609" s="1"/>
      <c r="P609" s="414"/>
      <c r="Q609" s="414"/>
      <c r="R609" s="414"/>
      <c r="S609" s="414"/>
      <c r="T609" s="414"/>
      <c r="U609" s="414"/>
    </row>
    <row r="610" spans="5:21" ht="15.6">
      <c r="E610" s="1"/>
      <c r="F610" s="1"/>
      <c r="G610" s="1"/>
      <c r="H610" s="1"/>
      <c r="I610" s="1"/>
      <c r="J610" s="1"/>
      <c r="K610" s="1"/>
      <c r="P610" s="414"/>
      <c r="Q610" s="414"/>
      <c r="R610" s="414"/>
      <c r="S610" s="414"/>
      <c r="T610" s="414"/>
      <c r="U610" s="414"/>
    </row>
    <row r="611" spans="5:21" ht="15.6">
      <c r="E611" s="1"/>
      <c r="F611" s="1"/>
      <c r="G611" s="1"/>
      <c r="H611" s="1"/>
      <c r="I611" s="1"/>
      <c r="J611" s="1"/>
      <c r="K611" s="1"/>
      <c r="P611" s="414"/>
      <c r="Q611" s="414"/>
      <c r="R611" s="414"/>
      <c r="S611" s="414"/>
      <c r="T611" s="414"/>
      <c r="U611" s="414"/>
    </row>
    <row r="612" spans="5:21" ht="15.6">
      <c r="E612" s="1"/>
      <c r="F612" s="1"/>
      <c r="G612" s="1"/>
      <c r="H612" s="1"/>
      <c r="I612" s="1"/>
      <c r="J612" s="1"/>
      <c r="K612" s="1"/>
      <c r="P612" s="414"/>
      <c r="Q612" s="414"/>
      <c r="R612" s="414"/>
      <c r="S612" s="414"/>
      <c r="T612" s="414"/>
      <c r="U612" s="414"/>
    </row>
    <row r="613" spans="5:21" ht="15.6">
      <c r="E613" s="1"/>
      <c r="F613" s="1"/>
      <c r="G613" s="1"/>
      <c r="H613" s="1"/>
      <c r="I613" s="1"/>
      <c r="J613" s="1"/>
      <c r="K613" s="1"/>
      <c r="P613" s="414"/>
      <c r="Q613" s="414"/>
      <c r="R613" s="414"/>
      <c r="S613" s="414"/>
      <c r="T613" s="414"/>
      <c r="U613" s="414"/>
    </row>
    <row r="614" spans="5:21" ht="15.6">
      <c r="E614" s="1"/>
      <c r="F614" s="1"/>
      <c r="G614" s="1"/>
      <c r="H614" s="1"/>
      <c r="I614" s="1"/>
      <c r="J614" s="1"/>
      <c r="K614" s="1"/>
      <c r="P614" s="414"/>
      <c r="Q614" s="414"/>
      <c r="R614" s="414"/>
      <c r="S614" s="414"/>
      <c r="T614" s="414"/>
      <c r="U614" s="414"/>
    </row>
    <row r="615" spans="5:21" ht="15.6">
      <c r="E615" s="1"/>
      <c r="F615" s="1"/>
      <c r="G615" s="1"/>
      <c r="H615" s="1"/>
      <c r="I615" s="1"/>
      <c r="J615" s="1"/>
      <c r="K615" s="1"/>
      <c r="P615" s="414"/>
      <c r="Q615" s="414"/>
      <c r="R615" s="414"/>
      <c r="S615" s="414"/>
      <c r="T615" s="414"/>
      <c r="U615" s="414"/>
    </row>
    <row r="616" spans="5:21" ht="15.6">
      <c r="E616" s="1"/>
      <c r="F616" s="1"/>
      <c r="G616" s="1"/>
      <c r="H616" s="1"/>
      <c r="I616" s="1"/>
      <c r="J616" s="1"/>
      <c r="K616" s="1"/>
      <c r="P616" s="414"/>
      <c r="Q616" s="414"/>
      <c r="R616" s="414"/>
      <c r="S616" s="414"/>
      <c r="T616" s="414"/>
      <c r="U616" s="414"/>
    </row>
    <row r="617" spans="5:21" ht="15.6">
      <c r="E617" s="1"/>
      <c r="F617" s="1"/>
      <c r="G617" s="1"/>
      <c r="H617" s="1"/>
      <c r="I617" s="1"/>
      <c r="J617" s="1"/>
      <c r="K617" s="1"/>
      <c r="P617" s="414"/>
      <c r="Q617" s="414"/>
      <c r="R617" s="414"/>
      <c r="S617" s="414"/>
      <c r="T617" s="414"/>
      <c r="U617" s="414"/>
    </row>
    <row r="618" spans="5:21" ht="15.6">
      <c r="E618" s="1"/>
      <c r="F618" s="1"/>
      <c r="G618" s="1"/>
      <c r="H618" s="1"/>
      <c r="I618" s="1"/>
      <c r="J618" s="1"/>
      <c r="K618" s="1"/>
      <c r="P618" s="414"/>
      <c r="Q618" s="414"/>
      <c r="R618" s="414"/>
      <c r="S618" s="414"/>
      <c r="T618" s="414"/>
      <c r="U618" s="414"/>
    </row>
    <row r="619" spans="5:21" ht="15.6">
      <c r="E619" s="1"/>
      <c r="F619" s="1"/>
      <c r="G619" s="1"/>
      <c r="H619" s="1"/>
      <c r="I619" s="1"/>
      <c r="J619" s="1"/>
      <c r="K619" s="1"/>
      <c r="P619" s="414"/>
      <c r="Q619" s="414"/>
      <c r="R619" s="414"/>
      <c r="S619" s="414"/>
      <c r="T619" s="414"/>
      <c r="U619" s="414"/>
    </row>
    <row r="620" spans="5:21" ht="15.6">
      <c r="E620" s="1"/>
      <c r="F620" s="1"/>
      <c r="G620" s="1"/>
      <c r="H620" s="1"/>
      <c r="I620" s="1"/>
      <c r="J620" s="1"/>
      <c r="K620" s="1"/>
      <c r="P620" s="414"/>
      <c r="Q620" s="414"/>
      <c r="R620" s="414"/>
      <c r="S620" s="414"/>
      <c r="T620" s="414"/>
      <c r="U620" s="414"/>
    </row>
    <row r="621" spans="5:21" ht="15.6">
      <c r="E621" s="1"/>
      <c r="F621" s="1"/>
      <c r="G621" s="1"/>
      <c r="H621" s="1"/>
      <c r="I621" s="1"/>
      <c r="J621" s="1"/>
      <c r="K621" s="1"/>
      <c r="P621" s="414"/>
      <c r="Q621" s="414"/>
      <c r="R621" s="414"/>
      <c r="S621" s="414"/>
      <c r="T621" s="414"/>
      <c r="U621" s="414"/>
    </row>
    <row r="622" spans="5:21" ht="15.6">
      <c r="E622" s="1"/>
      <c r="F622" s="1"/>
      <c r="G622" s="1"/>
      <c r="H622" s="1"/>
      <c r="I622" s="1"/>
      <c r="J622" s="1"/>
      <c r="K622" s="1"/>
      <c r="P622" s="414"/>
      <c r="Q622" s="414"/>
      <c r="R622" s="414"/>
      <c r="S622" s="414"/>
      <c r="T622" s="414"/>
      <c r="U622" s="414"/>
    </row>
    <row r="623" spans="5:21" ht="15.6">
      <c r="E623" s="1"/>
      <c r="F623" s="1"/>
      <c r="G623" s="1"/>
      <c r="H623" s="1"/>
      <c r="I623" s="1"/>
      <c r="J623" s="1"/>
      <c r="K623" s="1"/>
      <c r="P623" s="414"/>
      <c r="Q623" s="414"/>
      <c r="R623" s="414"/>
      <c r="S623" s="414"/>
      <c r="T623" s="414"/>
      <c r="U623" s="414"/>
    </row>
    <row r="624" spans="5:21" ht="15.6">
      <c r="E624" s="1"/>
      <c r="F624" s="1"/>
      <c r="G624" s="1"/>
      <c r="H624" s="1"/>
      <c r="I624" s="1"/>
      <c r="J624" s="1"/>
      <c r="K624" s="1"/>
      <c r="P624" s="414"/>
      <c r="Q624" s="414"/>
      <c r="R624" s="414"/>
      <c r="S624" s="414"/>
      <c r="T624" s="414"/>
      <c r="U624" s="414"/>
    </row>
    <row r="625" spans="5:21" ht="15.6">
      <c r="E625" s="1"/>
      <c r="F625" s="1"/>
      <c r="G625" s="1"/>
      <c r="H625" s="1"/>
      <c r="I625" s="1"/>
      <c r="J625" s="1"/>
      <c r="K625" s="1"/>
      <c r="P625" s="414"/>
      <c r="Q625" s="414"/>
      <c r="R625" s="414"/>
      <c r="S625" s="414"/>
      <c r="T625" s="414"/>
      <c r="U625" s="414"/>
    </row>
    <row r="626" spans="5:21" ht="15.6">
      <c r="E626" s="1"/>
      <c r="F626" s="1"/>
      <c r="G626" s="1"/>
      <c r="H626" s="1"/>
      <c r="I626" s="1"/>
      <c r="J626" s="1"/>
      <c r="K626" s="1"/>
      <c r="P626" s="414"/>
      <c r="Q626" s="414"/>
      <c r="R626" s="414"/>
      <c r="S626" s="414"/>
      <c r="T626" s="414"/>
      <c r="U626" s="414"/>
    </row>
    <row r="627" spans="5:21" ht="15.6">
      <c r="E627" s="1"/>
      <c r="F627" s="1"/>
      <c r="G627" s="1"/>
      <c r="H627" s="1"/>
      <c r="I627" s="1"/>
      <c r="J627" s="1"/>
      <c r="K627" s="1"/>
      <c r="P627" s="414"/>
      <c r="Q627" s="414"/>
      <c r="R627" s="414"/>
      <c r="S627" s="414"/>
      <c r="T627" s="414"/>
      <c r="U627" s="414"/>
    </row>
    <row r="628" spans="5:21" ht="15.6">
      <c r="E628" s="1"/>
      <c r="F628" s="1"/>
      <c r="G628" s="1"/>
      <c r="H628" s="1"/>
      <c r="I628" s="1"/>
      <c r="J628" s="1"/>
      <c r="K628" s="1"/>
      <c r="P628" s="414"/>
      <c r="Q628" s="414"/>
      <c r="R628" s="414"/>
      <c r="S628" s="414"/>
      <c r="T628" s="414"/>
      <c r="U628" s="414"/>
    </row>
    <row r="629" spans="5:21" ht="15.6">
      <c r="E629" s="1"/>
      <c r="F629" s="1"/>
      <c r="G629" s="1"/>
      <c r="H629" s="1"/>
      <c r="I629" s="1"/>
      <c r="J629" s="1"/>
      <c r="K629" s="1"/>
      <c r="P629" s="414"/>
      <c r="Q629" s="414"/>
      <c r="R629" s="414"/>
      <c r="S629" s="414"/>
      <c r="T629" s="414"/>
      <c r="U629" s="414"/>
    </row>
    <row r="630" spans="5:21" ht="15.6">
      <c r="E630" s="1"/>
      <c r="F630" s="1"/>
      <c r="G630" s="1"/>
      <c r="H630" s="1"/>
      <c r="I630" s="1"/>
      <c r="J630" s="1"/>
      <c r="K630" s="1"/>
      <c r="P630" s="414"/>
      <c r="Q630" s="414"/>
      <c r="R630" s="414"/>
      <c r="S630" s="414"/>
      <c r="T630" s="414"/>
      <c r="U630" s="414"/>
    </row>
    <row r="631" spans="5:21" ht="15.6">
      <c r="E631" s="1"/>
      <c r="F631" s="1"/>
      <c r="G631" s="1"/>
      <c r="H631" s="1"/>
      <c r="I631" s="1"/>
      <c r="J631" s="1"/>
      <c r="K631" s="1"/>
      <c r="P631" s="414"/>
      <c r="Q631" s="414"/>
      <c r="R631" s="414"/>
      <c r="S631" s="414"/>
      <c r="T631" s="414"/>
      <c r="U631" s="414"/>
    </row>
    <row r="632" spans="5:21" ht="15.6">
      <c r="E632" s="1"/>
      <c r="F632" s="1"/>
      <c r="G632" s="1"/>
      <c r="H632" s="1"/>
      <c r="I632" s="1"/>
      <c r="J632" s="1"/>
      <c r="K632" s="1"/>
      <c r="P632" s="414"/>
      <c r="Q632" s="414"/>
      <c r="R632" s="414"/>
      <c r="S632" s="414"/>
      <c r="T632" s="414"/>
      <c r="U632" s="414"/>
    </row>
    <row r="633" spans="5:21" ht="15.6">
      <c r="E633" s="1"/>
      <c r="F633" s="1"/>
      <c r="G633" s="1"/>
      <c r="H633" s="1"/>
      <c r="I633" s="1"/>
      <c r="J633" s="1"/>
      <c r="K633" s="1"/>
      <c r="P633" s="414"/>
      <c r="Q633" s="414"/>
      <c r="R633" s="414"/>
      <c r="S633" s="414"/>
      <c r="T633" s="414"/>
      <c r="U633" s="414"/>
    </row>
    <row r="634" spans="5:21" ht="15.6">
      <c r="E634" s="1"/>
      <c r="F634" s="1"/>
      <c r="G634" s="1"/>
      <c r="H634" s="1"/>
      <c r="I634" s="1"/>
      <c r="J634" s="1"/>
      <c r="K634" s="1"/>
      <c r="P634" s="414"/>
      <c r="Q634" s="414"/>
      <c r="R634" s="414"/>
      <c r="S634" s="414"/>
      <c r="T634" s="414"/>
      <c r="U634" s="414"/>
    </row>
    <row r="635" spans="5:21" ht="15.6">
      <c r="E635" s="1"/>
      <c r="F635" s="1"/>
      <c r="G635" s="1"/>
      <c r="H635" s="1"/>
      <c r="I635" s="1"/>
      <c r="J635" s="1"/>
      <c r="K635" s="1"/>
      <c r="P635" s="414"/>
      <c r="Q635" s="414"/>
      <c r="R635" s="414"/>
      <c r="S635" s="414"/>
      <c r="T635" s="414"/>
      <c r="U635" s="414"/>
    </row>
    <row r="636" spans="5:21" ht="15.6">
      <c r="E636" s="1"/>
      <c r="F636" s="1"/>
      <c r="G636" s="1"/>
      <c r="H636" s="1"/>
      <c r="I636" s="1"/>
      <c r="J636" s="1"/>
      <c r="K636" s="1"/>
      <c r="P636" s="414"/>
      <c r="Q636" s="414"/>
      <c r="R636" s="414"/>
      <c r="S636" s="414"/>
      <c r="T636" s="414"/>
      <c r="U636" s="414"/>
    </row>
    <row r="637" spans="5:21" ht="15.6">
      <c r="E637" s="1"/>
      <c r="F637" s="1"/>
      <c r="G637" s="1"/>
      <c r="H637" s="1"/>
      <c r="I637" s="1"/>
      <c r="J637" s="1"/>
      <c r="K637" s="1"/>
      <c r="P637" s="414"/>
      <c r="Q637" s="414"/>
      <c r="R637" s="414"/>
      <c r="S637" s="414"/>
      <c r="T637" s="414"/>
      <c r="U637" s="414"/>
    </row>
    <row r="638" spans="5:21" ht="15.6">
      <c r="E638" s="1"/>
      <c r="F638" s="1"/>
      <c r="G638" s="1"/>
      <c r="H638" s="1"/>
      <c r="I638" s="1"/>
      <c r="J638" s="1"/>
      <c r="K638" s="1"/>
      <c r="P638" s="414"/>
      <c r="Q638" s="414"/>
      <c r="R638" s="414"/>
      <c r="S638" s="414"/>
      <c r="T638" s="414"/>
      <c r="U638" s="414"/>
    </row>
    <row r="639" spans="5:21" ht="15.6">
      <c r="E639" s="1"/>
      <c r="F639" s="1"/>
      <c r="G639" s="1"/>
      <c r="H639" s="1"/>
      <c r="I639" s="1"/>
      <c r="J639" s="1"/>
      <c r="K639" s="1"/>
      <c r="P639" s="414"/>
      <c r="Q639" s="414"/>
      <c r="R639" s="414"/>
      <c r="S639" s="414"/>
      <c r="T639" s="414"/>
      <c r="U639" s="414"/>
    </row>
    <row r="640" spans="5:21" ht="15.6">
      <c r="E640" s="1"/>
      <c r="F640" s="1"/>
      <c r="G640" s="1"/>
      <c r="H640" s="1"/>
      <c r="I640" s="1"/>
      <c r="J640" s="1"/>
      <c r="K640" s="1"/>
      <c r="P640" s="414"/>
      <c r="Q640" s="414"/>
      <c r="R640" s="414"/>
      <c r="S640" s="414"/>
      <c r="T640" s="414"/>
      <c r="U640" s="414"/>
    </row>
    <row r="641" spans="5:21" ht="15.6">
      <c r="E641" s="1"/>
      <c r="F641" s="1"/>
      <c r="G641" s="1"/>
      <c r="H641" s="1"/>
      <c r="I641" s="1"/>
      <c r="J641" s="1"/>
      <c r="K641" s="1"/>
      <c r="P641" s="414"/>
      <c r="Q641" s="414"/>
      <c r="R641" s="414"/>
      <c r="S641" s="414"/>
      <c r="T641" s="414"/>
      <c r="U641" s="414"/>
    </row>
    <row r="642" spans="5:21" ht="15.6">
      <c r="E642" s="1"/>
      <c r="F642" s="1"/>
      <c r="G642" s="1"/>
      <c r="H642" s="1"/>
      <c r="I642" s="1"/>
      <c r="J642" s="1"/>
      <c r="K642" s="1"/>
      <c r="P642" s="414"/>
      <c r="Q642" s="414"/>
      <c r="R642" s="414"/>
      <c r="S642" s="414"/>
      <c r="T642" s="414"/>
      <c r="U642" s="414"/>
    </row>
    <row r="643" spans="5:21" ht="15.6">
      <c r="E643" s="1"/>
      <c r="F643" s="1"/>
      <c r="G643" s="1"/>
      <c r="H643" s="1"/>
      <c r="I643" s="1"/>
      <c r="J643" s="1"/>
      <c r="K643" s="1"/>
      <c r="P643" s="414"/>
      <c r="Q643" s="414"/>
      <c r="R643" s="414"/>
      <c r="S643" s="414"/>
      <c r="T643" s="414"/>
      <c r="U643" s="414"/>
    </row>
    <row r="644" spans="5:21" ht="15.6">
      <c r="E644" s="1"/>
      <c r="F644" s="1"/>
      <c r="G644" s="1"/>
      <c r="H644" s="1"/>
      <c r="I644" s="1"/>
      <c r="J644" s="1"/>
      <c r="K644" s="1"/>
      <c r="P644" s="414"/>
      <c r="Q644" s="414"/>
      <c r="R644" s="414"/>
      <c r="S644" s="414"/>
      <c r="T644" s="414"/>
      <c r="U644" s="414"/>
    </row>
    <row r="645" spans="5:21" ht="15.6">
      <c r="E645" s="1"/>
      <c r="F645" s="1"/>
      <c r="G645" s="1"/>
      <c r="H645" s="1"/>
      <c r="I645" s="1"/>
      <c r="J645" s="1"/>
      <c r="K645" s="1"/>
      <c r="P645" s="414"/>
      <c r="Q645" s="414"/>
      <c r="R645" s="414"/>
      <c r="S645" s="414"/>
      <c r="T645" s="414"/>
      <c r="U645" s="414"/>
    </row>
    <row r="646" spans="5:21" ht="15.6">
      <c r="E646" s="1"/>
      <c r="F646" s="1"/>
      <c r="G646" s="1"/>
      <c r="H646" s="1"/>
      <c r="I646" s="1"/>
      <c r="J646" s="1"/>
      <c r="K646" s="1"/>
      <c r="P646" s="414"/>
      <c r="Q646" s="414"/>
      <c r="R646" s="414"/>
      <c r="S646" s="414"/>
      <c r="T646" s="414"/>
      <c r="U646" s="414"/>
    </row>
    <row r="647" spans="5:21" ht="15.6">
      <c r="E647" s="1"/>
      <c r="F647" s="1"/>
      <c r="G647" s="1"/>
      <c r="H647" s="1"/>
      <c r="I647" s="1"/>
      <c r="J647" s="1"/>
      <c r="K647" s="1"/>
      <c r="P647" s="414"/>
      <c r="Q647" s="414"/>
      <c r="R647" s="414"/>
      <c r="S647" s="414"/>
      <c r="T647" s="414"/>
      <c r="U647" s="414"/>
    </row>
    <row r="648" spans="5:21" ht="15.6">
      <c r="E648" s="1"/>
      <c r="F648" s="1"/>
      <c r="G648" s="1"/>
      <c r="H648" s="1"/>
      <c r="I648" s="1"/>
      <c r="J648" s="1"/>
      <c r="K648" s="1"/>
      <c r="P648" s="414"/>
      <c r="Q648" s="414"/>
      <c r="R648" s="414"/>
      <c r="S648" s="414"/>
      <c r="T648" s="414"/>
      <c r="U648" s="414"/>
    </row>
    <row r="649" spans="5:21" ht="15.6">
      <c r="E649" s="1"/>
      <c r="F649" s="1"/>
      <c r="G649" s="1"/>
      <c r="H649" s="1"/>
      <c r="I649" s="1"/>
      <c r="J649" s="1"/>
      <c r="K649" s="1"/>
      <c r="P649" s="414"/>
      <c r="Q649" s="414"/>
      <c r="R649" s="414"/>
      <c r="S649" s="414"/>
      <c r="T649" s="414"/>
      <c r="U649" s="414"/>
    </row>
    <row r="650" spans="5:21" ht="15.6">
      <c r="E650" s="1"/>
      <c r="F650" s="1"/>
      <c r="G650" s="1"/>
      <c r="H650" s="1"/>
      <c r="I650" s="1"/>
      <c r="J650" s="1"/>
      <c r="K650" s="1"/>
      <c r="P650" s="414"/>
      <c r="Q650" s="414"/>
      <c r="R650" s="414"/>
      <c r="S650" s="414"/>
      <c r="T650" s="414"/>
      <c r="U650" s="414"/>
    </row>
    <row r="651" spans="5:21" ht="15.6">
      <c r="E651" s="1"/>
      <c r="F651" s="1"/>
      <c r="G651" s="1"/>
      <c r="H651" s="1"/>
      <c r="I651" s="1"/>
      <c r="J651" s="1"/>
      <c r="K651" s="1"/>
      <c r="P651" s="414"/>
      <c r="Q651" s="414"/>
      <c r="R651" s="414"/>
      <c r="S651" s="414"/>
      <c r="T651" s="414"/>
      <c r="U651" s="414"/>
    </row>
    <row r="652" spans="5:21" ht="15.6">
      <c r="E652" s="1"/>
      <c r="F652" s="1"/>
      <c r="G652" s="1"/>
      <c r="H652" s="1"/>
      <c r="I652" s="1"/>
      <c r="J652" s="1"/>
      <c r="K652" s="1"/>
      <c r="P652" s="414"/>
      <c r="Q652" s="414"/>
      <c r="R652" s="414"/>
      <c r="S652" s="414"/>
      <c r="T652" s="414"/>
      <c r="U652" s="414"/>
    </row>
    <row r="653" spans="5:21" ht="15.6">
      <c r="E653" s="1"/>
      <c r="F653" s="1"/>
      <c r="G653" s="1"/>
      <c r="H653" s="1"/>
      <c r="I653" s="1"/>
      <c r="J653" s="1"/>
      <c r="K653" s="1"/>
      <c r="P653" s="414"/>
      <c r="Q653" s="414"/>
      <c r="R653" s="414"/>
      <c r="S653" s="414"/>
      <c r="T653" s="414"/>
      <c r="U653" s="414"/>
    </row>
    <row r="654" spans="5:21" ht="15.6">
      <c r="E654" s="1"/>
      <c r="F654" s="1"/>
      <c r="G654" s="1"/>
      <c r="H654" s="1"/>
      <c r="I654" s="1"/>
      <c r="J654" s="1"/>
      <c r="K654" s="1"/>
      <c r="P654" s="414"/>
      <c r="Q654" s="414"/>
      <c r="R654" s="414"/>
      <c r="S654" s="414"/>
      <c r="T654" s="414"/>
      <c r="U654" s="414"/>
    </row>
    <row r="655" spans="5:21" ht="15.6">
      <c r="E655" s="1"/>
      <c r="F655" s="1"/>
      <c r="G655" s="1"/>
      <c r="H655" s="1"/>
      <c r="I655" s="1"/>
      <c r="J655" s="1"/>
      <c r="K655" s="1"/>
      <c r="P655" s="414"/>
      <c r="Q655" s="414"/>
      <c r="R655" s="414"/>
      <c r="S655" s="414"/>
      <c r="T655" s="414"/>
      <c r="U655" s="414"/>
    </row>
    <row r="656" spans="5:21" ht="15.6">
      <c r="E656" s="1"/>
      <c r="F656" s="1"/>
      <c r="G656" s="1"/>
      <c r="H656" s="1"/>
      <c r="I656" s="1"/>
      <c r="J656" s="1"/>
      <c r="K656" s="1"/>
      <c r="P656" s="414"/>
      <c r="Q656" s="414"/>
      <c r="R656" s="414"/>
      <c r="S656" s="414"/>
      <c r="T656" s="414"/>
      <c r="U656" s="414"/>
    </row>
    <row r="657" spans="5:21" ht="15.6">
      <c r="E657" s="1"/>
      <c r="F657" s="1"/>
      <c r="G657" s="1"/>
      <c r="H657" s="1"/>
      <c r="I657" s="1"/>
      <c r="J657" s="1"/>
      <c r="K657" s="1"/>
      <c r="P657" s="414"/>
      <c r="Q657" s="414"/>
      <c r="R657" s="414"/>
      <c r="S657" s="414"/>
      <c r="T657" s="414"/>
      <c r="U657" s="414"/>
    </row>
    <row r="658" spans="5:21" ht="15.6">
      <c r="E658" s="1"/>
      <c r="F658" s="1"/>
      <c r="G658" s="1"/>
      <c r="H658" s="1"/>
      <c r="I658" s="1"/>
      <c r="J658" s="1"/>
      <c r="K658" s="1"/>
      <c r="P658" s="414"/>
      <c r="Q658" s="414"/>
      <c r="R658" s="414"/>
      <c r="S658" s="414"/>
      <c r="T658" s="414"/>
      <c r="U658" s="414"/>
    </row>
    <row r="659" spans="5:21" ht="15.6">
      <c r="E659" s="1"/>
      <c r="F659" s="1"/>
      <c r="G659" s="1"/>
      <c r="H659" s="1"/>
      <c r="I659" s="1"/>
      <c r="J659" s="1"/>
      <c r="K659" s="1"/>
      <c r="P659" s="414"/>
      <c r="Q659" s="414"/>
      <c r="R659" s="414"/>
      <c r="S659" s="414"/>
      <c r="T659" s="414"/>
      <c r="U659" s="414"/>
    </row>
    <row r="660" spans="5:21" ht="15.6">
      <c r="E660" s="1"/>
      <c r="F660" s="1"/>
      <c r="G660" s="1"/>
      <c r="H660" s="1"/>
      <c r="I660" s="1"/>
      <c r="J660" s="1"/>
      <c r="K660" s="1"/>
      <c r="P660" s="414"/>
      <c r="Q660" s="414"/>
      <c r="R660" s="414"/>
      <c r="S660" s="414"/>
      <c r="T660" s="414"/>
      <c r="U660" s="414"/>
    </row>
    <row r="661" spans="5:21" ht="15.6">
      <c r="E661" s="1"/>
      <c r="F661" s="1"/>
      <c r="G661" s="1"/>
      <c r="H661" s="1"/>
      <c r="I661" s="1"/>
      <c r="J661" s="1"/>
      <c r="K661" s="1"/>
      <c r="P661" s="414"/>
      <c r="Q661" s="414"/>
      <c r="R661" s="414"/>
      <c r="S661" s="414"/>
      <c r="T661" s="414"/>
      <c r="U661" s="414"/>
    </row>
    <row r="662" spans="5:21" ht="15.6">
      <c r="E662" s="1"/>
      <c r="F662" s="1"/>
      <c r="G662" s="1"/>
      <c r="H662" s="1"/>
      <c r="I662" s="1"/>
      <c r="J662" s="1"/>
      <c r="K662" s="1"/>
      <c r="P662" s="414"/>
      <c r="Q662" s="414"/>
      <c r="R662" s="414"/>
      <c r="S662" s="414"/>
      <c r="T662" s="414"/>
      <c r="U662" s="414"/>
    </row>
    <row r="663" spans="5:21" ht="15.6">
      <c r="E663" s="1"/>
      <c r="F663" s="1"/>
      <c r="G663" s="1"/>
      <c r="H663" s="1"/>
      <c r="I663" s="1"/>
      <c r="J663" s="1"/>
      <c r="K663" s="1"/>
      <c r="P663" s="414"/>
      <c r="Q663" s="414"/>
      <c r="R663" s="414"/>
      <c r="S663" s="414"/>
      <c r="T663" s="414"/>
      <c r="U663" s="414"/>
    </row>
    <row r="664" spans="5:21" ht="15.6">
      <c r="E664" s="1"/>
      <c r="F664" s="1"/>
      <c r="G664" s="1"/>
      <c r="H664" s="1"/>
      <c r="I664" s="1"/>
      <c r="J664" s="1"/>
      <c r="K664" s="1"/>
      <c r="P664" s="414"/>
      <c r="Q664" s="414"/>
      <c r="R664" s="414"/>
      <c r="S664" s="414"/>
      <c r="T664" s="414"/>
      <c r="U664" s="414"/>
    </row>
    <row r="665" spans="5:21" ht="15.6">
      <c r="E665" s="1"/>
      <c r="F665" s="1"/>
      <c r="G665" s="1"/>
      <c r="H665" s="1"/>
      <c r="I665" s="1"/>
      <c r="J665" s="1"/>
      <c r="K665" s="1"/>
      <c r="P665" s="414"/>
      <c r="Q665" s="414"/>
      <c r="R665" s="414"/>
      <c r="S665" s="414"/>
      <c r="T665" s="414"/>
      <c r="U665" s="414"/>
    </row>
    <row r="666" spans="5:21" ht="15.6">
      <c r="E666" s="1"/>
      <c r="F666" s="1"/>
      <c r="G666" s="1"/>
      <c r="H666" s="1"/>
      <c r="I666" s="1"/>
      <c r="J666" s="1"/>
      <c r="K666" s="1"/>
      <c r="P666" s="414"/>
      <c r="Q666" s="414"/>
      <c r="R666" s="414"/>
      <c r="S666" s="414"/>
      <c r="T666" s="414"/>
      <c r="U666" s="414"/>
    </row>
    <row r="667" spans="5:21" ht="15.6">
      <c r="E667" s="1"/>
      <c r="F667" s="1"/>
      <c r="G667" s="1"/>
      <c r="H667" s="1"/>
      <c r="I667" s="1"/>
      <c r="J667" s="1"/>
      <c r="K667" s="1"/>
      <c r="P667" s="414"/>
      <c r="Q667" s="414"/>
      <c r="R667" s="414"/>
      <c r="S667" s="414"/>
      <c r="T667" s="414"/>
      <c r="U667" s="414"/>
    </row>
    <row r="668" spans="5:21" ht="15.6">
      <c r="E668" s="1"/>
      <c r="F668" s="1"/>
      <c r="G668" s="1"/>
      <c r="H668" s="1"/>
      <c r="I668" s="1"/>
      <c r="J668" s="1"/>
      <c r="K668" s="1"/>
      <c r="P668" s="414"/>
      <c r="Q668" s="414"/>
      <c r="R668" s="414"/>
      <c r="S668" s="414"/>
      <c r="T668" s="414"/>
      <c r="U668" s="414"/>
    </row>
    <row r="669" spans="5:21" ht="15.6">
      <c r="E669" s="1"/>
      <c r="F669" s="1"/>
      <c r="G669" s="1"/>
      <c r="H669" s="1"/>
      <c r="I669" s="1"/>
      <c r="J669" s="1"/>
      <c r="K669" s="1"/>
      <c r="P669" s="414"/>
      <c r="Q669" s="414"/>
      <c r="R669" s="414"/>
      <c r="S669" s="414"/>
      <c r="T669" s="414"/>
      <c r="U669" s="414"/>
    </row>
    <row r="670" spans="5:21" ht="15.6">
      <c r="E670" s="1"/>
      <c r="F670" s="1"/>
      <c r="G670" s="1"/>
      <c r="H670" s="1"/>
      <c r="I670" s="1"/>
      <c r="J670" s="1"/>
      <c r="K670" s="1"/>
      <c r="P670" s="414"/>
      <c r="Q670" s="414"/>
      <c r="R670" s="414"/>
      <c r="S670" s="414"/>
      <c r="T670" s="414"/>
      <c r="U670" s="414"/>
    </row>
    <row r="671" spans="5:21" ht="15.6">
      <c r="E671" s="1"/>
      <c r="F671" s="1"/>
      <c r="G671" s="1"/>
      <c r="H671" s="1"/>
      <c r="I671" s="1"/>
      <c r="J671" s="1"/>
      <c r="K671" s="1"/>
      <c r="P671" s="414"/>
      <c r="Q671" s="414"/>
      <c r="R671" s="414"/>
      <c r="S671" s="414"/>
      <c r="T671" s="414"/>
      <c r="U671" s="414"/>
    </row>
    <row r="672" spans="5:21" ht="15.6">
      <c r="E672" s="1"/>
      <c r="F672" s="1"/>
      <c r="G672" s="1"/>
      <c r="H672" s="1"/>
      <c r="I672" s="1"/>
      <c r="J672" s="1"/>
      <c r="K672" s="1"/>
      <c r="P672" s="414"/>
      <c r="Q672" s="414"/>
      <c r="R672" s="414"/>
      <c r="S672" s="414"/>
      <c r="T672" s="414"/>
      <c r="U672" s="414"/>
    </row>
    <row r="673" spans="5:21" ht="15.6">
      <c r="E673" s="1"/>
      <c r="F673" s="1"/>
      <c r="G673" s="1"/>
      <c r="H673" s="1"/>
      <c r="I673" s="1"/>
      <c r="J673" s="1"/>
      <c r="K673" s="1"/>
      <c r="P673" s="414"/>
      <c r="Q673" s="414"/>
      <c r="R673" s="414"/>
      <c r="S673" s="414"/>
      <c r="T673" s="414"/>
      <c r="U673" s="414"/>
    </row>
    <row r="674" spans="5:21" ht="15.6">
      <c r="E674" s="1"/>
      <c r="F674" s="1"/>
      <c r="G674" s="1"/>
      <c r="H674" s="1"/>
      <c r="I674" s="1"/>
      <c r="J674" s="1"/>
      <c r="K674" s="1"/>
      <c r="P674" s="414"/>
      <c r="Q674" s="414"/>
      <c r="R674" s="414"/>
      <c r="S674" s="414"/>
      <c r="T674" s="414"/>
      <c r="U674" s="414"/>
    </row>
    <row r="675" spans="5:21" ht="15.6">
      <c r="E675" s="1"/>
      <c r="F675" s="1"/>
      <c r="G675" s="1"/>
      <c r="H675" s="1"/>
      <c r="I675" s="1"/>
      <c r="J675" s="1"/>
      <c r="K675" s="1"/>
      <c r="P675" s="414"/>
      <c r="Q675" s="414"/>
      <c r="R675" s="414"/>
      <c r="S675" s="414"/>
      <c r="T675" s="414"/>
      <c r="U675" s="414"/>
    </row>
    <row r="676" spans="5:21" ht="15.6">
      <c r="E676" s="1"/>
      <c r="F676" s="1"/>
      <c r="G676" s="1"/>
      <c r="H676" s="1"/>
      <c r="I676" s="1"/>
      <c r="J676" s="1"/>
      <c r="K676" s="1"/>
      <c r="P676" s="414"/>
      <c r="Q676" s="414"/>
      <c r="R676" s="414"/>
      <c r="S676" s="414"/>
      <c r="T676" s="414"/>
      <c r="U676" s="414"/>
    </row>
    <row r="677" spans="5:21" ht="15.6">
      <c r="E677" s="1"/>
      <c r="F677" s="1"/>
      <c r="G677" s="1"/>
      <c r="H677" s="1"/>
      <c r="I677" s="1"/>
      <c r="J677" s="1"/>
      <c r="K677" s="1"/>
      <c r="P677" s="414"/>
      <c r="Q677" s="414"/>
      <c r="R677" s="414"/>
      <c r="S677" s="414"/>
      <c r="T677" s="414"/>
      <c r="U677" s="414"/>
    </row>
    <row r="678" spans="5:21" ht="15.6">
      <c r="E678" s="1"/>
      <c r="F678" s="1"/>
      <c r="G678" s="1"/>
      <c r="H678" s="1"/>
      <c r="I678" s="1"/>
      <c r="J678" s="1"/>
      <c r="K678" s="1"/>
      <c r="P678" s="414"/>
      <c r="Q678" s="414"/>
      <c r="R678" s="414"/>
      <c r="S678" s="414"/>
      <c r="T678" s="414"/>
      <c r="U678" s="414"/>
    </row>
    <row r="679" spans="5:21" ht="15.6">
      <c r="E679" s="1"/>
      <c r="F679" s="1"/>
      <c r="G679" s="1"/>
      <c r="H679" s="1"/>
      <c r="I679" s="1"/>
      <c r="J679" s="1"/>
      <c r="K679" s="1"/>
      <c r="P679" s="414"/>
      <c r="Q679" s="414"/>
      <c r="R679" s="414"/>
      <c r="S679" s="414"/>
      <c r="T679" s="414"/>
      <c r="U679" s="414"/>
    </row>
    <row r="680" spans="5:21" ht="15.6">
      <c r="E680" s="1"/>
      <c r="F680" s="1"/>
      <c r="G680" s="1"/>
      <c r="H680" s="1"/>
      <c r="I680" s="1"/>
      <c r="J680" s="1"/>
      <c r="K680" s="1"/>
      <c r="P680" s="414"/>
      <c r="Q680" s="414"/>
      <c r="R680" s="414"/>
      <c r="S680" s="414"/>
      <c r="T680" s="414"/>
      <c r="U680" s="414"/>
    </row>
    <row r="681" spans="5:21" ht="15.6">
      <c r="E681" s="1"/>
      <c r="F681" s="1"/>
      <c r="G681" s="1"/>
      <c r="H681" s="1"/>
      <c r="I681" s="1"/>
      <c r="J681" s="1"/>
      <c r="K681" s="1"/>
      <c r="P681" s="414"/>
      <c r="Q681" s="414"/>
      <c r="R681" s="414"/>
      <c r="S681" s="414"/>
      <c r="T681" s="414"/>
      <c r="U681" s="414"/>
    </row>
    <row r="682" spans="5:21" ht="15.6">
      <c r="E682" s="1"/>
      <c r="F682" s="1"/>
      <c r="G682" s="1"/>
      <c r="H682" s="1"/>
      <c r="I682" s="1"/>
      <c r="J682" s="1"/>
      <c r="K682" s="1"/>
      <c r="P682" s="414"/>
      <c r="Q682" s="414"/>
      <c r="R682" s="414"/>
      <c r="S682" s="414"/>
      <c r="T682" s="414"/>
      <c r="U682" s="414"/>
    </row>
    <row r="683" spans="5:21" ht="15.6">
      <c r="E683" s="1"/>
      <c r="F683" s="1"/>
      <c r="G683" s="1"/>
      <c r="H683" s="1"/>
      <c r="I683" s="1"/>
      <c r="J683" s="1"/>
      <c r="K683" s="1"/>
      <c r="P683" s="414"/>
      <c r="Q683" s="414"/>
      <c r="R683" s="414"/>
      <c r="S683" s="414"/>
      <c r="T683" s="414"/>
      <c r="U683" s="414"/>
    </row>
    <row r="684" spans="5:21" ht="15.6">
      <c r="E684" s="1"/>
      <c r="F684" s="1"/>
      <c r="G684" s="1"/>
      <c r="H684" s="1"/>
      <c r="I684" s="1"/>
      <c r="J684" s="1"/>
      <c r="K684" s="1"/>
      <c r="P684" s="414"/>
      <c r="Q684" s="414"/>
      <c r="R684" s="414"/>
      <c r="S684" s="414"/>
      <c r="T684" s="414"/>
      <c r="U684" s="414"/>
    </row>
    <row r="685" spans="5:21" ht="15.6">
      <c r="E685" s="1"/>
      <c r="F685" s="1"/>
      <c r="G685" s="1"/>
      <c r="H685" s="1"/>
      <c r="I685" s="1"/>
      <c r="J685" s="1"/>
      <c r="K685" s="1"/>
      <c r="P685" s="414"/>
      <c r="Q685" s="414"/>
      <c r="R685" s="414"/>
      <c r="S685" s="414"/>
      <c r="T685" s="414"/>
      <c r="U685" s="414"/>
    </row>
    <row r="686" spans="5:21" ht="15.6">
      <c r="E686" s="1"/>
      <c r="F686" s="1"/>
      <c r="G686" s="1"/>
      <c r="H686" s="1"/>
      <c r="I686" s="1"/>
      <c r="J686" s="1"/>
      <c r="K686" s="1"/>
      <c r="P686" s="414"/>
      <c r="Q686" s="414"/>
      <c r="R686" s="414"/>
      <c r="S686" s="414"/>
      <c r="T686" s="414"/>
      <c r="U686" s="414"/>
    </row>
    <row r="687" spans="5:21" ht="15.6">
      <c r="E687" s="1"/>
      <c r="F687" s="1"/>
      <c r="G687" s="1"/>
      <c r="H687" s="1"/>
      <c r="I687" s="1"/>
      <c r="J687" s="1"/>
      <c r="K687" s="1"/>
      <c r="P687" s="414"/>
      <c r="Q687" s="414"/>
      <c r="R687" s="414"/>
      <c r="S687" s="414"/>
      <c r="T687" s="414"/>
      <c r="U687" s="414"/>
    </row>
    <row r="688" spans="5:21" ht="15.6">
      <c r="E688" s="1"/>
      <c r="F688" s="1"/>
      <c r="G688" s="1"/>
      <c r="H688" s="1"/>
      <c r="I688" s="1"/>
      <c r="J688" s="1"/>
      <c r="K688" s="1"/>
      <c r="P688" s="414"/>
      <c r="Q688" s="414"/>
      <c r="R688" s="414"/>
      <c r="S688" s="414"/>
      <c r="T688" s="414"/>
      <c r="U688" s="414"/>
    </row>
    <row r="689" spans="5:21" ht="15.6">
      <c r="E689" s="1"/>
      <c r="F689" s="1"/>
      <c r="G689" s="1"/>
      <c r="H689" s="1"/>
      <c r="I689" s="1"/>
      <c r="J689" s="1"/>
      <c r="K689" s="1"/>
      <c r="P689" s="414"/>
      <c r="Q689" s="414"/>
      <c r="R689" s="414"/>
      <c r="S689" s="414"/>
      <c r="T689" s="414"/>
      <c r="U689" s="414"/>
    </row>
    <row r="690" spans="5:21" ht="15.6">
      <c r="E690" s="1"/>
      <c r="F690" s="1"/>
      <c r="G690" s="1"/>
      <c r="H690" s="1"/>
      <c r="I690" s="1"/>
      <c r="J690" s="1"/>
      <c r="K690" s="1"/>
      <c r="P690" s="414"/>
      <c r="Q690" s="414"/>
      <c r="R690" s="414"/>
      <c r="S690" s="414"/>
      <c r="T690" s="414"/>
      <c r="U690" s="414"/>
    </row>
    <row r="691" spans="5:21" ht="15.6">
      <c r="E691" s="1"/>
      <c r="F691" s="1"/>
      <c r="G691" s="1"/>
      <c r="H691" s="1"/>
      <c r="I691" s="1"/>
      <c r="J691" s="1"/>
      <c r="K691" s="1"/>
      <c r="P691" s="414"/>
      <c r="Q691" s="414"/>
      <c r="R691" s="414"/>
      <c r="S691" s="414"/>
      <c r="T691" s="414"/>
      <c r="U691" s="414"/>
    </row>
    <row r="692" spans="5:21" ht="15.6">
      <c r="E692" s="1"/>
      <c r="F692" s="1"/>
      <c r="G692" s="1"/>
      <c r="H692" s="1"/>
      <c r="I692" s="1"/>
      <c r="J692" s="1"/>
      <c r="K692" s="1"/>
      <c r="P692" s="414"/>
      <c r="Q692" s="414"/>
      <c r="R692" s="414"/>
      <c r="S692" s="414"/>
      <c r="T692" s="414"/>
      <c r="U692" s="414"/>
    </row>
    <row r="693" spans="5:21" ht="15.6">
      <c r="E693" s="1"/>
      <c r="F693" s="1"/>
      <c r="G693" s="1"/>
      <c r="H693" s="1"/>
      <c r="I693" s="1"/>
      <c r="J693" s="1"/>
      <c r="K693" s="1"/>
      <c r="P693" s="414"/>
      <c r="Q693" s="414"/>
      <c r="R693" s="414"/>
      <c r="S693" s="414"/>
      <c r="T693" s="414"/>
      <c r="U693" s="414"/>
    </row>
    <row r="694" spans="5:21" ht="15.6">
      <c r="E694" s="1"/>
      <c r="F694" s="1"/>
      <c r="G694" s="1"/>
      <c r="H694" s="1"/>
      <c r="I694" s="1"/>
      <c r="J694" s="1"/>
      <c r="K694" s="1"/>
      <c r="P694" s="414"/>
      <c r="Q694" s="414"/>
      <c r="R694" s="414"/>
      <c r="S694" s="414"/>
      <c r="T694" s="414"/>
      <c r="U694" s="414"/>
    </row>
    <row r="695" spans="5:21" ht="15.6">
      <c r="E695" s="1"/>
      <c r="F695" s="1"/>
      <c r="G695" s="1"/>
      <c r="H695" s="1"/>
      <c r="I695" s="1"/>
      <c r="J695" s="1"/>
      <c r="K695" s="1"/>
      <c r="P695" s="414"/>
      <c r="Q695" s="414"/>
      <c r="R695" s="414"/>
      <c r="S695" s="414"/>
      <c r="T695" s="414"/>
      <c r="U695" s="414"/>
    </row>
    <row r="696" spans="5:21" ht="15.6">
      <c r="E696" s="1"/>
      <c r="F696" s="1"/>
      <c r="G696" s="1"/>
      <c r="H696" s="1"/>
      <c r="I696" s="1"/>
      <c r="J696" s="1"/>
      <c r="K696" s="1"/>
      <c r="P696" s="414"/>
      <c r="Q696" s="414"/>
      <c r="R696" s="414"/>
      <c r="S696" s="414"/>
      <c r="T696" s="414"/>
      <c r="U696" s="414"/>
    </row>
    <row r="697" spans="5:21" ht="15.6">
      <c r="E697" s="1"/>
      <c r="F697" s="1"/>
      <c r="G697" s="1"/>
      <c r="H697" s="1"/>
      <c r="I697" s="1"/>
      <c r="J697" s="1"/>
      <c r="K697" s="1"/>
      <c r="P697" s="414"/>
      <c r="Q697" s="414"/>
      <c r="R697" s="414"/>
      <c r="S697" s="414"/>
      <c r="T697" s="414"/>
      <c r="U697" s="414"/>
    </row>
    <row r="698" spans="5:21" ht="15.6">
      <c r="E698" s="1"/>
      <c r="F698" s="1"/>
      <c r="G698" s="1"/>
      <c r="H698" s="1"/>
      <c r="I698" s="1"/>
      <c r="J698" s="1"/>
      <c r="K698" s="1"/>
      <c r="P698" s="414"/>
      <c r="Q698" s="414"/>
      <c r="R698" s="414"/>
      <c r="S698" s="414"/>
      <c r="T698" s="414"/>
      <c r="U698" s="414"/>
    </row>
    <row r="699" spans="5:21" ht="15.6">
      <c r="E699" s="1"/>
      <c r="F699" s="1"/>
      <c r="G699" s="1"/>
      <c r="H699" s="1"/>
      <c r="I699" s="1"/>
      <c r="J699" s="1"/>
      <c r="K699" s="1"/>
      <c r="P699" s="414"/>
      <c r="Q699" s="414"/>
      <c r="R699" s="414"/>
      <c r="S699" s="414"/>
      <c r="T699" s="414"/>
      <c r="U699" s="414"/>
    </row>
    <row r="700" spans="5:21" ht="15.6">
      <c r="E700" s="1"/>
      <c r="F700" s="1"/>
      <c r="G700" s="1"/>
      <c r="H700" s="1"/>
      <c r="I700" s="1"/>
      <c r="J700" s="1"/>
      <c r="K700" s="1"/>
      <c r="P700" s="414"/>
      <c r="Q700" s="414"/>
      <c r="R700" s="414"/>
      <c r="S700" s="414"/>
      <c r="T700" s="414"/>
      <c r="U700" s="414"/>
    </row>
    <row r="701" spans="5:21" ht="15.6">
      <c r="E701" s="1"/>
      <c r="F701" s="1"/>
      <c r="G701" s="1"/>
      <c r="H701" s="1"/>
      <c r="I701" s="1"/>
      <c r="J701" s="1"/>
      <c r="K701" s="1"/>
      <c r="P701" s="414"/>
      <c r="Q701" s="414"/>
      <c r="R701" s="414"/>
      <c r="S701" s="414"/>
      <c r="T701" s="414"/>
      <c r="U701" s="414"/>
    </row>
    <row r="702" spans="5:21" ht="15.6">
      <c r="E702" s="1"/>
      <c r="F702" s="1"/>
      <c r="G702" s="1"/>
      <c r="H702" s="1"/>
      <c r="I702" s="1"/>
      <c r="J702" s="1"/>
      <c r="K702" s="1"/>
      <c r="P702" s="414"/>
      <c r="Q702" s="414"/>
      <c r="R702" s="414"/>
      <c r="S702" s="414"/>
      <c r="T702" s="414"/>
      <c r="U702" s="414"/>
    </row>
    <row r="703" spans="5:21" ht="15.6">
      <c r="E703" s="1"/>
      <c r="F703" s="1"/>
      <c r="G703" s="1"/>
      <c r="H703" s="1"/>
      <c r="I703" s="1"/>
      <c r="J703" s="1"/>
      <c r="K703" s="1"/>
      <c r="P703" s="414"/>
      <c r="Q703" s="414"/>
      <c r="R703" s="414"/>
      <c r="S703" s="414"/>
      <c r="T703" s="414"/>
      <c r="U703" s="414"/>
    </row>
    <row r="704" spans="5:21" ht="15.6">
      <c r="E704" s="1"/>
      <c r="F704" s="1"/>
      <c r="G704" s="1"/>
      <c r="H704" s="1"/>
      <c r="I704" s="1"/>
      <c r="J704" s="1"/>
      <c r="K704" s="1"/>
      <c r="P704" s="414"/>
      <c r="Q704" s="414"/>
      <c r="R704" s="414"/>
      <c r="S704" s="414"/>
      <c r="T704" s="414"/>
      <c r="U704" s="414"/>
    </row>
    <row r="705" spans="5:21" ht="15.6">
      <c r="E705" s="1"/>
      <c r="F705" s="1"/>
      <c r="G705" s="1"/>
      <c r="H705" s="1"/>
      <c r="I705" s="1"/>
      <c r="J705" s="1"/>
      <c r="K705" s="1"/>
      <c r="P705" s="414"/>
      <c r="Q705" s="414"/>
      <c r="R705" s="414"/>
      <c r="S705" s="414"/>
      <c r="T705" s="414"/>
      <c r="U705" s="414"/>
    </row>
    <row r="706" spans="5:21" ht="15.6">
      <c r="E706" s="1"/>
      <c r="F706" s="1"/>
      <c r="G706" s="1"/>
      <c r="H706" s="1"/>
      <c r="I706" s="1"/>
      <c r="J706" s="1"/>
      <c r="K706" s="1"/>
      <c r="P706" s="414"/>
      <c r="Q706" s="414"/>
      <c r="R706" s="414"/>
      <c r="S706" s="414"/>
      <c r="T706" s="414"/>
      <c r="U706" s="414"/>
    </row>
    <row r="707" spans="5:21" ht="15.6">
      <c r="E707" s="1"/>
      <c r="F707" s="1"/>
      <c r="G707" s="1"/>
      <c r="H707" s="1"/>
      <c r="I707" s="1"/>
      <c r="J707" s="1"/>
      <c r="K707" s="1"/>
      <c r="P707" s="414"/>
      <c r="Q707" s="414"/>
      <c r="R707" s="414"/>
      <c r="S707" s="414"/>
      <c r="T707" s="414"/>
      <c r="U707" s="414"/>
    </row>
    <row r="708" spans="5:21" ht="15.6">
      <c r="E708" s="1"/>
      <c r="F708" s="1"/>
      <c r="G708" s="1"/>
      <c r="H708" s="1"/>
      <c r="I708" s="1"/>
      <c r="J708" s="1"/>
      <c r="K708" s="1"/>
      <c r="P708" s="414"/>
      <c r="Q708" s="414"/>
      <c r="R708" s="414"/>
      <c r="S708" s="414"/>
      <c r="T708" s="414"/>
      <c r="U708" s="414"/>
    </row>
    <row r="709" spans="5:21" ht="15.6">
      <c r="E709" s="1"/>
      <c r="F709" s="1"/>
      <c r="G709" s="1"/>
      <c r="H709" s="1"/>
      <c r="I709" s="1"/>
      <c r="J709" s="1"/>
      <c r="K709" s="1"/>
      <c r="P709" s="414"/>
      <c r="Q709" s="414"/>
      <c r="R709" s="414"/>
      <c r="S709" s="414"/>
      <c r="T709" s="414"/>
      <c r="U709" s="414"/>
    </row>
    <row r="710" spans="5:21" ht="15.6">
      <c r="E710" s="1"/>
      <c r="F710" s="1"/>
      <c r="G710" s="1"/>
      <c r="H710" s="1"/>
      <c r="I710" s="1"/>
      <c r="J710" s="1"/>
      <c r="K710" s="1"/>
      <c r="P710" s="414"/>
      <c r="Q710" s="414"/>
      <c r="R710" s="414"/>
      <c r="S710" s="414"/>
      <c r="T710" s="414"/>
      <c r="U710" s="414"/>
    </row>
    <row r="711" spans="5:21" ht="15.6">
      <c r="E711" s="1"/>
      <c r="F711" s="1"/>
      <c r="G711" s="1"/>
      <c r="H711" s="1"/>
      <c r="I711" s="1"/>
      <c r="J711" s="1"/>
      <c r="K711" s="1"/>
      <c r="P711" s="414"/>
      <c r="Q711" s="414"/>
      <c r="R711" s="414"/>
      <c r="S711" s="414"/>
      <c r="T711" s="414"/>
      <c r="U711" s="414"/>
    </row>
    <row r="712" spans="5:21" ht="15.6">
      <c r="E712" s="1"/>
      <c r="F712" s="1"/>
      <c r="G712" s="1"/>
      <c r="H712" s="1"/>
      <c r="I712" s="1"/>
      <c r="J712" s="1"/>
      <c r="K712" s="1"/>
      <c r="P712" s="414"/>
      <c r="Q712" s="414"/>
      <c r="R712" s="414"/>
      <c r="S712" s="414"/>
      <c r="T712" s="414"/>
      <c r="U712" s="414"/>
    </row>
    <row r="713" spans="5:21" ht="15.6">
      <c r="E713" s="1"/>
      <c r="F713" s="1"/>
      <c r="G713" s="1"/>
      <c r="H713" s="1"/>
      <c r="I713" s="1"/>
      <c r="J713" s="1"/>
      <c r="K713" s="1"/>
      <c r="P713" s="414"/>
      <c r="Q713" s="414"/>
      <c r="R713" s="414"/>
      <c r="S713" s="414"/>
      <c r="T713" s="414"/>
      <c r="U713" s="414"/>
    </row>
    <row r="714" spans="5:21" ht="15.6">
      <c r="E714" s="1"/>
      <c r="F714" s="1"/>
      <c r="G714" s="1"/>
      <c r="H714" s="1"/>
      <c r="I714" s="1"/>
      <c r="J714" s="1"/>
      <c r="K714" s="1"/>
      <c r="P714" s="414"/>
      <c r="Q714" s="414"/>
      <c r="R714" s="414"/>
      <c r="S714" s="414"/>
      <c r="T714" s="414"/>
      <c r="U714" s="414"/>
    </row>
    <row r="715" spans="5:21" ht="15.6">
      <c r="E715" s="1"/>
      <c r="F715" s="1"/>
      <c r="G715" s="1"/>
      <c r="H715" s="1"/>
      <c r="I715" s="1"/>
      <c r="J715" s="1"/>
      <c r="K715" s="1"/>
      <c r="P715" s="414"/>
      <c r="Q715" s="414"/>
      <c r="R715" s="414"/>
      <c r="S715" s="414"/>
      <c r="T715" s="414"/>
      <c r="U715" s="414"/>
    </row>
    <row r="716" spans="5:21" ht="15.6">
      <c r="E716" s="1"/>
      <c r="F716" s="1"/>
      <c r="G716" s="1"/>
      <c r="H716" s="1"/>
      <c r="I716" s="1"/>
      <c r="J716" s="1"/>
      <c r="K716" s="1"/>
      <c r="P716" s="414"/>
      <c r="Q716" s="414"/>
      <c r="R716" s="414"/>
      <c r="S716" s="414"/>
      <c r="T716" s="414"/>
      <c r="U716" s="414"/>
    </row>
    <row r="717" spans="5:21" ht="15.6">
      <c r="E717" s="1"/>
      <c r="F717" s="1"/>
      <c r="G717" s="1"/>
      <c r="H717" s="1"/>
      <c r="I717" s="1"/>
      <c r="J717" s="1"/>
      <c r="K717" s="1"/>
      <c r="P717" s="414"/>
      <c r="Q717" s="414"/>
      <c r="R717" s="414"/>
      <c r="S717" s="414"/>
      <c r="T717" s="414"/>
      <c r="U717" s="414"/>
    </row>
    <row r="718" spans="5:21" ht="15.6">
      <c r="E718" s="1"/>
      <c r="F718" s="1"/>
      <c r="G718" s="1"/>
      <c r="H718" s="1"/>
      <c r="I718" s="1"/>
      <c r="J718" s="1"/>
      <c r="K718" s="1"/>
      <c r="P718" s="414"/>
      <c r="Q718" s="414"/>
      <c r="R718" s="414"/>
      <c r="S718" s="414"/>
      <c r="T718" s="414"/>
      <c r="U718" s="414"/>
    </row>
    <row r="719" spans="5:21" ht="15.6">
      <c r="E719" s="1"/>
      <c r="F719" s="1"/>
      <c r="G719" s="1"/>
      <c r="H719" s="1"/>
      <c r="I719" s="1"/>
      <c r="J719" s="1"/>
      <c r="K719" s="1"/>
      <c r="P719" s="414"/>
      <c r="Q719" s="414"/>
      <c r="R719" s="414"/>
      <c r="S719" s="414"/>
      <c r="T719" s="414"/>
      <c r="U719" s="414"/>
    </row>
    <row r="720" spans="5:21" ht="15.6">
      <c r="E720" s="1"/>
      <c r="F720" s="1"/>
      <c r="G720" s="1"/>
      <c r="H720" s="1"/>
      <c r="I720" s="1"/>
      <c r="J720" s="1"/>
      <c r="K720" s="1"/>
      <c r="P720" s="414"/>
      <c r="Q720" s="414"/>
      <c r="R720" s="414"/>
      <c r="S720" s="414"/>
      <c r="T720" s="414"/>
      <c r="U720" s="414"/>
    </row>
    <row r="721" spans="5:21" ht="15.6">
      <c r="E721" s="1"/>
      <c r="F721" s="1"/>
      <c r="G721" s="1"/>
      <c r="H721" s="1"/>
      <c r="I721" s="1"/>
      <c r="J721" s="1"/>
      <c r="K721" s="1"/>
      <c r="P721" s="414"/>
      <c r="Q721" s="414"/>
      <c r="R721" s="414"/>
      <c r="S721" s="414"/>
      <c r="T721" s="414"/>
      <c r="U721" s="414"/>
    </row>
    <row r="722" spans="5:21" ht="15.6">
      <c r="E722" s="1"/>
      <c r="F722" s="1"/>
      <c r="G722" s="1"/>
      <c r="H722" s="1"/>
      <c r="I722" s="1"/>
      <c r="J722" s="1"/>
      <c r="K722" s="1"/>
      <c r="P722" s="414"/>
      <c r="Q722" s="414"/>
      <c r="R722" s="414"/>
      <c r="S722" s="414"/>
      <c r="T722" s="414"/>
      <c r="U722" s="414"/>
    </row>
    <row r="723" spans="5:21" ht="15.6">
      <c r="E723" s="1"/>
      <c r="F723" s="1"/>
      <c r="G723" s="1"/>
      <c r="H723" s="1"/>
      <c r="I723" s="1"/>
      <c r="J723" s="1"/>
      <c r="K723" s="1"/>
      <c r="P723" s="414"/>
      <c r="Q723" s="414"/>
      <c r="R723" s="414"/>
      <c r="S723" s="414"/>
      <c r="T723" s="414"/>
      <c r="U723" s="414"/>
    </row>
    <row r="724" spans="5:21" ht="15.6">
      <c r="E724" s="1"/>
      <c r="F724" s="1"/>
      <c r="G724" s="1"/>
      <c r="H724" s="1"/>
      <c r="I724" s="1"/>
      <c r="J724" s="1"/>
      <c r="K724" s="1"/>
      <c r="P724" s="414"/>
      <c r="Q724" s="414"/>
      <c r="R724" s="414"/>
      <c r="S724" s="414"/>
      <c r="T724" s="414"/>
      <c r="U724" s="414"/>
    </row>
    <row r="725" spans="5:21" ht="15.6">
      <c r="E725" s="1"/>
      <c r="F725" s="1"/>
      <c r="G725" s="1"/>
      <c r="H725" s="1"/>
      <c r="I725" s="1"/>
      <c r="J725" s="1"/>
      <c r="K725" s="1"/>
      <c r="P725" s="414"/>
      <c r="Q725" s="414"/>
      <c r="R725" s="414"/>
      <c r="S725" s="414"/>
      <c r="T725" s="414"/>
      <c r="U725" s="414"/>
    </row>
    <row r="726" spans="5:21" ht="15.6">
      <c r="E726" s="1"/>
      <c r="F726" s="1"/>
      <c r="G726" s="1"/>
      <c r="H726" s="1"/>
      <c r="I726" s="1"/>
      <c r="J726" s="1"/>
      <c r="K726" s="1"/>
      <c r="P726" s="414"/>
      <c r="Q726" s="414"/>
      <c r="R726" s="414"/>
      <c r="S726" s="414"/>
      <c r="T726" s="414"/>
      <c r="U726" s="414"/>
    </row>
    <row r="727" spans="5:21" ht="15.6">
      <c r="E727" s="1"/>
      <c r="F727" s="1"/>
      <c r="G727" s="1"/>
      <c r="H727" s="1"/>
      <c r="I727" s="1"/>
      <c r="J727" s="1"/>
      <c r="K727" s="1"/>
      <c r="P727" s="414"/>
      <c r="Q727" s="414"/>
      <c r="R727" s="414"/>
      <c r="S727" s="414"/>
      <c r="T727" s="414"/>
      <c r="U727" s="414"/>
    </row>
    <row r="728" spans="5:21" ht="15.6">
      <c r="E728" s="1"/>
      <c r="F728" s="1"/>
      <c r="G728" s="1"/>
      <c r="H728" s="1"/>
      <c r="I728" s="1"/>
      <c r="J728" s="1"/>
      <c r="K728" s="1"/>
      <c r="P728" s="414"/>
      <c r="Q728" s="414"/>
      <c r="R728" s="414"/>
      <c r="S728" s="414"/>
      <c r="T728" s="414"/>
      <c r="U728" s="414"/>
    </row>
    <row r="729" spans="5:21" ht="15.6">
      <c r="E729" s="1"/>
      <c r="F729" s="1"/>
      <c r="G729" s="1"/>
      <c r="H729" s="1"/>
      <c r="I729" s="1"/>
      <c r="J729" s="1"/>
      <c r="K729" s="1"/>
      <c r="P729" s="414"/>
      <c r="Q729" s="414"/>
      <c r="R729" s="414"/>
      <c r="S729" s="414"/>
      <c r="T729" s="414"/>
      <c r="U729" s="414"/>
    </row>
    <row r="730" spans="5:21" ht="15.6">
      <c r="E730" s="1"/>
      <c r="F730" s="1"/>
      <c r="G730" s="1"/>
      <c r="H730" s="1"/>
      <c r="I730" s="1"/>
      <c r="J730" s="1"/>
      <c r="K730" s="1"/>
      <c r="P730" s="414"/>
      <c r="Q730" s="414"/>
      <c r="R730" s="414"/>
      <c r="S730" s="414"/>
      <c r="T730" s="414"/>
      <c r="U730" s="414"/>
    </row>
    <row r="731" spans="5:21" ht="15.6">
      <c r="E731" s="1"/>
      <c r="F731" s="1"/>
      <c r="G731" s="1"/>
      <c r="H731" s="1"/>
      <c r="I731" s="1"/>
      <c r="J731" s="1"/>
      <c r="K731" s="1"/>
      <c r="P731" s="414"/>
      <c r="Q731" s="414"/>
      <c r="R731" s="414"/>
      <c r="S731" s="414"/>
      <c r="T731" s="414"/>
      <c r="U731" s="414"/>
    </row>
    <row r="732" spans="5:21" ht="15.6">
      <c r="E732" s="1"/>
      <c r="F732" s="1"/>
      <c r="G732" s="1"/>
      <c r="H732" s="1"/>
      <c r="I732" s="1"/>
      <c r="J732" s="1"/>
      <c r="K732" s="1"/>
      <c r="P732" s="414"/>
      <c r="Q732" s="414"/>
      <c r="R732" s="414"/>
      <c r="S732" s="414"/>
      <c r="T732" s="414"/>
      <c r="U732" s="414"/>
    </row>
    <row r="733" spans="5:21" ht="15.6">
      <c r="E733" s="1"/>
      <c r="F733" s="1"/>
      <c r="G733" s="1"/>
      <c r="H733" s="1"/>
      <c r="I733" s="1"/>
      <c r="J733" s="1"/>
      <c r="K733" s="1"/>
      <c r="P733" s="414"/>
      <c r="Q733" s="414"/>
      <c r="R733" s="414"/>
      <c r="S733" s="414"/>
      <c r="T733" s="414"/>
      <c r="U733" s="414"/>
    </row>
    <row r="734" spans="5:21" ht="15.6">
      <c r="E734" s="1"/>
      <c r="F734" s="1"/>
      <c r="G734" s="1"/>
      <c r="H734" s="1"/>
      <c r="I734" s="1"/>
      <c r="J734" s="1"/>
      <c r="K734" s="1"/>
      <c r="P734" s="414"/>
      <c r="Q734" s="414"/>
      <c r="R734" s="414"/>
      <c r="S734" s="414"/>
      <c r="T734" s="414"/>
      <c r="U734" s="414"/>
    </row>
    <row r="735" spans="5:21" ht="15.6">
      <c r="E735" s="1"/>
      <c r="F735" s="1"/>
      <c r="G735" s="1"/>
      <c r="H735" s="1"/>
      <c r="I735" s="1"/>
      <c r="J735" s="1"/>
      <c r="K735" s="1"/>
      <c r="P735" s="414"/>
      <c r="Q735" s="414"/>
      <c r="R735" s="414"/>
      <c r="S735" s="414"/>
      <c r="T735" s="414"/>
      <c r="U735" s="414"/>
    </row>
    <row r="736" spans="5:21" ht="15.6">
      <c r="E736" s="1"/>
      <c r="F736" s="1"/>
      <c r="G736" s="1"/>
      <c r="H736" s="1"/>
      <c r="I736" s="1"/>
      <c r="J736" s="1"/>
      <c r="K736" s="1"/>
      <c r="P736" s="414"/>
      <c r="Q736" s="414"/>
      <c r="R736" s="414"/>
      <c r="S736" s="414"/>
      <c r="T736" s="414"/>
      <c r="U736" s="414"/>
    </row>
    <row r="737" spans="5:21" ht="15.6">
      <c r="E737" s="1"/>
      <c r="F737" s="1"/>
      <c r="G737" s="1"/>
      <c r="H737" s="1"/>
      <c r="I737" s="1"/>
      <c r="J737" s="1"/>
      <c r="K737" s="1"/>
      <c r="P737" s="414"/>
      <c r="Q737" s="414"/>
      <c r="R737" s="414"/>
      <c r="S737" s="414"/>
      <c r="T737" s="414"/>
      <c r="U737" s="414"/>
    </row>
    <row r="738" spans="5:21" ht="15.6">
      <c r="E738" s="1"/>
      <c r="F738" s="1"/>
      <c r="G738" s="1"/>
      <c r="H738" s="1"/>
      <c r="I738" s="1"/>
      <c r="J738" s="1"/>
      <c r="K738" s="1"/>
      <c r="P738" s="414"/>
      <c r="Q738" s="414"/>
      <c r="R738" s="414"/>
      <c r="S738" s="414"/>
      <c r="T738" s="414"/>
      <c r="U738" s="414"/>
    </row>
    <row r="739" spans="5:21" ht="15.6">
      <c r="E739" s="1"/>
      <c r="F739" s="1"/>
      <c r="G739" s="1"/>
      <c r="H739" s="1"/>
      <c r="I739" s="1"/>
      <c r="J739" s="1"/>
      <c r="K739" s="1"/>
      <c r="P739" s="414"/>
      <c r="Q739" s="414"/>
      <c r="R739" s="414"/>
      <c r="S739" s="414"/>
      <c r="T739" s="414"/>
      <c r="U739" s="414"/>
    </row>
    <row r="740" spans="5:21" ht="15.6">
      <c r="E740" s="1"/>
      <c r="F740" s="1"/>
      <c r="G740" s="1"/>
      <c r="H740" s="1"/>
      <c r="I740" s="1"/>
      <c r="J740" s="1"/>
      <c r="K740" s="1"/>
      <c r="P740" s="414"/>
      <c r="Q740" s="414"/>
      <c r="R740" s="414"/>
      <c r="S740" s="414"/>
      <c r="T740" s="414"/>
      <c r="U740" s="414"/>
    </row>
    <row r="741" spans="5:21" ht="15.6">
      <c r="E741" s="1"/>
      <c r="F741" s="1"/>
      <c r="G741" s="1"/>
      <c r="H741" s="1"/>
      <c r="I741" s="1"/>
      <c r="J741" s="1"/>
      <c r="K741" s="1"/>
      <c r="P741" s="414"/>
      <c r="Q741" s="414"/>
      <c r="R741" s="414"/>
      <c r="S741" s="414"/>
      <c r="T741" s="414"/>
      <c r="U741" s="414"/>
    </row>
    <row r="742" spans="5:21" ht="15.6">
      <c r="E742" s="1"/>
      <c r="F742" s="1"/>
      <c r="G742" s="1"/>
      <c r="H742" s="1"/>
      <c r="I742" s="1"/>
      <c r="J742" s="1"/>
      <c r="K742" s="1"/>
      <c r="P742" s="414"/>
      <c r="Q742" s="414"/>
      <c r="R742" s="414"/>
      <c r="S742" s="414"/>
      <c r="T742" s="414"/>
      <c r="U742" s="414"/>
    </row>
    <row r="743" spans="5:21" ht="15.6">
      <c r="E743" s="1"/>
      <c r="F743" s="1"/>
      <c r="G743" s="1"/>
      <c r="H743" s="1"/>
      <c r="I743" s="1"/>
      <c r="J743" s="1"/>
      <c r="K743" s="1"/>
      <c r="P743" s="414"/>
      <c r="Q743" s="414"/>
      <c r="R743" s="414"/>
      <c r="S743" s="414"/>
      <c r="T743" s="414"/>
      <c r="U743" s="414"/>
    </row>
    <row r="744" spans="5:21" ht="15.6">
      <c r="E744" s="1"/>
      <c r="F744" s="1"/>
      <c r="G744" s="1"/>
      <c r="H744" s="1"/>
      <c r="I744" s="1"/>
      <c r="J744" s="1"/>
      <c r="K744" s="1"/>
      <c r="P744" s="414"/>
      <c r="Q744" s="414"/>
      <c r="R744" s="414"/>
      <c r="S744" s="414"/>
      <c r="T744" s="414"/>
      <c r="U744" s="414"/>
    </row>
    <row r="745" spans="5:21" ht="15.6">
      <c r="E745" s="1"/>
      <c r="F745" s="1"/>
      <c r="G745" s="1"/>
      <c r="H745" s="1"/>
      <c r="I745" s="1"/>
      <c r="J745" s="1"/>
      <c r="K745" s="1"/>
      <c r="P745" s="414"/>
      <c r="Q745" s="414"/>
      <c r="R745" s="414"/>
      <c r="S745" s="414"/>
      <c r="T745" s="414"/>
      <c r="U745" s="414"/>
    </row>
    <row r="746" spans="5:21" ht="15.6">
      <c r="E746" s="1"/>
      <c r="F746" s="1"/>
      <c r="G746" s="1"/>
      <c r="H746" s="1"/>
      <c r="I746" s="1"/>
      <c r="J746" s="1"/>
      <c r="K746" s="1"/>
      <c r="P746" s="414"/>
      <c r="Q746" s="414"/>
      <c r="R746" s="414"/>
      <c r="S746" s="414"/>
      <c r="T746" s="414"/>
      <c r="U746" s="414"/>
    </row>
    <row r="747" spans="5:21" ht="15.6">
      <c r="E747" s="1"/>
      <c r="F747" s="1"/>
      <c r="G747" s="1"/>
      <c r="H747" s="1"/>
      <c r="I747" s="1"/>
      <c r="J747" s="1"/>
      <c r="K747" s="1"/>
      <c r="P747" s="414"/>
      <c r="Q747" s="414"/>
      <c r="R747" s="414"/>
      <c r="S747" s="414"/>
      <c r="T747" s="414"/>
      <c r="U747" s="414"/>
    </row>
    <row r="748" spans="5:21" ht="15.6">
      <c r="E748" s="1"/>
      <c r="F748" s="1"/>
      <c r="G748" s="1"/>
      <c r="H748" s="1"/>
      <c r="I748" s="1"/>
      <c r="J748" s="1"/>
      <c r="K748" s="1"/>
      <c r="P748" s="414"/>
      <c r="Q748" s="414"/>
      <c r="R748" s="414"/>
      <c r="S748" s="414"/>
      <c r="T748" s="414"/>
      <c r="U748" s="414"/>
    </row>
    <row r="749" spans="5:21" ht="15.6">
      <c r="E749" s="1"/>
      <c r="F749" s="1"/>
      <c r="G749" s="1"/>
      <c r="H749" s="1"/>
      <c r="I749" s="1"/>
      <c r="J749" s="1"/>
      <c r="K749" s="1"/>
      <c r="P749" s="414"/>
      <c r="Q749" s="414"/>
      <c r="R749" s="414"/>
      <c r="S749" s="414"/>
      <c r="T749" s="414"/>
      <c r="U749" s="414"/>
    </row>
    <row r="750" spans="5:21" ht="15.6">
      <c r="E750" s="1"/>
      <c r="F750" s="1"/>
      <c r="G750" s="1"/>
      <c r="H750" s="1"/>
      <c r="I750" s="1"/>
      <c r="J750" s="1"/>
      <c r="K750" s="1"/>
      <c r="P750" s="414"/>
      <c r="Q750" s="414"/>
      <c r="R750" s="414"/>
      <c r="S750" s="414"/>
      <c r="T750" s="414"/>
      <c r="U750" s="414"/>
    </row>
    <row r="751" spans="5:21" ht="15.6">
      <c r="E751" s="1"/>
      <c r="F751" s="1"/>
      <c r="G751" s="1"/>
      <c r="H751" s="1"/>
      <c r="I751" s="1"/>
      <c r="J751" s="1"/>
      <c r="K751" s="1"/>
      <c r="P751" s="414"/>
      <c r="Q751" s="414"/>
      <c r="R751" s="414"/>
      <c r="S751" s="414"/>
      <c r="T751" s="414"/>
      <c r="U751" s="414"/>
    </row>
    <row r="752" spans="5:21" ht="15.6">
      <c r="E752" s="1"/>
      <c r="F752" s="1"/>
      <c r="G752" s="1"/>
      <c r="H752" s="1"/>
      <c r="I752" s="1"/>
      <c r="J752" s="1"/>
      <c r="K752" s="1"/>
      <c r="P752" s="414"/>
      <c r="Q752" s="414"/>
      <c r="R752" s="414"/>
      <c r="S752" s="414"/>
      <c r="T752" s="414"/>
      <c r="U752" s="414"/>
    </row>
    <row r="753" spans="5:21" ht="15.6">
      <c r="E753" s="1"/>
      <c r="F753" s="1"/>
      <c r="G753" s="1"/>
      <c r="H753" s="1"/>
      <c r="I753" s="1"/>
      <c r="J753" s="1"/>
      <c r="K753" s="1"/>
      <c r="P753" s="414"/>
      <c r="Q753" s="414"/>
      <c r="R753" s="414"/>
      <c r="S753" s="414"/>
      <c r="T753" s="414"/>
      <c r="U753" s="414"/>
    </row>
    <row r="754" spans="5:21" ht="15.6">
      <c r="E754" s="1"/>
      <c r="F754" s="1"/>
      <c r="G754" s="1"/>
      <c r="H754" s="1"/>
      <c r="I754" s="1"/>
      <c r="J754" s="1"/>
      <c r="K754" s="1"/>
      <c r="P754" s="414"/>
      <c r="Q754" s="414"/>
      <c r="R754" s="414"/>
      <c r="S754" s="414"/>
      <c r="T754" s="414"/>
      <c r="U754" s="414"/>
    </row>
    <row r="755" spans="5:21" ht="15.6">
      <c r="E755" s="1"/>
      <c r="F755" s="1"/>
      <c r="G755" s="1"/>
      <c r="H755" s="1"/>
      <c r="I755" s="1"/>
      <c r="J755" s="1"/>
      <c r="K755" s="1"/>
      <c r="P755" s="414"/>
      <c r="Q755" s="414"/>
      <c r="R755" s="414"/>
      <c r="S755" s="414"/>
      <c r="T755" s="414"/>
      <c r="U755" s="414"/>
    </row>
    <row r="756" spans="5:21" ht="15.6">
      <c r="E756" s="1"/>
      <c r="F756" s="1"/>
      <c r="G756" s="1"/>
      <c r="H756" s="1"/>
      <c r="I756" s="1"/>
      <c r="J756" s="1"/>
      <c r="K756" s="1"/>
      <c r="P756" s="414"/>
      <c r="Q756" s="414"/>
      <c r="R756" s="414"/>
      <c r="S756" s="414"/>
      <c r="T756" s="414"/>
      <c r="U756" s="414"/>
    </row>
    <row r="757" spans="5:21" ht="15.6">
      <c r="E757" s="1"/>
      <c r="F757" s="1"/>
      <c r="G757" s="1"/>
      <c r="H757" s="1"/>
      <c r="I757" s="1"/>
      <c r="J757" s="1"/>
      <c r="K757" s="1"/>
      <c r="P757" s="414"/>
      <c r="Q757" s="414"/>
      <c r="R757" s="414"/>
      <c r="S757" s="414"/>
      <c r="T757" s="414"/>
      <c r="U757" s="414"/>
    </row>
    <row r="758" spans="5:21" ht="15.6">
      <c r="E758" s="1"/>
      <c r="F758" s="1"/>
      <c r="G758" s="1"/>
      <c r="H758" s="1"/>
      <c r="I758" s="1"/>
      <c r="J758" s="1"/>
      <c r="K758" s="1"/>
      <c r="P758" s="414"/>
      <c r="Q758" s="414"/>
      <c r="R758" s="414"/>
      <c r="S758" s="414"/>
      <c r="T758" s="414"/>
      <c r="U758" s="414"/>
    </row>
    <row r="759" spans="5:21" ht="15.6">
      <c r="E759" s="1"/>
      <c r="F759" s="1"/>
      <c r="G759" s="1"/>
      <c r="H759" s="1"/>
      <c r="I759" s="1"/>
      <c r="J759" s="1"/>
      <c r="K759" s="1"/>
      <c r="P759" s="414"/>
      <c r="Q759" s="414"/>
      <c r="R759" s="414"/>
      <c r="S759" s="414"/>
      <c r="T759" s="414"/>
      <c r="U759" s="414"/>
    </row>
    <row r="760" spans="5:21" ht="15.6">
      <c r="E760" s="1"/>
      <c r="F760" s="1"/>
      <c r="G760" s="1"/>
      <c r="H760" s="1"/>
      <c r="I760" s="1"/>
      <c r="J760" s="1"/>
      <c r="K760" s="1"/>
      <c r="P760" s="414"/>
      <c r="Q760" s="414"/>
      <c r="R760" s="414"/>
      <c r="S760" s="414"/>
      <c r="T760" s="414"/>
      <c r="U760" s="414"/>
    </row>
    <row r="761" spans="5:21" ht="15.6">
      <c r="E761" s="1"/>
      <c r="F761" s="1"/>
      <c r="G761" s="1"/>
      <c r="H761" s="1"/>
      <c r="I761" s="1"/>
      <c r="J761" s="1"/>
      <c r="K761" s="1"/>
      <c r="P761" s="414"/>
      <c r="Q761" s="414"/>
      <c r="R761" s="414"/>
      <c r="S761" s="414"/>
      <c r="T761" s="414"/>
      <c r="U761" s="414"/>
    </row>
    <row r="762" spans="5:21" ht="15.6">
      <c r="E762" s="1"/>
      <c r="F762" s="1"/>
      <c r="G762" s="1"/>
      <c r="H762" s="1"/>
      <c r="I762" s="1"/>
      <c r="J762" s="1"/>
      <c r="K762" s="1"/>
      <c r="P762" s="414"/>
      <c r="Q762" s="414"/>
      <c r="R762" s="414"/>
      <c r="S762" s="414"/>
      <c r="T762" s="414"/>
      <c r="U762" s="414"/>
    </row>
    <row r="763" spans="5:21" ht="15.6">
      <c r="E763" s="1"/>
      <c r="F763" s="1"/>
      <c r="G763" s="1"/>
      <c r="H763" s="1"/>
      <c r="I763" s="1"/>
      <c r="J763" s="1"/>
      <c r="K763" s="1"/>
      <c r="P763" s="414"/>
      <c r="Q763" s="414"/>
      <c r="R763" s="414"/>
      <c r="S763" s="414"/>
      <c r="T763" s="414"/>
      <c r="U763" s="414"/>
    </row>
    <row r="764" spans="5:21" ht="15.6">
      <c r="E764" s="1"/>
      <c r="F764" s="1"/>
      <c r="G764" s="1"/>
      <c r="H764" s="1"/>
      <c r="I764" s="1"/>
      <c r="J764" s="1"/>
      <c r="K764" s="1"/>
      <c r="P764" s="414"/>
      <c r="Q764" s="414"/>
      <c r="R764" s="414"/>
      <c r="S764" s="414"/>
      <c r="T764" s="414"/>
      <c r="U764" s="414"/>
    </row>
    <row r="765" spans="5:21" ht="15.6">
      <c r="E765" s="1"/>
      <c r="F765" s="1"/>
      <c r="G765" s="1"/>
      <c r="H765" s="1"/>
      <c r="I765" s="1"/>
      <c r="J765" s="1"/>
      <c r="K765" s="1"/>
      <c r="P765" s="414"/>
      <c r="Q765" s="414"/>
      <c r="R765" s="414"/>
      <c r="S765" s="414"/>
      <c r="T765" s="414"/>
      <c r="U765" s="414"/>
    </row>
    <row r="766" spans="5:21" ht="15.6">
      <c r="E766" s="1"/>
      <c r="F766" s="1"/>
      <c r="G766" s="1"/>
      <c r="H766" s="1"/>
      <c r="I766" s="1"/>
      <c r="J766" s="1"/>
      <c r="K766" s="1"/>
      <c r="P766" s="414"/>
      <c r="Q766" s="414"/>
      <c r="R766" s="414"/>
      <c r="S766" s="414"/>
      <c r="T766" s="414"/>
      <c r="U766" s="414"/>
    </row>
    <row r="767" spans="5:21" ht="15.6">
      <c r="E767" s="1"/>
      <c r="F767" s="1"/>
      <c r="G767" s="1"/>
      <c r="H767" s="1"/>
      <c r="I767" s="1"/>
      <c r="J767" s="1"/>
      <c r="K767" s="1"/>
      <c r="P767" s="414"/>
      <c r="Q767" s="414"/>
      <c r="R767" s="414"/>
      <c r="S767" s="414"/>
      <c r="T767" s="414"/>
      <c r="U767" s="414"/>
    </row>
    <row r="768" spans="5:21" ht="15.6">
      <c r="E768" s="1"/>
      <c r="F768" s="1"/>
      <c r="G768" s="1"/>
      <c r="H768" s="1"/>
      <c r="I768" s="1"/>
      <c r="J768" s="1"/>
      <c r="K768" s="1"/>
      <c r="P768" s="414"/>
      <c r="Q768" s="414"/>
      <c r="R768" s="414"/>
      <c r="S768" s="414"/>
      <c r="T768" s="414"/>
      <c r="U768" s="414"/>
    </row>
    <row r="769" spans="5:21" ht="15.6">
      <c r="E769" s="1"/>
      <c r="F769" s="1"/>
      <c r="G769" s="1"/>
      <c r="H769" s="1"/>
      <c r="I769" s="1"/>
      <c r="J769" s="1"/>
      <c r="K769" s="1"/>
      <c r="P769" s="414"/>
      <c r="Q769" s="414"/>
      <c r="R769" s="414"/>
      <c r="S769" s="414"/>
      <c r="T769" s="414"/>
      <c r="U769" s="414"/>
    </row>
    <row r="770" spans="5:21" ht="15.6">
      <c r="E770" s="1"/>
      <c r="F770" s="1"/>
      <c r="G770" s="1"/>
      <c r="H770" s="1"/>
      <c r="I770" s="1"/>
      <c r="J770" s="1"/>
      <c r="K770" s="1"/>
      <c r="P770" s="414"/>
      <c r="Q770" s="414"/>
      <c r="R770" s="414"/>
      <c r="S770" s="414"/>
      <c r="T770" s="414"/>
      <c r="U770" s="414"/>
    </row>
    <row r="771" spans="5:21" ht="15.6">
      <c r="E771" s="1"/>
      <c r="F771" s="1"/>
      <c r="G771" s="1"/>
      <c r="H771" s="1"/>
      <c r="I771" s="1"/>
      <c r="J771" s="1"/>
      <c r="K771" s="1"/>
      <c r="P771" s="414"/>
      <c r="Q771" s="414"/>
      <c r="R771" s="414"/>
      <c r="S771" s="414"/>
      <c r="T771" s="414"/>
      <c r="U771" s="414"/>
    </row>
    <row r="772" spans="5:21" ht="15.6">
      <c r="E772" s="1"/>
      <c r="F772" s="1"/>
      <c r="G772" s="1"/>
      <c r="H772" s="1"/>
      <c r="I772" s="1"/>
      <c r="J772" s="1"/>
      <c r="K772" s="1"/>
      <c r="P772" s="414"/>
      <c r="Q772" s="414"/>
      <c r="R772" s="414"/>
      <c r="S772" s="414"/>
      <c r="T772" s="414"/>
      <c r="U772" s="414"/>
    </row>
    <row r="773" spans="5:21" ht="15.6">
      <c r="E773" s="1"/>
      <c r="F773" s="1"/>
      <c r="G773" s="1"/>
      <c r="H773" s="1"/>
      <c r="I773" s="1"/>
      <c r="J773" s="1"/>
      <c r="K773" s="1"/>
      <c r="P773" s="414"/>
      <c r="Q773" s="414"/>
      <c r="R773" s="414"/>
      <c r="S773" s="414"/>
      <c r="T773" s="414"/>
      <c r="U773" s="414"/>
    </row>
    <row r="774" spans="5:21" ht="15.6">
      <c r="E774" s="1"/>
      <c r="F774" s="1"/>
      <c r="G774" s="1"/>
      <c r="H774" s="1"/>
      <c r="I774" s="1"/>
      <c r="J774" s="1"/>
      <c r="K774" s="1"/>
      <c r="P774" s="414"/>
      <c r="Q774" s="414"/>
      <c r="R774" s="414"/>
      <c r="S774" s="414"/>
      <c r="T774" s="414"/>
      <c r="U774" s="414"/>
    </row>
    <row r="775" spans="5:21" ht="15.6">
      <c r="E775" s="1"/>
      <c r="F775" s="1"/>
      <c r="G775" s="1"/>
      <c r="H775" s="1"/>
      <c r="I775" s="1"/>
      <c r="J775" s="1"/>
      <c r="K775" s="1"/>
      <c r="P775" s="414"/>
      <c r="Q775" s="414"/>
      <c r="R775" s="414"/>
      <c r="S775" s="414"/>
      <c r="T775" s="414"/>
      <c r="U775" s="414"/>
    </row>
    <row r="776" spans="5:21" ht="15.6">
      <c r="E776" s="1"/>
      <c r="F776" s="1"/>
      <c r="G776" s="1"/>
      <c r="H776" s="1"/>
      <c r="I776" s="1"/>
      <c r="J776" s="1"/>
      <c r="K776" s="1"/>
      <c r="P776" s="414"/>
      <c r="Q776" s="414"/>
      <c r="R776" s="414"/>
      <c r="S776" s="414"/>
      <c r="T776" s="414"/>
      <c r="U776" s="414"/>
    </row>
    <row r="777" spans="5:21" ht="15.6">
      <c r="E777" s="1"/>
      <c r="F777" s="1"/>
      <c r="G777" s="1"/>
      <c r="H777" s="1"/>
      <c r="I777" s="1"/>
      <c r="J777" s="1"/>
      <c r="K777" s="1"/>
      <c r="P777" s="414"/>
      <c r="Q777" s="414"/>
      <c r="R777" s="414"/>
      <c r="S777" s="414"/>
      <c r="T777" s="414"/>
      <c r="U777" s="414"/>
    </row>
    <row r="778" spans="5:21" ht="15.6">
      <c r="E778" s="1"/>
      <c r="F778" s="1"/>
      <c r="G778" s="1"/>
      <c r="H778" s="1"/>
      <c r="I778" s="1"/>
      <c r="J778" s="1"/>
      <c r="K778" s="1"/>
      <c r="P778" s="414"/>
      <c r="Q778" s="414"/>
      <c r="R778" s="414"/>
      <c r="S778" s="414"/>
      <c r="T778" s="414"/>
      <c r="U778" s="414"/>
    </row>
    <row r="779" spans="5:21" ht="15.6">
      <c r="E779" s="1"/>
      <c r="F779" s="1"/>
      <c r="G779" s="1"/>
      <c r="H779" s="1"/>
      <c r="I779" s="1"/>
      <c r="J779" s="1"/>
      <c r="K779" s="1"/>
      <c r="P779" s="414"/>
      <c r="Q779" s="414"/>
      <c r="R779" s="414"/>
      <c r="S779" s="414"/>
      <c r="T779" s="414"/>
      <c r="U779" s="414"/>
    </row>
    <row r="780" spans="5:21" ht="15.6">
      <c r="E780" s="1"/>
      <c r="F780" s="1"/>
      <c r="G780" s="1"/>
      <c r="H780" s="1"/>
      <c r="I780" s="1"/>
      <c r="J780" s="1"/>
      <c r="K780" s="1"/>
      <c r="P780" s="414"/>
      <c r="Q780" s="414"/>
      <c r="R780" s="414"/>
      <c r="S780" s="414"/>
      <c r="T780" s="414"/>
      <c r="U780" s="414"/>
    </row>
    <row r="781" spans="5:21" ht="15.6">
      <c r="E781" s="1"/>
      <c r="F781" s="1"/>
      <c r="G781" s="1"/>
      <c r="H781" s="1"/>
      <c r="I781" s="1"/>
      <c r="J781" s="1"/>
      <c r="K781" s="1"/>
      <c r="P781" s="414"/>
      <c r="Q781" s="414"/>
      <c r="R781" s="414"/>
      <c r="S781" s="414"/>
      <c r="T781" s="414"/>
      <c r="U781" s="414"/>
    </row>
    <row r="782" spans="5:21" ht="15.6">
      <c r="E782" s="1"/>
      <c r="F782" s="1"/>
      <c r="G782" s="1"/>
      <c r="H782" s="1"/>
      <c r="I782" s="1"/>
      <c r="J782" s="1"/>
      <c r="K782" s="1"/>
      <c r="P782" s="414"/>
      <c r="Q782" s="414"/>
      <c r="R782" s="414"/>
      <c r="S782" s="414"/>
      <c r="T782" s="414"/>
      <c r="U782" s="414"/>
    </row>
    <row r="783" spans="5:21" ht="15.6">
      <c r="E783" s="1"/>
      <c r="F783" s="1"/>
      <c r="G783" s="1"/>
      <c r="H783" s="1"/>
      <c r="I783" s="1"/>
      <c r="J783" s="1"/>
      <c r="K783" s="1"/>
      <c r="P783" s="414"/>
      <c r="Q783" s="414"/>
      <c r="R783" s="414"/>
      <c r="S783" s="414"/>
      <c r="T783" s="414"/>
      <c r="U783" s="414"/>
    </row>
    <row r="784" spans="5:21" ht="15.6">
      <c r="E784" s="1"/>
      <c r="F784" s="1"/>
      <c r="G784" s="1"/>
      <c r="H784" s="1"/>
      <c r="I784" s="1"/>
      <c r="J784" s="1"/>
      <c r="K784" s="1"/>
      <c r="P784" s="414"/>
      <c r="Q784" s="414"/>
      <c r="R784" s="414"/>
      <c r="S784" s="414"/>
      <c r="T784" s="414"/>
      <c r="U784" s="414"/>
    </row>
    <row r="785" spans="5:21" ht="15.6">
      <c r="E785" s="1"/>
      <c r="F785" s="1"/>
      <c r="G785" s="1"/>
      <c r="H785" s="1"/>
      <c r="I785" s="1"/>
      <c r="J785" s="1"/>
      <c r="K785" s="1"/>
      <c r="P785" s="414"/>
      <c r="Q785" s="414"/>
      <c r="R785" s="414"/>
      <c r="S785" s="414"/>
      <c r="T785" s="414"/>
      <c r="U785" s="414"/>
    </row>
    <row r="786" spans="5:21" ht="15.6">
      <c r="E786" s="1"/>
      <c r="F786" s="1"/>
      <c r="G786" s="1"/>
      <c r="H786" s="1"/>
      <c r="I786" s="1"/>
      <c r="J786" s="1"/>
      <c r="K786" s="1"/>
      <c r="P786" s="414"/>
      <c r="Q786" s="414"/>
      <c r="R786" s="414"/>
      <c r="S786" s="414"/>
      <c r="T786" s="414"/>
      <c r="U786" s="414"/>
    </row>
    <row r="787" spans="5:21" ht="15.6">
      <c r="E787" s="1"/>
      <c r="F787" s="1"/>
      <c r="G787" s="1"/>
      <c r="H787" s="1"/>
      <c r="I787" s="1"/>
      <c r="J787" s="1"/>
      <c r="K787" s="1"/>
      <c r="P787" s="414"/>
      <c r="Q787" s="414"/>
      <c r="R787" s="414"/>
      <c r="S787" s="414"/>
      <c r="T787" s="414"/>
      <c r="U787" s="414"/>
    </row>
    <row r="788" spans="5:21" ht="15.6">
      <c r="E788" s="1"/>
      <c r="F788" s="1"/>
      <c r="G788" s="1"/>
      <c r="H788" s="1"/>
      <c r="I788" s="1"/>
      <c r="J788" s="1"/>
      <c r="K788" s="1"/>
      <c r="P788" s="414"/>
      <c r="Q788" s="414"/>
      <c r="R788" s="414"/>
      <c r="S788" s="414"/>
      <c r="T788" s="414"/>
      <c r="U788" s="414"/>
    </row>
    <row r="789" spans="5:21" ht="15.6">
      <c r="E789" s="1"/>
      <c r="F789" s="1"/>
      <c r="G789" s="1"/>
      <c r="H789" s="1"/>
      <c r="I789" s="1"/>
      <c r="J789" s="1"/>
      <c r="K789" s="1"/>
      <c r="P789" s="414"/>
      <c r="Q789" s="414"/>
      <c r="R789" s="414"/>
      <c r="S789" s="414"/>
      <c r="T789" s="414"/>
      <c r="U789" s="414"/>
    </row>
    <row r="790" spans="5:21" ht="15.6">
      <c r="E790" s="1"/>
      <c r="F790" s="1"/>
      <c r="G790" s="1"/>
      <c r="H790" s="1"/>
      <c r="I790" s="1"/>
      <c r="J790" s="1"/>
      <c r="K790" s="1"/>
      <c r="P790" s="414"/>
      <c r="Q790" s="414"/>
      <c r="R790" s="414"/>
      <c r="S790" s="414"/>
      <c r="T790" s="414"/>
      <c r="U790" s="414"/>
    </row>
    <row r="791" spans="5:21" ht="15.6">
      <c r="E791" s="1"/>
      <c r="F791" s="1"/>
      <c r="G791" s="1"/>
      <c r="H791" s="1"/>
      <c r="I791" s="1"/>
      <c r="J791" s="1"/>
      <c r="K791" s="1"/>
      <c r="P791" s="414"/>
      <c r="Q791" s="414"/>
      <c r="R791" s="414"/>
      <c r="S791" s="414"/>
      <c r="T791" s="414"/>
      <c r="U791" s="414"/>
    </row>
    <row r="792" spans="5:21" ht="15.6">
      <c r="E792" s="1"/>
      <c r="F792" s="1"/>
      <c r="G792" s="1"/>
      <c r="H792" s="1"/>
      <c r="I792" s="1"/>
      <c r="J792" s="1"/>
      <c r="K792" s="1"/>
      <c r="P792" s="414"/>
      <c r="Q792" s="414"/>
      <c r="R792" s="414"/>
      <c r="S792" s="414"/>
      <c r="T792" s="414"/>
      <c r="U792" s="414"/>
    </row>
    <row r="793" spans="5:21" ht="15.6">
      <c r="E793" s="1"/>
      <c r="F793" s="1"/>
      <c r="G793" s="1"/>
      <c r="H793" s="1"/>
      <c r="I793" s="1"/>
      <c r="J793" s="1"/>
      <c r="K793" s="1"/>
      <c r="P793" s="414"/>
      <c r="Q793" s="414"/>
      <c r="R793" s="414"/>
      <c r="S793" s="414"/>
      <c r="T793" s="414"/>
      <c r="U793" s="414"/>
    </row>
    <row r="794" spans="5:21" ht="15.6">
      <c r="E794" s="1"/>
      <c r="F794" s="1"/>
      <c r="G794" s="1"/>
      <c r="H794" s="1"/>
      <c r="I794" s="1"/>
      <c r="J794" s="1"/>
      <c r="K794" s="1"/>
      <c r="P794" s="414"/>
      <c r="Q794" s="414"/>
      <c r="R794" s="414"/>
      <c r="S794" s="414"/>
      <c r="T794" s="414"/>
      <c r="U794" s="414"/>
    </row>
    <row r="795" spans="5:21" ht="15.6">
      <c r="E795" s="1"/>
      <c r="F795" s="1"/>
      <c r="G795" s="1"/>
      <c r="H795" s="1"/>
      <c r="I795" s="1"/>
      <c r="J795" s="1"/>
      <c r="K795" s="1"/>
      <c r="P795" s="414"/>
      <c r="Q795" s="414"/>
      <c r="R795" s="414"/>
      <c r="S795" s="414"/>
      <c r="T795" s="414"/>
      <c r="U795" s="414"/>
    </row>
    <row r="796" spans="5:21" ht="15.6">
      <c r="E796" s="1"/>
      <c r="F796" s="1"/>
      <c r="G796" s="1"/>
      <c r="H796" s="1"/>
      <c r="I796" s="1"/>
      <c r="J796" s="1"/>
      <c r="K796" s="1"/>
      <c r="P796" s="414"/>
      <c r="Q796" s="414"/>
      <c r="R796" s="414"/>
      <c r="S796" s="414"/>
      <c r="T796" s="414"/>
      <c r="U796" s="414"/>
    </row>
    <row r="797" spans="5:21" ht="15.6">
      <c r="E797" s="1"/>
      <c r="F797" s="1"/>
      <c r="G797" s="1"/>
      <c r="H797" s="1"/>
      <c r="I797" s="1"/>
      <c r="J797" s="1"/>
      <c r="K797" s="1"/>
      <c r="P797" s="414"/>
      <c r="Q797" s="414"/>
      <c r="R797" s="414"/>
      <c r="S797" s="414"/>
      <c r="T797" s="414"/>
      <c r="U797" s="414"/>
    </row>
    <row r="798" spans="5:21" ht="15.6">
      <c r="E798" s="1"/>
      <c r="F798" s="1"/>
      <c r="G798" s="1"/>
      <c r="H798" s="1"/>
      <c r="I798" s="1"/>
      <c r="J798" s="1"/>
      <c r="K798" s="1"/>
      <c r="P798" s="414"/>
      <c r="Q798" s="414"/>
      <c r="R798" s="414"/>
      <c r="S798" s="414"/>
      <c r="T798" s="414"/>
      <c r="U798" s="414"/>
    </row>
    <row r="799" spans="5:21" ht="15.6">
      <c r="E799" s="1"/>
      <c r="F799" s="1"/>
      <c r="G799" s="1"/>
      <c r="H799" s="1"/>
      <c r="I799" s="1"/>
      <c r="J799" s="1"/>
      <c r="K799" s="1"/>
      <c r="P799" s="414"/>
      <c r="Q799" s="414"/>
      <c r="R799" s="414"/>
      <c r="S799" s="414"/>
      <c r="T799" s="414"/>
      <c r="U799" s="414"/>
    </row>
    <row r="800" spans="5:21" ht="15.6">
      <c r="E800" s="1"/>
      <c r="F800" s="1"/>
      <c r="G800" s="1"/>
      <c r="H800" s="1"/>
      <c r="I800" s="1"/>
      <c r="J800" s="1"/>
      <c r="K800" s="1"/>
      <c r="P800" s="414"/>
      <c r="Q800" s="414"/>
      <c r="R800" s="414"/>
      <c r="S800" s="414"/>
      <c r="T800" s="414"/>
      <c r="U800" s="414"/>
    </row>
    <row r="801" spans="5:21" ht="15.6">
      <c r="E801" s="1"/>
      <c r="F801" s="1"/>
      <c r="G801" s="1"/>
      <c r="H801" s="1"/>
      <c r="I801" s="1"/>
      <c r="J801" s="1"/>
      <c r="K801" s="1"/>
      <c r="P801" s="414"/>
      <c r="Q801" s="414"/>
      <c r="R801" s="414"/>
      <c r="S801" s="414"/>
      <c r="T801" s="414"/>
      <c r="U801" s="414"/>
    </row>
    <row r="802" spans="5:21" ht="15.6">
      <c r="E802" s="1"/>
      <c r="F802" s="1"/>
      <c r="G802" s="1"/>
      <c r="H802" s="1"/>
      <c r="I802" s="1"/>
      <c r="J802" s="1"/>
      <c r="K802" s="1"/>
      <c r="P802" s="414"/>
      <c r="Q802" s="414"/>
      <c r="R802" s="414"/>
      <c r="S802" s="414"/>
      <c r="T802" s="414"/>
      <c r="U802" s="414"/>
    </row>
    <row r="803" spans="5:21" ht="15.6">
      <c r="E803" s="1"/>
      <c r="F803" s="1"/>
      <c r="G803" s="1"/>
      <c r="H803" s="1"/>
      <c r="I803" s="1"/>
      <c r="J803" s="1"/>
      <c r="K803" s="1"/>
      <c r="P803" s="414"/>
      <c r="Q803" s="414"/>
      <c r="R803" s="414"/>
      <c r="S803" s="414"/>
      <c r="T803" s="414"/>
      <c r="U803" s="414"/>
    </row>
    <row r="804" spans="5:21" ht="15.6">
      <c r="E804" s="1"/>
      <c r="F804" s="1"/>
      <c r="G804" s="1"/>
      <c r="H804" s="1"/>
      <c r="I804" s="1"/>
      <c r="J804" s="1"/>
      <c r="K804" s="1"/>
      <c r="P804" s="414"/>
      <c r="Q804" s="414"/>
      <c r="R804" s="414"/>
      <c r="S804" s="414"/>
      <c r="T804" s="414"/>
      <c r="U804" s="414"/>
    </row>
    <row r="805" spans="5:21" ht="15.6">
      <c r="E805" s="1"/>
      <c r="F805" s="1"/>
      <c r="G805" s="1"/>
      <c r="H805" s="1"/>
      <c r="I805" s="1"/>
      <c r="J805" s="1"/>
      <c r="K805" s="1"/>
      <c r="P805" s="414"/>
      <c r="Q805" s="414"/>
      <c r="R805" s="414"/>
      <c r="S805" s="414"/>
      <c r="T805" s="414"/>
      <c r="U805" s="414"/>
    </row>
    <row r="806" spans="5:21" ht="15.6">
      <c r="E806" s="1"/>
      <c r="F806" s="1"/>
      <c r="G806" s="1"/>
      <c r="H806" s="1"/>
      <c r="I806" s="1"/>
      <c r="J806" s="1"/>
      <c r="K806" s="1"/>
      <c r="P806" s="414"/>
      <c r="Q806" s="414"/>
      <c r="R806" s="414"/>
      <c r="S806" s="414"/>
      <c r="T806" s="414"/>
      <c r="U806" s="414"/>
    </row>
    <row r="807" spans="5:21" ht="15.6">
      <c r="E807" s="1"/>
      <c r="F807" s="1"/>
      <c r="G807" s="1"/>
      <c r="H807" s="1"/>
      <c r="I807" s="1"/>
      <c r="J807" s="1"/>
      <c r="K807" s="1"/>
      <c r="P807" s="414"/>
      <c r="Q807" s="414"/>
      <c r="R807" s="414"/>
      <c r="S807" s="414"/>
      <c r="T807" s="414"/>
      <c r="U807" s="414"/>
    </row>
    <row r="808" spans="5:21" ht="15.6">
      <c r="E808" s="1"/>
      <c r="F808" s="1"/>
      <c r="G808" s="1"/>
      <c r="H808" s="1"/>
      <c r="I808" s="1"/>
      <c r="J808" s="1"/>
      <c r="K808" s="1"/>
      <c r="P808" s="414"/>
      <c r="Q808" s="414"/>
      <c r="R808" s="414"/>
      <c r="S808" s="414"/>
      <c r="T808" s="414"/>
      <c r="U808" s="414"/>
    </row>
    <row r="809" spans="5:21" ht="15.6">
      <c r="E809" s="1"/>
      <c r="F809" s="1"/>
      <c r="G809" s="1"/>
      <c r="H809" s="1"/>
      <c r="I809" s="1"/>
      <c r="J809" s="1"/>
      <c r="K809" s="1"/>
      <c r="P809" s="414"/>
      <c r="Q809" s="414"/>
      <c r="R809" s="414"/>
      <c r="S809" s="414"/>
      <c r="T809" s="414"/>
      <c r="U809" s="414"/>
    </row>
    <row r="810" spans="5:21" ht="15.6">
      <c r="E810" s="1"/>
      <c r="F810" s="1"/>
      <c r="G810" s="1"/>
      <c r="H810" s="1"/>
      <c r="I810" s="1"/>
      <c r="J810" s="1"/>
      <c r="K810" s="1"/>
      <c r="P810" s="414"/>
      <c r="Q810" s="414"/>
      <c r="R810" s="414"/>
      <c r="S810" s="414"/>
      <c r="T810" s="414"/>
      <c r="U810" s="414"/>
    </row>
    <row r="811" spans="5:21" ht="15.6">
      <c r="E811" s="1"/>
      <c r="F811" s="1"/>
      <c r="G811" s="1"/>
      <c r="H811" s="1"/>
      <c r="I811" s="1"/>
      <c r="J811" s="1"/>
      <c r="K811" s="1"/>
      <c r="P811" s="414"/>
      <c r="Q811" s="414"/>
      <c r="R811" s="414"/>
      <c r="S811" s="414"/>
      <c r="T811" s="414"/>
      <c r="U811" s="414"/>
    </row>
    <row r="812" spans="5:21" ht="15.6">
      <c r="E812" s="1"/>
      <c r="F812" s="1"/>
      <c r="G812" s="1"/>
      <c r="H812" s="1"/>
      <c r="I812" s="1"/>
      <c r="J812" s="1"/>
      <c r="K812" s="1"/>
      <c r="P812" s="414"/>
      <c r="Q812" s="414"/>
      <c r="R812" s="414"/>
      <c r="S812" s="414"/>
      <c r="T812" s="414"/>
      <c r="U812" s="414"/>
    </row>
    <row r="813" spans="5:21" ht="15.6">
      <c r="E813" s="1"/>
      <c r="F813" s="1"/>
      <c r="G813" s="1"/>
      <c r="H813" s="1"/>
      <c r="I813" s="1"/>
      <c r="J813" s="1"/>
      <c r="K813" s="1"/>
      <c r="P813" s="414"/>
      <c r="Q813" s="414"/>
      <c r="R813" s="414"/>
      <c r="S813" s="414"/>
      <c r="T813" s="414"/>
      <c r="U813" s="414"/>
    </row>
    <row r="814" spans="5:21" ht="15.6">
      <c r="E814" s="1"/>
      <c r="F814" s="1"/>
      <c r="G814" s="1"/>
      <c r="H814" s="1"/>
      <c r="I814" s="1"/>
      <c r="J814" s="1"/>
      <c r="K814" s="1"/>
      <c r="P814" s="414"/>
      <c r="Q814" s="414"/>
      <c r="R814" s="414"/>
      <c r="S814" s="414"/>
      <c r="T814" s="414"/>
      <c r="U814" s="414"/>
    </row>
    <row r="815" spans="5:21" ht="15.6">
      <c r="E815" s="1"/>
      <c r="F815" s="1"/>
      <c r="G815" s="1"/>
      <c r="H815" s="1"/>
      <c r="I815" s="1"/>
      <c r="J815" s="1"/>
      <c r="K815" s="1"/>
      <c r="P815" s="414"/>
      <c r="Q815" s="414"/>
      <c r="R815" s="414"/>
      <c r="S815" s="414"/>
      <c r="T815" s="414"/>
      <c r="U815" s="414"/>
    </row>
    <row r="816" spans="5:21" ht="15.6">
      <c r="E816" s="1"/>
      <c r="F816" s="1"/>
      <c r="G816" s="1"/>
      <c r="H816" s="1"/>
      <c r="I816" s="1"/>
      <c r="J816" s="1"/>
      <c r="K816" s="1"/>
      <c r="P816" s="414"/>
      <c r="Q816" s="414"/>
      <c r="R816" s="414"/>
      <c r="S816" s="414"/>
      <c r="T816" s="414"/>
      <c r="U816" s="414"/>
    </row>
    <row r="817" spans="5:21" ht="15.6">
      <c r="E817" s="1"/>
      <c r="F817" s="1"/>
      <c r="G817" s="1"/>
      <c r="H817" s="1"/>
      <c r="I817" s="1"/>
      <c r="J817" s="1"/>
      <c r="K817" s="1"/>
      <c r="P817" s="414"/>
      <c r="Q817" s="414"/>
      <c r="R817" s="414"/>
      <c r="S817" s="414"/>
      <c r="T817" s="414"/>
      <c r="U817" s="414"/>
    </row>
    <row r="818" spans="5:21" ht="15.6">
      <c r="E818" s="1"/>
      <c r="F818" s="1"/>
      <c r="G818" s="1"/>
      <c r="H818" s="1"/>
      <c r="I818" s="1"/>
      <c r="J818" s="1"/>
      <c r="K818" s="1"/>
      <c r="P818" s="414"/>
      <c r="Q818" s="414"/>
      <c r="R818" s="414"/>
      <c r="S818" s="414"/>
      <c r="T818" s="414"/>
      <c r="U818" s="414"/>
    </row>
    <row r="819" spans="5:21" ht="15.6">
      <c r="E819" s="1"/>
      <c r="F819" s="1"/>
      <c r="G819" s="1"/>
      <c r="H819" s="1"/>
      <c r="I819" s="1"/>
      <c r="J819" s="1"/>
      <c r="K819" s="1"/>
      <c r="P819" s="414"/>
      <c r="Q819" s="414"/>
      <c r="R819" s="414"/>
      <c r="S819" s="414"/>
      <c r="T819" s="414"/>
      <c r="U819" s="414"/>
    </row>
    <row r="820" spans="5:21" ht="15.6">
      <c r="E820" s="1"/>
      <c r="F820" s="1"/>
      <c r="G820" s="1"/>
      <c r="H820" s="1"/>
      <c r="I820" s="1"/>
      <c r="J820" s="1"/>
      <c r="K820" s="1"/>
      <c r="P820" s="414"/>
      <c r="Q820" s="414"/>
      <c r="R820" s="414"/>
      <c r="S820" s="414"/>
      <c r="T820" s="414"/>
      <c r="U820" s="414"/>
    </row>
    <row r="821" spans="5:21" ht="15.6">
      <c r="E821" s="1"/>
      <c r="F821" s="1"/>
      <c r="G821" s="1"/>
      <c r="H821" s="1"/>
      <c r="I821" s="1"/>
      <c r="J821" s="1"/>
      <c r="K821" s="1"/>
      <c r="P821" s="414"/>
      <c r="Q821" s="414"/>
      <c r="R821" s="414"/>
      <c r="S821" s="414"/>
      <c r="T821" s="414"/>
      <c r="U821" s="414"/>
    </row>
    <row r="822" spans="5:21" ht="15.6">
      <c r="E822" s="1"/>
      <c r="F822" s="1"/>
      <c r="G822" s="1"/>
      <c r="H822" s="1"/>
      <c r="I822" s="1"/>
      <c r="J822" s="1"/>
      <c r="K822" s="1"/>
      <c r="P822" s="414"/>
      <c r="Q822" s="414"/>
      <c r="R822" s="414"/>
      <c r="S822" s="414"/>
      <c r="T822" s="414"/>
      <c r="U822" s="414"/>
    </row>
    <row r="823" spans="5:21" ht="15.6">
      <c r="E823" s="1"/>
      <c r="F823" s="1"/>
      <c r="G823" s="1"/>
      <c r="H823" s="1"/>
      <c r="I823" s="1"/>
      <c r="J823" s="1"/>
      <c r="K823" s="1"/>
      <c r="P823" s="414"/>
      <c r="Q823" s="414"/>
      <c r="R823" s="414"/>
      <c r="S823" s="414"/>
      <c r="T823" s="414"/>
      <c r="U823" s="414"/>
    </row>
    <row r="824" spans="5:21" ht="15.6">
      <c r="E824" s="1"/>
      <c r="F824" s="1"/>
      <c r="G824" s="1"/>
      <c r="H824" s="1"/>
      <c r="I824" s="1"/>
      <c r="J824" s="1"/>
      <c r="K824" s="1"/>
      <c r="P824" s="414"/>
      <c r="Q824" s="414"/>
      <c r="R824" s="414"/>
      <c r="S824" s="414"/>
      <c r="T824" s="414"/>
      <c r="U824" s="414"/>
    </row>
    <row r="825" spans="5:21" ht="15.6">
      <c r="E825" s="1"/>
      <c r="F825" s="1"/>
      <c r="G825" s="1"/>
      <c r="H825" s="1"/>
      <c r="I825" s="1"/>
      <c r="J825" s="1"/>
      <c r="K825" s="1"/>
      <c r="P825" s="414"/>
      <c r="Q825" s="414"/>
      <c r="R825" s="414"/>
      <c r="S825" s="414"/>
      <c r="T825" s="414"/>
      <c r="U825" s="414"/>
    </row>
    <row r="826" spans="5:21" ht="15.6">
      <c r="E826" s="1"/>
      <c r="F826" s="1"/>
      <c r="G826" s="1"/>
      <c r="H826" s="1"/>
      <c r="I826" s="1"/>
      <c r="J826" s="1"/>
      <c r="K826" s="1"/>
      <c r="P826" s="414"/>
      <c r="Q826" s="414"/>
      <c r="R826" s="414"/>
      <c r="S826" s="414"/>
      <c r="T826" s="414"/>
      <c r="U826" s="414"/>
    </row>
    <row r="827" spans="5:21" ht="15.6">
      <c r="E827" s="1"/>
      <c r="F827" s="1"/>
      <c r="G827" s="1"/>
      <c r="H827" s="1"/>
      <c r="I827" s="1"/>
      <c r="J827" s="1"/>
      <c r="K827" s="1"/>
      <c r="P827" s="414"/>
      <c r="Q827" s="414"/>
      <c r="R827" s="414"/>
      <c r="S827" s="414"/>
      <c r="T827" s="414"/>
      <c r="U827" s="414"/>
    </row>
    <row r="828" spans="5:21" ht="15.6">
      <c r="E828" s="1"/>
      <c r="F828" s="1"/>
      <c r="G828" s="1"/>
      <c r="H828" s="1"/>
      <c r="I828" s="1"/>
      <c r="J828" s="1"/>
      <c r="K828" s="1"/>
      <c r="P828" s="414"/>
      <c r="Q828" s="414"/>
      <c r="R828" s="414"/>
      <c r="S828" s="414"/>
      <c r="T828" s="414"/>
      <c r="U828" s="414"/>
    </row>
    <row r="829" spans="5:21" ht="15.6">
      <c r="E829" s="1"/>
      <c r="F829" s="1"/>
      <c r="G829" s="1"/>
      <c r="H829" s="1"/>
      <c r="I829" s="1"/>
      <c r="J829" s="1"/>
      <c r="K829" s="1"/>
      <c r="P829" s="414"/>
      <c r="Q829" s="414"/>
      <c r="R829" s="414"/>
      <c r="S829" s="414"/>
      <c r="T829" s="414"/>
      <c r="U829" s="414"/>
    </row>
    <row r="830" spans="5:21" ht="15.6">
      <c r="E830" s="1"/>
      <c r="F830" s="1"/>
      <c r="G830" s="1"/>
      <c r="H830" s="1"/>
      <c r="I830" s="1"/>
      <c r="J830" s="1"/>
      <c r="K830" s="1"/>
      <c r="P830" s="414"/>
      <c r="Q830" s="414"/>
      <c r="R830" s="414"/>
      <c r="S830" s="414"/>
      <c r="T830" s="414"/>
      <c r="U830" s="414"/>
    </row>
    <row r="831" spans="5:21" ht="15.6">
      <c r="E831" s="1"/>
      <c r="F831" s="1"/>
      <c r="G831" s="1"/>
      <c r="H831" s="1"/>
      <c r="I831" s="1"/>
      <c r="J831" s="1"/>
      <c r="K831" s="1"/>
      <c r="P831" s="414"/>
      <c r="Q831" s="414"/>
      <c r="R831" s="414"/>
      <c r="S831" s="414"/>
      <c r="T831" s="414"/>
      <c r="U831" s="414"/>
    </row>
    <row r="832" spans="5:21" ht="15.6">
      <c r="E832" s="1"/>
      <c r="F832" s="1"/>
      <c r="G832" s="1"/>
      <c r="H832" s="1"/>
      <c r="I832" s="1"/>
      <c r="J832" s="1"/>
      <c r="K832" s="1"/>
      <c r="P832" s="414"/>
      <c r="Q832" s="414"/>
      <c r="R832" s="414"/>
      <c r="S832" s="414"/>
      <c r="T832" s="414"/>
      <c r="U832" s="414"/>
    </row>
    <row r="833" spans="5:21" ht="15.6">
      <c r="E833" s="1"/>
      <c r="F833" s="1"/>
      <c r="G833" s="1"/>
      <c r="H833" s="1"/>
      <c r="I833" s="1"/>
      <c r="J833" s="1"/>
      <c r="K833" s="1"/>
      <c r="P833" s="414"/>
      <c r="Q833" s="414"/>
      <c r="R833" s="414"/>
      <c r="S833" s="414"/>
      <c r="T833" s="414"/>
      <c r="U833" s="414"/>
    </row>
    <row r="834" spans="5:21" ht="15.6">
      <c r="E834" s="1"/>
      <c r="F834" s="1"/>
      <c r="G834" s="1"/>
      <c r="H834" s="1"/>
      <c r="I834" s="1"/>
      <c r="J834" s="1"/>
      <c r="K834" s="1"/>
      <c r="P834" s="414"/>
      <c r="Q834" s="414"/>
      <c r="R834" s="414"/>
      <c r="S834" s="414"/>
      <c r="T834" s="414"/>
      <c r="U834" s="414"/>
    </row>
    <row r="835" spans="5:21" ht="15.6">
      <c r="E835" s="1"/>
      <c r="F835" s="1"/>
      <c r="G835" s="1"/>
      <c r="H835" s="1"/>
      <c r="I835" s="1"/>
      <c r="J835" s="1"/>
      <c r="K835" s="1"/>
      <c r="P835" s="414"/>
      <c r="Q835" s="414"/>
      <c r="R835" s="414"/>
      <c r="S835" s="414"/>
      <c r="T835" s="414"/>
      <c r="U835" s="414"/>
    </row>
    <row r="836" spans="5:21" ht="15.6">
      <c r="E836" s="1"/>
      <c r="F836" s="1"/>
      <c r="G836" s="1"/>
      <c r="H836" s="1"/>
      <c r="I836" s="1"/>
      <c r="J836" s="1"/>
      <c r="K836" s="1"/>
      <c r="P836" s="414"/>
      <c r="Q836" s="414"/>
      <c r="R836" s="414"/>
      <c r="S836" s="414"/>
      <c r="T836" s="414"/>
      <c r="U836" s="414"/>
    </row>
    <row r="837" spans="5:21" ht="15.6">
      <c r="E837" s="1"/>
      <c r="F837" s="1"/>
      <c r="G837" s="1"/>
      <c r="H837" s="1"/>
      <c r="I837" s="1"/>
      <c r="J837" s="1"/>
      <c r="K837" s="1"/>
      <c r="P837" s="414"/>
      <c r="Q837" s="414"/>
      <c r="R837" s="414"/>
      <c r="S837" s="414"/>
      <c r="T837" s="414"/>
      <c r="U837" s="414"/>
    </row>
    <row r="838" spans="5:21" ht="15.6">
      <c r="E838" s="1"/>
      <c r="F838" s="1"/>
      <c r="G838" s="1"/>
      <c r="H838" s="1"/>
      <c r="I838" s="1"/>
      <c r="J838" s="1"/>
      <c r="K838" s="1"/>
      <c r="P838" s="414"/>
      <c r="Q838" s="414"/>
      <c r="R838" s="414"/>
      <c r="S838" s="414"/>
      <c r="T838" s="414"/>
      <c r="U838" s="414"/>
    </row>
    <row r="839" spans="5:21" ht="15.6">
      <c r="E839" s="1"/>
      <c r="F839" s="1"/>
      <c r="G839" s="1"/>
      <c r="H839" s="1"/>
      <c r="I839" s="1"/>
      <c r="J839" s="1"/>
      <c r="K839" s="1"/>
      <c r="P839" s="414"/>
      <c r="Q839" s="414"/>
      <c r="R839" s="414"/>
      <c r="S839" s="414"/>
      <c r="T839" s="414"/>
      <c r="U839" s="414"/>
    </row>
    <row r="840" spans="5:21" ht="15.6">
      <c r="E840" s="1"/>
      <c r="F840" s="1"/>
      <c r="G840" s="1"/>
      <c r="H840" s="1"/>
      <c r="I840" s="1"/>
      <c r="J840" s="1"/>
      <c r="K840" s="1"/>
      <c r="P840" s="414"/>
      <c r="Q840" s="414"/>
      <c r="R840" s="414"/>
      <c r="S840" s="414"/>
      <c r="T840" s="414"/>
      <c r="U840" s="414"/>
    </row>
    <row r="841" spans="5:21" ht="15.6">
      <c r="E841" s="1"/>
      <c r="F841" s="1"/>
      <c r="G841" s="1"/>
      <c r="H841" s="1"/>
      <c r="I841" s="1"/>
      <c r="J841" s="1"/>
      <c r="K841" s="1"/>
      <c r="P841" s="414"/>
      <c r="Q841" s="414"/>
      <c r="R841" s="414"/>
      <c r="S841" s="414"/>
      <c r="T841" s="414"/>
      <c r="U841" s="414"/>
    </row>
    <row r="842" spans="5:21" ht="15.6">
      <c r="E842" s="1"/>
      <c r="F842" s="1"/>
      <c r="G842" s="1"/>
      <c r="H842" s="1"/>
      <c r="I842" s="1"/>
      <c r="J842" s="1"/>
      <c r="K842" s="1"/>
      <c r="P842" s="414"/>
      <c r="Q842" s="414"/>
      <c r="R842" s="414"/>
      <c r="S842" s="414"/>
      <c r="T842" s="414"/>
      <c r="U842" s="414"/>
    </row>
    <row r="843" spans="5:21" ht="15.6">
      <c r="E843" s="1"/>
      <c r="F843" s="1"/>
      <c r="G843" s="1"/>
      <c r="H843" s="1"/>
      <c r="I843" s="1"/>
      <c r="J843" s="1"/>
      <c r="K843" s="1"/>
      <c r="P843" s="414"/>
      <c r="Q843" s="414"/>
      <c r="R843" s="414"/>
      <c r="S843" s="414"/>
      <c r="T843" s="414"/>
      <c r="U843" s="414"/>
    </row>
    <row r="844" spans="5:21" ht="15.6">
      <c r="E844" s="1"/>
      <c r="F844" s="1"/>
      <c r="G844" s="1"/>
      <c r="H844" s="1"/>
      <c r="I844" s="1"/>
      <c r="J844" s="1"/>
      <c r="K844" s="1"/>
      <c r="P844" s="414"/>
      <c r="Q844" s="414"/>
      <c r="R844" s="414"/>
      <c r="S844" s="414"/>
      <c r="T844" s="414"/>
      <c r="U844" s="414"/>
    </row>
    <row r="845" spans="5:21" ht="15.6">
      <c r="E845" s="1"/>
      <c r="F845" s="1"/>
      <c r="G845" s="1"/>
      <c r="H845" s="1"/>
      <c r="I845" s="1"/>
      <c r="J845" s="1"/>
      <c r="K845" s="1"/>
      <c r="P845" s="414"/>
      <c r="Q845" s="414"/>
      <c r="R845" s="414"/>
      <c r="S845" s="414"/>
      <c r="T845" s="414"/>
      <c r="U845" s="414"/>
    </row>
    <row r="846" spans="5:21" ht="15.6">
      <c r="E846" s="1"/>
      <c r="F846" s="1"/>
      <c r="G846" s="1"/>
      <c r="H846" s="1"/>
      <c r="I846" s="1"/>
      <c r="J846" s="1"/>
      <c r="K846" s="1"/>
      <c r="P846" s="414"/>
      <c r="Q846" s="414"/>
      <c r="R846" s="414"/>
      <c r="S846" s="414"/>
      <c r="T846" s="414"/>
      <c r="U846" s="414"/>
    </row>
    <row r="847" spans="5:21" ht="15.6">
      <c r="E847" s="1"/>
      <c r="F847" s="1"/>
      <c r="G847" s="1"/>
      <c r="H847" s="1"/>
      <c r="I847" s="1"/>
      <c r="J847" s="1"/>
      <c r="K847" s="1"/>
      <c r="P847" s="414"/>
      <c r="Q847" s="414"/>
      <c r="R847" s="414"/>
      <c r="S847" s="414"/>
      <c r="T847" s="414"/>
      <c r="U847" s="414"/>
    </row>
    <row r="848" spans="5:21" ht="15.6">
      <c r="E848" s="1"/>
      <c r="F848" s="1"/>
      <c r="G848" s="1"/>
      <c r="H848" s="1"/>
      <c r="I848" s="1"/>
      <c r="J848" s="1"/>
      <c r="K848" s="1"/>
      <c r="P848" s="414"/>
      <c r="Q848" s="414"/>
      <c r="R848" s="414"/>
      <c r="S848" s="414"/>
      <c r="T848" s="414"/>
      <c r="U848" s="414"/>
    </row>
    <row r="849" spans="5:21" ht="15.6">
      <c r="E849" s="1"/>
      <c r="F849" s="1"/>
      <c r="G849" s="1"/>
      <c r="H849" s="1"/>
      <c r="I849" s="1"/>
      <c r="J849" s="1"/>
      <c r="K849" s="1"/>
      <c r="P849" s="414"/>
      <c r="Q849" s="414"/>
      <c r="R849" s="414"/>
      <c r="S849" s="414"/>
      <c r="T849" s="414"/>
      <c r="U849" s="414"/>
    </row>
    <row r="850" spans="5:21" ht="15.6">
      <c r="E850" s="1"/>
      <c r="F850" s="1"/>
      <c r="G850" s="1"/>
      <c r="H850" s="1"/>
      <c r="I850" s="1"/>
      <c r="J850" s="1"/>
      <c r="K850" s="1"/>
      <c r="P850" s="414"/>
      <c r="Q850" s="414"/>
      <c r="R850" s="414"/>
      <c r="S850" s="414"/>
      <c r="T850" s="414"/>
      <c r="U850" s="414"/>
    </row>
    <row r="851" spans="5:21" ht="15.6">
      <c r="E851" s="1"/>
      <c r="F851" s="1"/>
      <c r="G851" s="1"/>
      <c r="H851" s="1"/>
      <c r="I851" s="1"/>
      <c r="J851" s="1"/>
      <c r="K851" s="1"/>
      <c r="P851" s="414"/>
      <c r="Q851" s="414"/>
      <c r="R851" s="414"/>
      <c r="S851" s="414"/>
      <c r="T851" s="414"/>
      <c r="U851" s="414"/>
    </row>
    <row r="852" spans="5:21" ht="15.6">
      <c r="E852" s="1"/>
      <c r="F852" s="1"/>
      <c r="G852" s="1"/>
      <c r="H852" s="1"/>
      <c r="I852" s="1"/>
      <c r="J852" s="1"/>
      <c r="K852" s="1"/>
      <c r="P852" s="414"/>
      <c r="Q852" s="414"/>
      <c r="R852" s="414"/>
      <c r="S852" s="414"/>
      <c r="T852" s="414"/>
      <c r="U852" s="414"/>
    </row>
    <row r="853" spans="5:21" ht="15.6">
      <c r="E853" s="1"/>
      <c r="F853" s="1"/>
      <c r="G853" s="1"/>
      <c r="H853" s="1"/>
      <c r="I853" s="1"/>
      <c r="J853" s="1"/>
      <c r="K853" s="1"/>
      <c r="P853" s="414"/>
      <c r="Q853" s="414"/>
      <c r="R853" s="414"/>
      <c r="S853" s="414"/>
      <c r="T853" s="414"/>
      <c r="U853" s="414"/>
    </row>
    <row r="854" spans="5:21" ht="15.6">
      <c r="E854" s="1"/>
      <c r="F854" s="1"/>
      <c r="G854" s="1"/>
      <c r="H854" s="1"/>
      <c r="I854" s="1"/>
      <c r="J854" s="1"/>
      <c r="K854" s="1"/>
      <c r="P854" s="414"/>
      <c r="Q854" s="414"/>
      <c r="R854" s="414"/>
      <c r="S854" s="414"/>
      <c r="T854" s="414"/>
      <c r="U854" s="414"/>
    </row>
    <row r="855" spans="5:21" ht="15.6">
      <c r="E855" s="1"/>
      <c r="F855" s="1"/>
      <c r="G855" s="1"/>
      <c r="H855" s="1"/>
      <c r="I855" s="1"/>
      <c r="J855" s="1"/>
      <c r="K855" s="1"/>
      <c r="P855" s="414"/>
      <c r="Q855" s="414"/>
      <c r="R855" s="414"/>
      <c r="S855" s="414"/>
      <c r="T855" s="414"/>
      <c r="U855" s="414"/>
    </row>
    <row r="856" spans="5:21" ht="15.6">
      <c r="E856" s="1"/>
      <c r="F856" s="1"/>
      <c r="G856" s="1"/>
      <c r="H856" s="1"/>
      <c r="I856" s="1"/>
      <c r="J856" s="1"/>
      <c r="K856" s="1"/>
      <c r="P856" s="414"/>
      <c r="Q856" s="414"/>
      <c r="R856" s="414"/>
      <c r="S856" s="414"/>
      <c r="T856" s="414"/>
      <c r="U856" s="414"/>
    </row>
    <row r="857" spans="5:21" ht="15.6">
      <c r="E857" s="1"/>
      <c r="F857" s="1"/>
      <c r="G857" s="1"/>
      <c r="H857" s="1"/>
      <c r="I857" s="1"/>
      <c r="J857" s="1"/>
      <c r="K857" s="1"/>
      <c r="P857" s="414"/>
      <c r="Q857" s="414"/>
      <c r="R857" s="414"/>
      <c r="S857" s="414"/>
      <c r="T857" s="414"/>
      <c r="U857" s="414"/>
    </row>
    <row r="858" spans="5:21" ht="15.6">
      <c r="E858" s="1"/>
      <c r="F858" s="1"/>
      <c r="G858" s="1"/>
      <c r="H858" s="1"/>
      <c r="I858" s="1"/>
      <c r="J858" s="1"/>
      <c r="K858" s="1"/>
      <c r="P858" s="414"/>
      <c r="Q858" s="414"/>
      <c r="R858" s="414"/>
      <c r="S858" s="414"/>
      <c r="T858" s="414"/>
      <c r="U858" s="414"/>
    </row>
    <row r="859" spans="5:21" ht="15.6">
      <c r="E859" s="1"/>
      <c r="F859" s="1"/>
      <c r="G859" s="1"/>
      <c r="H859" s="1"/>
      <c r="I859" s="1"/>
      <c r="J859" s="1"/>
      <c r="K859" s="1"/>
      <c r="P859" s="414"/>
      <c r="Q859" s="414"/>
      <c r="R859" s="414"/>
      <c r="S859" s="414"/>
      <c r="T859" s="414"/>
      <c r="U859" s="414"/>
    </row>
    <row r="860" spans="5:21" ht="15.6">
      <c r="E860" s="1"/>
      <c r="F860" s="1"/>
      <c r="G860" s="1"/>
      <c r="H860" s="1"/>
      <c r="I860" s="1"/>
      <c r="J860" s="1"/>
      <c r="K860" s="1"/>
      <c r="P860" s="414"/>
      <c r="Q860" s="414"/>
      <c r="R860" s="414"/>
      <c r="S860" s="414"/>
      <c r="T860" s="414"/>
      <c r="U860" s="414"/>
    </row>
    <row r="861" spans="5:21" ht="15.6">
      <c r="E861" s="1"/>
      <c r="F861" s="1"/>
      <c r="G861" s="1"/>
      <c r="H861" s="1"/>
      <c r="I861" s="1"/>
      <c r="J861" s="1"/>
      <c r="K861" s="1"/>
      <c r="P861" s="414"/>
      <c r="Q861" s="414"/>
      <c r="R861" s="414"/>
      <c r="S861" s="414"/>
      <c r="T861" s="414"/>
      <c r="U861" s="414"/>
    </row>
    <row r="862" spans="5:21" ht="15.6">
      <c r="E862" s="1"/>
      <c r="F862" s="1"/>
      <c r="G862" s="1"/>
      <c r="H862" s="1"/>
      <c r="I862" s="1"/>
      <c r="J862" s="1"/>
      <c r="K862" s="1"/>
      <c r="P862" s="414"/>
      <c r="Q862" s="414"/>
      <c r="R862" s="414"/>
      <c r="S862" s="414"/>
      <c r="T862" s="414"/>
      <c r="U862" s="414"/>
    </row>
    <row r="863" spans="5:21" ht="15.6">
      <c r="E863" s="1"/>
      <c r="F863" s="1"/>
      <c r="G863" s="1"/>
      <c r="H863" s="1"/>
      <c r="I863" s="1"/>
      <c r="J863" s="1"/>
      <c r="K863" s="1"/>
      <c r="P863" s="414"/>
      <c r="Q863" s="414"/>
      <c r="R863" s="414"/>
      <c r="S863" s="414"/>
      <c r="T863" s="414"/>
      <c r="U863" s="414"/>
    </row>
    <row r="864" spans="5:21" ht="15.6">
      <c r="E864" s="1"/>
      <c r="F864" s="1"/>
      <c r="G864" s="1"/>
      <c r="H864" s="1"/>
      <c r="I864" s="1"/>
      <c r="J864" s="1"/>
      <c r="K864" s="1"/>
      <c r="P864" s="414"/>
      <c r="Q864" s="414"/>
      <c r="R864" s="414"/>
      <c r="S864" s="414"/>
      <c r="T864" s="414"/>
      <c r="U864" s="414"/>
    </row>
    <row r="865" spans="5:21" ht="15.6">
      <c r="E865" s="1"/>
      <c r="F865" s="1"/>
      <c r="G865" s="1"/>
      <c r="H865" s="1"/>
      <c r="I865" s="1"/>
      <c r="J865" s="1"/>
      <c r="K865" s="1"/>
      <c r="P865" s="414"/>
      <c r="Q865" s="414"/>
      <c r="R865" s="414"/>
      <c r="S865" s="414"/>
      <c r="T865" s="414"/>
      <c r="U865" s="414"/>
    </row>
    <row r="866" spans="5:21" ht="15.6">
      <c r="E866" s="1"/>
      <c r="F866" s="1"/>
      <c r="G866" s="1"/>
      <c r="H866" s="1"/>
      <c r="I866" s="1"/>
      <c r="J866" s="1"/>
      <c r="K866" s="1"/>
      <c r="P866" s="414"/>
      <c r="Q866" s="414"/>
      <c r="R866" s="414"/>
      <c r="S866" s="414"/>
      <c r="T866" s="414"/>
      <c r="U866" s="414"/>
    </row>
    <row r="867" spans="5:21" ht="15.6">
      <c r="E867" s="1"/>
      <c r="F867" s="1"/>
      <c r="G867" s="1"/>
      <c r="H867" s="1"/>
      <c r="I867" s="1"/>
      <c r="J867" s="1"/>
      <c r="K867" s="1"/>
      <c r="P867" s="414"/>
      <c r="Q867" s="414"/>
      <c r="R867" s="414"/>
      <c r="S867" s="414"/>
      <c r="T867" s="414"/>
      <c r="U867" s="414"/>
    </row>
    <row r="868" spans="5:21" ht="15.6">
      <c r="E868" s="1"/>
      <c r="F868" s="1"/>
      <c r="G868" s="1"/>
      <c r="H868" s="1"/>
      <c r="I868" s="1"/>
      <c r="J868" s="1"/>
      <c r="K868" s="1"/>
      <c r="P868" s="414"/>
      <c r="Q868" s="414"/>
      <c r="R868" s="414"/>
      <c r="S868" s="414"/>
      <c r="T868" s="414"/>
      <c r="U868" s="414"/>
    </row>
    <row r="869" spans="5:21" ht="15.6">
      <c r="E869" s="1"/>
      <c r="F869" s="1"/>
      <c r="G869" s="1"/>
      <c r="H869" s="1"/>
      <c r="I869" s="1"/>
      <c r="J869" s="1"/>
      <c r="K869" s="1"/>
      <c r="P869" s="414"/>
      <c r="Q869" s="414"/>
      <c r="R869" s="414"/>
      <c r="S869" s="414"/>
      <c r="T869" s="414"/>
      <c r="U869" s="414"/>
    </row>
    <row r="870" spans="5:21" ht="15.6">
      <c r="E870" s="1"/>
      <c r="F870" s="1"/>
      <c r="G870" s="1"/>
      <c r="H870" s="1"/>
      <c r="I870" s="1"/>
      <c r="J870" s="1"/>
      <c r="K870" s="1"/>
      <c r="P870" s="414"/>
      <c r="Q870" s="414"/>
      <c r="R870" s="414"/>
      <c r="S870" s="414"/>
      <c r="T870" s="414"/>
      <c r="U870" s="414"/>
    </row>
    <row r="871" spans="5:21" ht="15.6">
      <c r="E871" s="1"/>
      <c r="F871" s="1"/>
      <c r="G871" s="1"/>
      <c r="H871" s="1"/>
      <c r="I871" s="1"/>
      <c r="J871" s="1"/>
      <c r="K871" s="1"/>
      <c r="P871" s="414"/>
      <c r="Q871" s="414"/>
      <c r="R871" s="414"/>
      <c r="S871" s="414"/>
      <c r="T871" s="414"/>
      <c r="U871" s="414"/>
    </row>
    <row r="872" spans="5:21" ht="15.6">
      <c r="E872" s="1"/>
      <c r="F872" s="1"/>
      <c r="G872" s="1"/>
      <c r="H872" s="1"/>
      <c r="I872" s="1"/>
      <c r="J872" s="1"/>
      <c r="K872" s="1"/>
      <c r="P872" s="414"/>
      <c r="Q872" s="414"/>
      <c r="R872" s="414"/>
      <c r="S872" s="414"/>
      <c r="T872" s="414"/>
      <c r="U872" s="414"/>
    </row>
    <row r="873" spans="5:21" ht="15.6">
      <c r="E873" s="1"/>
      <c r="F873" s="1"/>
      <c r="G873" s="1"/>
      <c r="H873" s="1"/>
      <c r="I873" s="1"/>
      <c r="J873" s="1"/>
      <c r="K873" s="1"/>
      <c r="P873" s="414"/>
      <c r="Q873" s="414"/>
      <c r="R873" s="414"/>
      <c r="S873" s="414"/>
      <c r="T873" s="414"/>
      <c r="U873" s="414"/>
    </row>
    <row r="874" spans="5:21" ht="15.6">
      <c r="E874" s="1"/>
      <c r="F874" s="1"/>
      <c r="G874" s="1"/>
      <c r="H874" s="1"/>
      <c r="I874" s="1"/>
      <c r="J874" s="1"/>
      <c r="K874" s="1"/>
      <c r="P874" s="414"/>
      <c r="Q874" s="414"/>
      <c r="R874" s="414"/>
      <c r="S874" s="414"/>
      <c r="T874" s="414"/>
      <c r="U874" s="414"/>
    </row>
    <row r="875" spans="5:21" ht="15.6">
      <c r="E875" s="1"/>
      <c r="F875" s="1"/>
      <c r="G875" s="1"/>
      <c r="H875" s="1"/>
      <c r="I875" s="1"/>
      <c r="J875" s="1"/>
      <c r="K875" s="1"/>
      <c r="P875" s="414"/>
      <c r="Q875" s="414"/>
      <c r="R875" s="414"/>
      <c r="S875" s="414"/>
      <c r="T875" s="414"/>
      <c r="U875" s="414"/>
    </row>
    <row r="876" spans="5:21" ht="15.6">
      <c r="E876" s="1"/>
      <c r="F876" s="1"/>
      <c r="G876" s="1"/>
      <c r="H876" s="1"/>
      <c r="I876" s="1"/>
      <c r="J876" s="1"/>
      <c r="K876" s="1"/>
      <c r="P876" s="414"/>
      <c r="Q876" s="414"/>
      <c r="R876" s="414"/>
      <c r="S876" s="414"/>
      <c r="T876" s="414"/>
      <c r="U876" s="414"/>
    </row>
    <row r="877" spans="5:21" ht="15.6">
      <c r="E877" s="1"/>
      <c r="F877" s="1"/>
      <c r="G877" s="1"/>
      <c r="H877" s="1"/>
      <c r="I877" s="1"/>
      <c r="J877" s="1"/>
      <c r="K877" s="1"/>
      <c r="P877" s="414"/>
      <c r="Q877" s="414"/>
      <c r="R877" s="414"/>
      <c r="S877" s="414"/>
      <c r="T877" s="414"/>
      <c r="U877" s="414"/>
    </row>
    <row r="878" spans="5:21" ht="15.6">
      <c r="E878" s="1"/>
      <c r="F878" s="1"/>
      <c r="G878" s="1"/>
      <c r="H878" s="1"/>
      <c r="I878" s="1"/>
      <c r="J878" s="1"/>
      <c r="K878" s="1"/>
      <c r="P878" s="414"/>
      <c r="Q878" s="414"/>
      <c r="R878" s="414"/>
      <c r="S878" s="414"/>
      <c r="T878" s="414"/>
      <c r="U878" s="414"/>
    </row>
    <row r="879" spans="5:21" ht="15.6">
      <c r="E879" s="1"/>
      <c r="F879" s="1"/>
      <c r="G879" s="1"/>
      <c r="H879" s="1"/>
      <c r="I879" s="1"/>
      <c r="J879" s="1"/>
      <c r="K879" s="1"/>
      <c r="P879" s="414"/>
      <c r="Q879" s="414"/>
      <c r="R879" s="414"/>
      <c r="S879" s="414"/>
      <c r="T879" s="414"/>
      <c r="U879" s="414"/>
    </row>
    <row r="880" spans="5:21" ht="15.6">
      <c r="E880" s="1"/>
      <c r="F880" s="1"/>
      <c r="G880" s="1"/>
      <c r="H880" s="1"/>
      <c r="I880" s="1"/>
      <c r="J880" s="1"/>
      <c r="K880" s="1"/>
      <c r="P880" s="414"/>
      <c r="Q880" s="414"/>
      <c r="R880" s="414"/>
      <c r="S880" s="414"/>
      <c r="T880" s="414"/>
      <c r="U880" s="414"/>
    </row>
    <row r="881" spans="5:21" ht="15.6">
      <c r="E881" s="1"/>
      <c r="F881" s="1"/>
      <c r="G881" s="1"/>
      <c r="H881" s="1"/>
      <c r="I881" s="1"/>
      <c r="J881" s="1"/>
      <c r="K881" s="1"/>
      <c r="P881" s="414"/>
      <c r="Q881" s="414"/>
      <c r="R881" s="414"/>
      <c r="S881" s="414"/>
      <c r="T881" s="414"/>
      <c r="U881" s="414"/>
    </row>
    <row r="882" spans="5:21" ht="15.6">
      <c r="E882" s="1"/>
      <c r="F882" s="1"/>
      <c r="G882" s="1"/>
      <c r="H882" s="1"/>
      <c r="I882" s="1"/>
      <c r="J882" s="1"/>
      <c r="K882" s="1"/>
      <c r="P882" s="414"/>
      <c r="Q882" s="414"/>
      <c r="R882" s="414"/>
      <c r="S882" s="414"/>
      <c r="T882" s="414"/>
      <c r="U882" s="414"/>
    </row>
    <row r="883" spans="5:21" ht="15.6">
      <c r="E883" s="1"/>
      <c r="F883" s="1"/>
      <c r="G883" s="1"/>
      <c r="H883" s="1"/>
      <c r="I883" s="1"/>
      <c r="J883" s="1"/>
      <c r="K883" s="1"/>
      <c r="P883" s="414"/>
      <c r="Q883" s="414"/>
      <c r="R883" s="414"/>
      <c r="S883" s="414"/>
      <c r="T883" s="414"/>
      <c r="U883" s="414"/>
    </row>
    <row r="884" spans="5:21" ht="15.6">
      <c r="E884" s="1"/>
      <c r="F884" s="1"/>
      <c r="G884" s="1"/>
      <c r="H884" s="1"/>
      <c r="I884" s="1"/>
      <c r="J884" s="1"/>
      <c r="K884" s="1"/>
      <c r="P884" s="414"/>
      <c r="Q884" s="414"/>
      <c r="R884" s="414"/>
      <c r="S884" s="414"/>
      <c r="T884" s="414"/>
      <c r="U884" s="414"/>
    </row>
    <row r="885" spans="5:21" ht="15.6">
      <c r="E885" s="1"/>
      <c r="F885" s="1"/>
      <c r="G885" s="1"/>
      <c r="H885" s="1"/>
      <c r="I885" s="1"/>
      <c r="J885" s="1"/>
      <c r="K885" s="1"/>
      <c r="P885" s="414"/>
      <c r="Q885" s="414"/>
      <c r="R885" s="414"/>
      <c r="S885" s="414"/>
      <c r="T885" s="414"/>
      <c r="U885" s="414"/>
    </row>
    <row r="886" spans="5:21" ht="15.6">
      <c r="E886" s="1"/>
      <c r="F886" s="1"/>
      <c r="G886" s="1"/>
      <c r="H886" s="1"/>
      <c r="I886" s="1"/>
      <c r="J886" s="1"/>
      <c r="K886" s="1"/>
      <c r="P886" s="414"/>
      <c r="Q886" s="414"/>
      <c r="R886" s="414"/>
      <c r="S886" s="414"/>
      <c r="T886" s="414"/>
      <c r="U886" s="414"/>
    </row>
    <row r="887" spans="5:21" ht="15.6">
      <c r="E887" s="1"/>
      <c r="F887" s="1"/>
      <c r="G887" s="1"/>
      <c r="H887" s="1"/>
      <c r="I887" s="1"/>
      <c r="J887" s="1"/>
      <c r="K887" s="1"/>
      <c r="P887" s="414"/>
      <c r="Q887" s="414"/>
      <c r="R887" s="414"/>
      <c r="S887" s="414"/>
      <c r="T887" s="414"/>
      <c r="U887" s="414"/>
    </row>
    <row r="888" spans="5:21" ht="15.6">
      <c r="E888" s="1"/>
      <c r="F888" s="1"/>
      <c r="G888" s="1"/>
      <c r="H888" s="1"/>
      <c r="I888" s="1"/>
      <c r="J888" s="1"/>
      <c r="K888" s="1"/>
      <c r="P888" s="414"/>
      <c r="Q888" s="414"/>
      <c r="R888" s="414"/>
      <c r="S888" s="414"/>
      <c r="T888" s="414"/>
      <c r="U888" s="414"/>
    </row>
    <row r="889" spans="5:21" ht="15.6">
      <c r="E889" s="1"/>
      <c r="F889" s="1"/>
      <c r="G889" s="1"/>
      <c r="H889" s="1"/>
      <c r="I889" s="1"/>
      <c r="J889" s="1"/>
      <c r="K889" s="1"/>
      <c r="P889" s="414"/>
      <c r="Q889" s="414"/>
      <c r="R889" s="414"/>
      <c r="S889" s="414"/>
      <c r="T889" s="414"/>
      <c r="U889" s="414"/>
    </row>
    <row r="890" spans="5:21" ht="15.6">
      <c r="E890" s="1"/>
      <c r="F890" s="1"/>
      <c r="G890" s="1"/>
      <c r="H890" s="1"/>
      <c r="I890" s="1"/>
      <c r="J890" s="1"/>
      <c r="K890" s="1"/>
      <c r="P890" s="414"/>
      <c r="Q890" s="414"/>
      <c r="R890" s="414"/>
      <c r="S890" s="414"/>
      <c r="T890" s="414"/>
      <c r="U890" s="414"/>
    </row>
    <row r="891" spans="5:21" ht="15.6">
      <c r="E891" s="1"/>
      <c r="F891" s="1"/>
      <c r="G891" s="1"/>
      <c r="H891" s="1"/>
      <c r="I891" s="1"/>
      <c r="J891" s="1"/>
      <c r="K891" s="1"/>
      <c r="P891" s="414"/>
      <c r="Q891" s="414"/>
      <c r="R891" s="414"/>
      <c r="S891" s="414"/>
      <c r="T891" s="414"/>
      <c r="U891" s="414"/>
    </row>
    <row r="892" spans="5:21" ht="15.6">
      <c r="E892" s="1"/>
      <c r="F892" s="1"/>
      <c r="G892" s="1"/>
      <c r="H892" s="1"/>
      <c r="I892" s="1"/>
      <c r="J892" s="1"/>
      <c r="K892" s="1"/>
      <c r="P892" s="414"/>
      <c r="Q892" s="414"/>
      <c r="R892" s="414"/>
      <c r="S892" s="414"/>
      <c r="T892" s="414"/>
      <c r="U892" s="414"/>
    </row>
    <row r="893" spans="5:21" ht="15.6">
      <c r="E893" s="1"/>
      <c r="F893" s="1"/>
      <c r="G893" s="1"/>
      <c r="H893" s="1"/>
      <c r="I893" s="1"/>
      <c r="J893" s="1"/>
      <c r="K893" s="1"/>
      <c r="P893" s="414"/>
      <c r="Q893" s="414"/>
      <c r="R893" s="414"/>
      <c r="S893" s="414"/>
      <c r="T893" s="414"/>
      <c r="U893" s="414"/>
    </row>
    <row r="894" spans="5:21" ht="15.6">
      <c r="E894" s="1"/>
      <c r="F894" s="1"/>
      <c r="G894" s="1"/>
      <c r="H894" s="1"/>
      <c r="I894" s="1"/>
      <c r="J894" s="1"/>
      <c r="K894" s="1"/>
      <c r="P894" s="414"/>
      <c r="Q894" s="414"/>
      <c r="R894" s="414"/>
      <c r="S894" s="414"/>
      <c r="T894" s="414"/>
      <c r="U894" s="414"/>
    </row>
    <row r="895" spans="5:21" ht="15.6">
      <c r="E895" s="1"/>
      <c r="F895" s="1"/>
      <c r="G895" s="1"/>
      <c r="H895" s="1"/>
      <c r="I895" s="1"/>
      <c r="J895" s="1"/>
      <c r="K895" s="1"/>
      <c r="P895" s="414"/>
      <c r="Q895" s="414"/>
      <c r="R895" s="414"/>
      <c r="S895" s="414"/>
      <c r="T895" s="414"/>
      <c r="U895" s="414"/>
    </row>
    <row r="896" spans="5:21" ht="15.6">
      <c r="E896" s="1"/>
      <c r="F896" s="1"/>
      <c r="G896" s="1"/>
      <c r="H896" s="1"/>
      <c r="I896" s="1"/>
      <c r="J896" s="1"/>
      <c r="K896" s="1"/>
      <c r="P896" s="414"/>
      <c r="Q896" s="414"/>
      <c r="R896" s="414"/>
      <c r="S896" s="414"/>
      <c r="T896" s="414"/>
      <c r="U896" s="414"/>
    </row>
    <row r="897" spans="5:21" ht="15.6">
      <c r="E897" s="1"/>
      <c r="F897" s="1"/>
      <c r="G897" s="1"/>
      <c r="H897" s="1"/>
      <c r="I897" s="1"/>
      <c r="J897" s="1"/>
      <c r="K897" s="1"/>
      <c r="P897" s="414"/>
      <c r="Q897" s="414"/>
      <c r="R897" s="414"/>
      <c r="S897" s="414"/>
      <c r="T897" s="414"/>
      <c r="U897" s="414"/>
    </row>
    <row r="898" spans="5:21" ht="15.6">
      <c r="E898" s="1"/>
      <c r="F898" s="1"/>
      <c r="G898" s="1"/>
      <c r="H898" s="1"/>
      <c r="I898" s="1"/>
      <c r="J898" s="1"/>
      <c r="K898" s="1"/>
      <c r="P898" s="414"/>
      <c r="Q898" s="414"/>
      <c r="R898" s="414"/>
      <c r="S898" s="414"/>
      <c r="T898" s="414"/>
      <c r="U898" s="414"/>
    </row>
    <row r="899" spans="5:21" ht="15.6">
      <c r="E899" s="1"/>
      <c r="F899" s="1"/>
      <c r="G899" s="1"/>
      <c r="H899" s="1"/>
      <c r="I899" s="1"/>
      <c r="J899" s="1"/>
      <c r="K899" s="1"/>
      <c r="P899" s="414"/>
      <c r="Q899" s="414"/>
      <c r="R899" s="414"/>
      <c r="S899" s="414"/>
      <c r="T899" s="414"/>
      <c r="U899" s="414"/>
    </row>
    <row r="900" spans="5:21" ht="15.6">
      <c r="E900" s="1"/>
      <c r="F900" s="1"/>
      <c r="G900" s="1"/>
      <c r="H900" s="1"/>
      <c r="I900" s="1"/>
      <c r="J900" s="1"/>
      <c r="K900" s="1"/>
      <c r="P900" s="414"/>
      <c r="Q900" s="414"/>
      <c r="R900" s="414"/>
      <c r="S900" s="414"/>
      <c r="T900" s="414"/>
      <c r="U900" s="414"/>
    </row>
    <row r="901" spans="5:21" ht="15.6">
      <c r="E901" s="1"/>
      <c r="F901" s="1"/>
      <c r="G901" s="1"/>
      <c r="H901" s="1"/>
      <c r="I901" s="1"/>
      <c r="J901" s="1"/>
      <c r="K901" s="1"/>
      <c r="P901" s="414"/>
      <c r="Q901" s="414"/>
      <c r="R901" s="414"/>
      <c r="S901" s="414"/>
      <c r="T901" s="414"/>
      <c r="U901" s="414"/>
    </row>
    <row r="902" spans="5:21" ht="15.6">
      <c r="E902" s="1"/>
      <c r="F902" s="1"/>
      <c r="G902" s="1"/>
      <c r="H902" s="1"/>
      <c r="I902" s="1"/>
      <c r="J902" s="1"/>
      <c r="K902" s="1"/>
      <c r="P902" s="414"/>
      <c r="Q902" s="414"/>
      <c r="R902" s="414"/>
      <c r="S902" s="414"/>
      <c r="T902" s="414"/>
      <c r="U902" s="414"/>
    </row>
    <row r="903" spans="5:21" ht="15.6">
      <c r="E903" s="1"/>
      <c r="F903" s="1"/>
      <c r="G903" s="1"/>
      <c r="H903" s="1"/>
      <c r="I903" s="1"/>
      <c r="J903" s="1"/>
      <c r="K903" s="1"/>
      <c r="P903" s="414"/>
      <c r="Q903" s="414"/>
      <c r="R903" s="414"/>
      <c r="S903" s="414"/>
      <c r="T903" s="414"/>
      <c r="U903" s="414"/>
    </row>
    <row r="904" spans="5:21" ht="15.6">
      <c r="E904" s="1"/>
      <c r="F904" s="1"/>
      <c r="G904" s="1"/>
      <c r="H904" s="1"/>
      <c r="I904" s="1"/>
      <c r="J904" s="1"/>
      <c r="K904" s="1"/>
      <c r="P904" s="414"/>
      <c r="Q904" s="414"/>
      <c r="R904" s="414"/>
      <c r="S904" s="414"/>
      <c r="T904" s="414"/>
      <c r="U904" s="414"/>
    </row>
    <row r="905" spans="5:21" ht="15.6">
      <c r="E905" s="1"/>
      <c r="F905" s="1"/>
      <c r="G905" s="1"/>
      <c r="H905" s="1"/>
      <c r="I905" s="1"/>
      <c r="J905" s="1"/>
      <c r="K905" s="1"/>
      <c r="P905" s="414"/>
      <c r="Q905" s="414"/>
      <c r="R905" s="414"/>
      <c r="S905" s="414"/>
      <c r="T905" s="414"/>
      <c r="U905" s="414"/>
    </row>
    <row r="906" spans="5:21" ht="15.6">
      <c r="E906" s="1"/>
      <c r="F906" s="1"/>
      <c r="G906" s="1"/>
      <c r="H906" s="1"/>
      <c r="I906" s="1"/>
      <c r="J906" s="1"/>
      <c r="K906" s="1"/>
      <c r="P906" s="414"/>
      <c r="Q906" s="414"/>
      <c r="R906" s="414"/>
      <c r="S906" s="414"/>
      <c r="T906" s="414"/>
      <c r="U906" s="414"/>
    </row>
    <row r="907" spans="5:21" ht="15.6">
      <c r="E907" s="1"/>
      <c r="F907" s="1"/>
      <c r="G907" s="1"/>
      <c r="H907" s="1"/>
      <c r="I907" s="1"/>
      <c r="J907" s="1"/>
      <c r="K907" s="1"/>
      <c r="P907" s="414"/>
      <c r="Q907" s="414"/>
      <c r="R907" s="414"/>
      <c r="S907" s="414"/>
      <c r="T907" s="414"/>
      <c r="U907" s="414"/>
    </row>
    <row r="908" spans="5:21" ht="15.6">
      <c r="E908" s="1"/>
      <c r="F908" s="1"/>
      <c r="G908" s="1"/>
      <c r="H908" s="1"/>
      <c r="I908" s="1"/>
      <c r="J908" s="1"/>
      <c r="K908" s="1"/>
      <c r="P908" s="414"/>
      <c r="Q908" s="414"/>
      <c r="R908" s="414"/>
      <c r="S908" s="414"/>
      <c r="T908" s="414"/>
      <c r="U908" s="414"/>
    </row>
    <row r="909" spans="5:21" ht="15.6">
      <c r="E909" s="1"/>
      <c r="F909" s="1"/>
      <c r="G909" s="1"/>
      <c r="H909" s="1"/>
      <c r="I909" s="1"/>
      <c r="J909" s="1"/>
      <c r="K909" s="1"/>
      <c r="P909" s="414"/>
      <c r="Q909" s="414"/>
      <c r="R909" s="414"/>
      <c r="S909" s="414"/>
      <c r="T909" s="414"/>
      <c r="U909" s="414"/>
    </row>
    <row r="910" spans="5:21" ht="15.6">
      <c r="E910" s="1"/>
      <c r="F910" s="1"/>
      <c r="G910" s="1"/>
      <c r="H910" s="1"/>
      <c r="I910" s="1"/>
      <c r="J910" s="1"/>
      <c r="K910" s="1"/>
      <c r="P910" s="414"/>
      <c r="Q910" s="414"/>
      <c r="R910" s="414"/>
      <c r="S910" s="414"/>
      <c r="T910" s="414"/>
      <c r="U910" s="414"/>
    </row>
    <row r="911" spans="5:21" ht="15.6">
      <c r="E911" s="1"/>
      <c r="F911" s="1"/>
      <c r="G911" s="1"/>
      <c r="H911" s="1"/>
      <c r="I911" s="1"/>
      <c r="J911" s="1"/>
      <c r="K911" s="1"/>
      <c r="P911" s="414"/>
      <c r="Q911" s="414"/>
      <c r="R911" s="414"/>
      <c r="S911" s="414"/>
      <c r="T911" s="414"/>
      <c r="U911" s="414"/>
    </row>
    <row r="912" spans="5:21" ht="15.6">
      <c r="E912" s="1"/>
      <c r="F912" s="1"/>
      <c r="G912" s="1"/>
      <c r="H912" s="1"/>
      <c r="I912" s="1"/>
      <c r="J912" s="1"/>
      <c r="K912" s="1"/>
      <c r="P912" s="414"/>
      <c r="Q912" s="414"/>
      <c r="R912" s="414"/>
      <c r="S912" s="414"/>
      <c r="T912" s="414"/>
      <c r="U912" s="414"/>
    </row>
    <row r="913" spans="5:21" ht="15.6">
      <c r="E913" s="1"/>
      <c r="F913" s="1"/>
      <c r="G913" s="1"/>
      <c r="H913" s="1"/>
      <c r="I913" s="1"/>
      <c r="J913" s="1"/>
      <c r="K913" s="1"/>
      <c r="P913" s="414"/>
      <c r="Q913" s="414"/>
      <c r="R913" s="414"/>
      <c r="S913" s="414"/>
      <c r="T913" s="414"/>
      <c r="U913" s="414"/>
    </row>
    <row r="914" spans="5:21" ht="15.6">
      <c r="E914" s="1"/>
      <c r="F914" s="1"/>
      <c r="G914" s="1"/>
      <c r="H914" s="1"/>
      <c r="I914" s="1"/>
      <c r="J914" s="1"/>
      <c r="K914" s="1"/>
      <c r="P914" s="414"/>
      <c r="Q914" s="414"/>
      <c r="R914" s="414"/>
      <c r="S914" s="414"/>
      <c r="T914" s="414"/>
      <c r="U914" s="414"/>
    </row>
    <row r="915" spans="5:21" ht="15.6">
      <c r="E915" s="1"/>
      <c r="F915" s="1"/>
      <c r="G915" s="1"/>
      <c r="H915" s="1"/>
      <c r="I915" s="1"/>
      <c r="J915" s="1"/>
      <c r="K915" s="1"/>
      <c r="P915" s="414"/>
      <c r="Q915" s="414"/>
      <c r="R915" s="414"/>
      <c r="S915" s="414"/>
      <c r="T915" s="414"/>
      <c r="U915" s="414"/>
    </row>
    <row r="916" spans="5:21" ht="15.6">
      <c r="E916" s="1"/>
      <c r="F916" s="1"/>
      <c r="G916" s="1"/>
      <c r="H916" s="1"/>
      <c r="I916" s="1"/>
      <c r="J916" s="1"/>
      <c r="K916" s="1"/>
      <c r="P916" s="414"/>
      <c r="Q916" s="414"/>
      <c r="R916" s="414"/>
      <c r="S916" s="414"/>
      <c r="T916" s="414"/>
      <c r="U916" s="414"/>
    </row>
    <row r="917" spans="5:21" ht="15.6">
      <c r="E917" s="1"/>
      <c r="F917" s="1"/>
      <c r="G917" s="1"/>
      <c r="H917" s="1"/>
      <c r="I917" s="1"/>
      <c r="J917" s="1"/>
      <c r="K917" s="1"/>
      <c r="P917" s="414"/>
      <c r="Q917" s="414"/>
      <c r="R917" s="414"/>
      <c r="S917" s="414"/>
      <c r="T917" s="414"/>
      <c r="U917" s="414"/>
    </row>
    <row r="918" spans="5:21" ht="15.6">
      <c r="E918" s="1"/>
      <c r="F918" s="1"/>
      <c r="G918" s="1"/>
      <c r="H918" s="1"/>
      <c r="I918" s="1"/>
      <c r="J918" s="1"/>
      <c r="K918" s="1"/>
      <c r="P918" s="414"/>
      <c r="Q918" s="414"/>
      <c r="R918" s="414"/>
      <c r="S918" s="414"/>
      <c r="T918" s="414"/>
      <c r="U918" s="414"/>
    </row>
    <row r="919" spans="5:21" ht="15.6">
      <c r="E919" s="1"/>
      <c r="F919" s="1"/>
      <c r="G919" s="1"/>
      <c r="H919" s="1"/>
      <c r="I919" s="1"/>
      <c r="J919" s="1"/>
      <c r="K919" s="1"/>
      <c r="P919" s="414"/>
      <c r="Q919" s="414"/>
      <c r="R919" s="414"/>
      <c r="S919" s="414"/>
      <c r="T919" s="414"/>
      <c r="U919" s="414"/>
    </row>
    <row r="920" spans="5:21" ht="15.6">
      <c r="E920" s="1"/>
      <c r="F920" s="1"/>
      <c r="G920" s="1"/>
      <c r="H920" s="1"/>
      <c r="I920" s="1"/>
      <c r="J920" s="1"/>
      <c r="K920" s="1"/>
      <c r="P920" s="414"/>
      <c r="Q920" s="414"/>
      <c r="R920" s="414"/>
      <c r="S920" s="414"/>
      <c r="T920" s="414"/>
      <c r="U920" s="414"/>
    </row>
    <row r="921" spans="5:21" ht="15.6">
      <c r="E921" s="1"/>
      <c r="F921" s="1"/>
      <c r="G921" s="1"/>
      <c r="H921" s="1"/>
      <c r="I921" s="1"/>
      <c r="J921" s="1"/>
      <c r="K921" s="1"/>
      <c r="P921" s="414"/>
      <c r="Q921" s="414"/>
      <c r="R921" s="414"/>
      <c r="S921" s="414"/>
      <c r="T921" s="414"/>
      <c r="U921" s="414"/>
    </row>
    <row r="922" spans="5:21" ht="15.6">
      <c r="E922" s="1"/>
      <c r="F922" s="1"/>
      <c r="G922" s="1"/>
      <c r="H922" s="1"/>
      <c r="I922" s="1"/>
      <c r="J922" s="1"/>
      <c r="K922" s="1"/>
      <c r="P922" s="414"/>
      <c r="Q922" s="414"/>
      <c r="R922" s="414"/>
      <c r="S922" s="414"/>
      <c r="T922" s="414"/>
      <c r="U922" s="414"/>
    </row>
    <row r="923" spans="5:21" ht="15.6">
      <c r="E923" s="1"/>
      <c r="F923" s="1"/>
      <c r="G923" s="1"/>
      <c r="H923" s="1"/>
      <c r="I923" s="1"/>
      <c r="J923" s="1"/>
      <c r="K923" s="1"/>
      <c r="P923" s="414"/>
      <c r="Q923" s="414"/>
      <c r="R923" s="414"/>
      <c r="S923" s="414"/>
      <c r="T923" s="414"/>
      <c r="U923" s="414"/>
    </row>
    <row r="924" spans="5:21" ht="15.6">
      <c r="E924" s="1"/>
      <c r="F924" s="1"/>
      <c r="G924" s="1"/>
      <c r="H924" s="1"/>
      <c r="I924" s="1"/>
      <c r="J924" s="1"/>
      <c r="K924" s="1"/>
      <c r="P924" s="414"/>
      <c r="Q924" s="414"/>
      <c r="R924" s="414"/>
      <c r="S924" s="414"/>
      <c r="T924" s="414"/>
      <c r="U924" s="414"/>
    </row>
    <row r="925" spans="5:21" ht="15.6">
      <c r="E925" s="1"/>
      <c r="F925" s="1"/>
      <c r="G925" s="1"/>
      <c r="H925" s="1"/>
      <c r="I925" s="1"/>
      <c r="J925" s="1"/>
      <c r="K925" s="1"/>
      <c r="P925" s="414"/>
      <c r="Q925" s="414"/>
      <c r="R925" s="414"/>
      <c r="S925" s="414"/>
      <c r="T925" s="414"/>
      <c r="U925" s="414"/>
    </row>
    <row r="926" spans="5:21" ht="15.6">
      <c r="E926" s="1"/>
      <c r="F926" s="1"/>
      <c r="G926" s="1"/>
      <c r="H926" s="1"/>
      <c r="I926" s="1"/>
      <c r="J926" s="1"/>
      <c r="K926" s="1"/>
      <c r="P926" s="414"/>
      <c r="Q926" s="414"/>
      <c r="R926" s="414"/>
      <c r="S926" s="414"/>
      <c r="T926" s="414"/>
      <c r="U926" s="414"/>
    </row>
    <row r="927" spans="5:21" ht="15.6">
      <c r="E927" s="1"/>
      <c r="F927" s="1"/>
      <c r="G927" s="1"/>
      <c r="H927" s="1"/>
      <c r="I927" s="1"/>
      <c r="J927" s="1"/>
      <c r="K927" s="1"/>
      <c r="P927" s="414"/>
      <c r="Q927" s="414"/>
      <c r="R927" s="414"/>
      <c r="S927" s="414"/>
      <c r="T927" s="414"/>
      <c r="U927" s="414"/>
    </row>
    <row r="928" spans="5:21" ht="15.6">
      <c r="E928" s="1"/>
      <c r="F928" s="1"/>
      <c r="G928" s="1"/>
      <c r="H928" s="1"/>
      <c r="I928" s="1"/>
      <c r="J928" s="1"/>
      <c r="K928" s="1"/>
      <c r="P928" s="414"/>
      <c r="Q928" s="414"/>
      <c r="R928" s="414"/>
      <c r="S928" s="414"/>
      <c r="T928" s="414"/>
      <c r="U928" s="414"/>
    </row>
    <row r="929" spans="5:21" ht="15.6">
      <c r="E929" s="1"/>
      <c r="F929" s="1"/>
      <c r="G929" s="1"/>
      <c r="H929" s="1"/>
      <c r="I929" s="1"/>
      <c r="J929" s="1"/>
      <c r="K929" s="1"/>
      <c r="P929" s="414"/>
      <c r="Q929" s="414"/>
      <c r="R929" s="414"/>
      <c r="S929" s="414"/>
      <c r="T929" s="414"/>
      <c r="U929" s="414"/>
    </row>
    <row r="930" spans="5:21" ht="15.6">
      <c r="E930" s="1"/>
      <c r="F930" s="1"/>
      <c r="G930" s="1"/>
      <c r="H930" s="1"/>
      <c r="I930" s="1"/>
      <c r="J930" s="1"/>
      <c r="K930" s="1"/>
      <c r="P930" s="414"/>
      <c r="Q930" s="414"/>
      <c r="R930" s="414"/>
      <c r="S930" s="414"/>
      <c r="T930" s="414"/>
      <c r="U930" s="414"/>
    </row>
    <row r="931" spans="5:21" ht="15.6">
      <c r="E931" s="1"/>
      <c r="F931" s="1"/>
      <c r="G931" s="1"/>
      <c r="H931" s="1"/>
      <c r="I931" s="1"/>
      <c r="J931" s="1"/>
      <c r="K931" s="1"/>
      <c r="P931" s="414"/>
      <c r="Q931" s="414"/>
      <c r="R931" s="414"/>
      <c r="S931" s="414"/>
      <c r="T931" s="414"/>
      <c r="U931" s="414"/>
    </row>
    <row r="932" spans="5:21" ht="15.6">
      <c r="E932" s="1"/>
      <c r="F932" s="1"/>
      <c r="G932" s="1"/>
      <c r="H932" s="1"/>
      <c r="I932" s="1"/>
      <c r="J932" s="1"/>
      <c r="K932" s="1"/>
      <c r="P932" s="414"/>
      <c r="Q932" s="414"/>
      <c r="R932" s="414"/>
      <c r="S932" s="414"/>
      <c r="T932" s="414"/>
      <c r="U932" s="414"/>
    </row>
    <row r="933" spans="5:21" ht="15.6">
      <c r="E933" s="1"/>
      <c r="F933" s="1"/>
      <c r="G933" s="1"/>
      <c r="H933" s="1"/>
      <c r="I933" s="1"/>
      <c r="J933" s="1"/>
      <c r="K933" s="1"/>
      <c r="P933" s="414"/>
      <c r="Q933" s="414"/>
      <c r="R933" s="414"/>
      <c r="S933" s="414"/>
      <c r="T933" s="414"/>
      <c r="U933" s="414"/>
    </row>
    <row r="934" spans="5:21" ht="15.6">
      <c r="E934" s="1"/>
      <c r="F934" s="1"/>
      <c r="G934" s="1"/>
      <c r="H934" s="1"/>
      <c r="I934" s="1"/>
      <c r="J934" s="1"/>
      <c r="K934" s="1"/>
      <c r="P934" s="414"/>
      <c r="Q934" s="414"/>
      <c r="R934" s="414"/>
      <c r="S934" s="414"/>
      <c r="T934" s="414"/>
      <c r="U934" s="414"/>
    </row>
    <row r="935" spans="5:21" ht="15.6">
      <c r="E935" s="1"/>
      <c r="F935" s="1"/>
      <c r="G935" s="1"/>
      <c r="H935" s="1"/>
      <c r="I935" s="1"/>
      <c r="J935" s="1"/>
      <c r="K935" s="1"/>
      <c r="P935" s="414"/>
      <c r="Q935" s="414"/>
      <c r="R935" s="414"/>
      <c r="S935" s="414"/>
      <c r="T935" s="414"/>
      <c r="U935" s="414"/>
    </row>
    <row r="936" spans="5:21" ht="15.6">
      <c r="E936" s="1"/>
      <c r="F936" s="1"/>
      <c r="G936" s="1"/>
      <c r="H936" s="1"/>
      <c r="I936" s="1"/>
      <c r="J936" s="1"/>
      <c r="K936" s="1"/>
      <c r="P936" s="414"/>
      <c r="Q936" s="414"/>
      <c r="R936" s="414"/>
      <c r="S936" s="414"/>
      <c r="T936" s="414"/>
      <c r="U936" s="414"/>
    </row>
    <row r="937" spans="5:21" ht="15.6">
      <c r="E937" s="1"/>
      <c r="F937" s="1"/>
      <c r="G937" s="1"/>
      <c r="H937" s="1"/>
      <c r="I937" s="1"/>
      <c r="J937" s="1"/>
      <c r="K937" s="1"/>
      <c r="P937" s="414"/>
      <c r="Q937" s="414"/>
      <c r="R937" s="414"/>
      <c r="S937" s="414"/>
      <c r="T937" s="414"/>
      <c r="U937" s="414"/>
    </row>
    <row r="938" spans="5:21" ht="15.6">
      <c r="E938" s="1"/>
      <c r="F938" s="1"/>
      <c r="G938" s="1"/>
      <c r="H938" s="1"/>
      <c r="I938" s="1"/>
      <c r="J938" s="1"/>
      <c r="K938" s="1"/>
      <c r="P938" s="414"/>
      <c r="Q938" s="414"/>
      <c r="R938" s="414"/>
      <c r="S938" s="414"/>
      <c r="T938" s="414"/>
      <c r="U938" s="414"/>
    </row>
    <row r="939" spans="5:21" ht="15.6">
      <c r="E939" s="1"/>
      <c r="F939" s="1"/>
      <c r="G939" s="1"/>
      <c r="H939" s="1"/>
      <c r="I939" s="1"/>
      <c r="J939" s="1"/>
      <c r="K939" s="1"/>
      <c r="P939" s="414"/>
      <c r="Q939" s="414"/>
      <c r="R939" s="414"/>
      <c r="S939" s="414"/>
      <c r="T939" s="414"/>
      <c r="U939" s="414"/>
    </row>
    <row r="940" spans="5:21" ht="15.6">
      <c r="E940" s="1"/>
      <c r="F940" s="1"/>
      <c r="G940" s="1"/>
      <c r="H940" s="1"/>
      <c r="I940" s="1"/>
      <c r="J940" s="1"/>
      <c r="K940" s="1"/>
      <c r="P940" s="414"/>
      <c r="Q940" s="414"/>
      <c r="R940" s="414"/>
      <c r="S940" s="414"/>
      <c r="T940" s="414"/>
      <c r="U940" s="414"/>
    </row>
    <row r="941" spans="5:21" ht="15.6">
      <c r="E941" s="1"/>
      <c r="F941" s="1"/>
      <c r="G941" s="1"/>
      <c r="H941" s="1"/>
      <c r="I941" s="1"/>
      <c r="J941" s="1"/>
      <c r="K941" s="1"/>
      <c r="P941" s="414"/>
      <c r="Q941" s="414"/>
      <c r="R941" s="414"/>
      <c r="S941" s="414"/>
      <c r="T941" s="414"/>
      <c r="U941" s="414"/>
    </row>
    <row r="942" spans="5:21" ht="15.6">
      <c r="E942" s="1"/>
      <c r="F942" s="1"/>
      <c r="G942" s="1"/>
      <c r="H942" s="1"/>
      <c r="I942" s="1"/>
      <c r="J942" s="1"/>
      <c r="K942" s="1"/>
      <c r="P942" s="414"/>
      <c r="Q942" s="414"/>
      <c r="R942" s="414"/>
      <c r="S942" s="414"/>
      <c r="T942" s="414"/>
      <c r="U942" s="414"/>
    </row>
    <row r="943" spans="5:21" ht="15.6">
      <c r="E943" s="1"/>
      <c r="F943" s="1"/>
      <c r="G943" s="1"/>
      <c r="H943" s="1"/>
      <c r="I943" s="1"/>
      <c r="J943" s="1"/>
      <c r="K943" s="1"/>
      <c r="P943" s="414"/>
      <c r="Q943" s="414"/>
      <c r="R943" s="414"/>
      <c r="S943" s="414"/>
      <c r="T943" s="414"/>
      <c r="U943" s="414"/>
    </row>
    <row r="944" spans="5:21" ht="15.6">
      <c r="E944" s="1"/>
      <c r="F944" s="1"/>
      <c r="G944" s="1"/>
      <c r="H944" s="1"/>
      <c r="I944" s="1"/>
      <c r="J944" s="1"/>
      <c r="K944" s="1"/>
      <c r="P944" s="414"/>
      <c r="Q944" s="414"/>
      <c r="R944" s="414"/>
      <c r="S944" s="414"/>
      <c r="T944" s="414"/>
      <c r="U944" s="414"/>
    </row>
    <row r="945" spans="5:21" ht="15.6">
      <c r="E945" s="1"/>
      <c r="F945" s="1"/>
      <c r="G945" s="1"/>
      <c r="H945" s="1"/>
      <c r="I945" s="1"/>
      <c r="J945" s="1"/>
      <c r="K945" s="1"/>
      <c r="P945" s="414"/>
      <c r="Q945" s="414"/>
      <c r="R945" s="414"/>
      <c r="S945" s="414"/>
      <c r="T945" s="414"/>
      <c r="U945" s="414"/>
    </row>
    <row r="946" spans="5:21" ht="15.6">
      <c r="E946" s="1"/>
      <c r="F946" s="1"/>
      <c r="G946" s="1"/>
      <c r="H946" s="1"/>
      <c r="I946" s="1"/>
      <c r="J946" s="1"/>
      <c r="K946" s="1"/>
      <c r="P946" s="414"/>
      <c r="Q946" s="414"/>
      <c r="R946" s="414"/>
      <c r="S946" s="414"/>
      <c r="T946" s="414"/>
      <c r="U946" s="414"/>
    </row>
    <row r="947" spans="5:21" ht="15.6">
      <c r="E947" s="1"/>
      <c r="F947" s="1"/>
      <c r="G947" s="1"/>
      <c r="H947" s="1"/>
      <c r="I947" s="1"/>
      <c r="J947" s="1"/>
      <c r="K947" s="1"/>
      <c r="P947" s="414"/>
      <c r="Q947" s="414"/>
      <c r="R947" s="414"/>
      <c r="S947" s="414"/>
      <c r="T947" s="414"/>
      <c r="U947" s="414"/>
    </row>
    <row r="948" spans="5:21" ht="15.6">
      <c r="E948" s="1"/>
      <c r="F948" s="1"/>
      <c r="G948" s="1"/>
      <c r="H948" s="1"/>
      <c r="I948" s="1"/>
      <c r="J948" s="1"/>
      <c r="K948" s="1"/>
      <c r="P948" s="414"/>
      <c r="Q948" s="414"/>
      <c r="R948" s="414"/>
      <c r="S948" s="414"/>
      <c r="T948" s="414"/>
      <c r="U948" s="414"/>
    </row>
    <row r="949" spans="5:21" ht="15.6">
      <c r="E949" s="1"/>
      <c r="F949" s="1"/>
      <c r="G949" s="1"/>
      <c r="H949" s="1"/>
      <c r="I949" s="1"/>
      <c r="J949" s="1"/>
      <c r="K949" s="1"/>
      <c r="P949" s="414"/>
      <c r="Q949" s="414"/>
      <c r="R949" s="414"/>
      <c r="S949" s="414"/>
      <c r="T949" s="414"/>
      <c r="U949" s="414"/>
    </row>
    <row r="950" spans="5:21" ht="15.6">
      <c r="E950" s="1"/>
      <c r="F950" s="1"/>
      <c r="G950" s="1"/>
      <c r="H950" s="1"/>
      <c r="I950" s="1"/>
      <c r="J950" s="1"/>
      <c r="K950" s="1"/>
      <c r="P950" s="414"/>
      <c r="Q950" s="414"/>
      <c r="R950" s="414"/>
      <c r="S950" s="414"/>
      <c r="T950" s="414"/>
      <c r="U950" s="414"/>
    </row>
    <row r="951" spans="5:21" ht="15.6">
      <c r="E951" s="1"/>
      <c r="F951" s="1"/>
      <c r="G951" s="1"/>
      <c r="H951" s="1"/>
      <c r="I951" s="1"/>
      <c r="J951" s="1"/>
      <c r="K951" s="1"/>
      <c r="P951" s="414"/>
      <c r="Q951" s="414"/>
      <c r="R951" s="414"/>
      <c r="S951" s="414"/>
      <c r="T951" s="414"/>
      <c r="U951" s="414"/>
    </row>
    <row r="952" spans="5:21" ht="15.6">
      <c r="E952" s="1"/>
      <c r="F952" s="1"/>
      <c r="G952" s="1"/>
      <c r="H952" s="1"/>
      <c r="I952" s="1"/>
      <c r="J952" s="1"/>
      <c r="K952" s="1"/>
      <c r="P952" s="414"/>
      <c r="Q952" s="414"/>
      <c r="R952" s="414"/>
      <c r="S952" s="414"/>
      <c r="T952" s="414"/>
      <c r="U952" s="414"/>
    </row>
    <row r="953" spans="5:21" ht="15.6">
      <c r="E953" s="1"/>
      <c r="F953" s="1"/>
      <c r="G953" s="1"/>
      <c r="H953" s="1"/>
      <c r="I953" s="1"/>
      <c r="J953" s="1"/>
      <c r="K953" s="1"/>
      <c r="P953" s="414"/>
      <c r="Q953" s="414"/>
      <c r="R953" s="414"/>
      <c r="S953" s="414"/>
      <c r="T953" s="414"/>
      <c r="U953" s="414"/>
    </row>
    <row r="954" spans="5:21" ht="15.6">
      <c r="E954" s="1"/>
      <c r="F954" s="1"/>
      <c r="G954" s="1"/>
      <c r="H954" s="1"/>
      <c r="I954" s="1"/>
      <c r="J954" s="1"/>
      <c r="K954" s="1"/>
      <c r="P954" s="414"/>
      <c r="Q954" s="414"/>
      <c r="R954" s="414"/>
      <c r="S954" s="414"/>
      <c r="T954" s="414"/>
      <c r="U954" s="414"/>
    </row>
    <row r="955" spans="5:21" ht="15.6">
      <c r="E955" s="1"/>
      <c r="F955" s="1"/>
      <c r="G955" s="1"/>
      <c r="H955" s="1"/>
      <c r="I955" s="1"/>
      <c r="J955" s="1"/>
      <c r="K955" s="1"/>
      <c r="P955" s="414"/>
      <c r="Q955" s="414"/>
      <c r="R955" s="414"/>
      <c r="S955" s="414"/>
      <c r="T955" s="414"/>
      <c r="U955" s="414"/>
    </row>
    <row r="956" spans="5:21" ht="15.6">
      <c r="E956" s="1"/>
      <c r="F956" s="1"/>
      <c r="G956" s="1"/>
      <c r="H956" s="1"/>
      <c r="I956" s="1"/>
      <c r="J956" s="1"/>
      <c r="K956" s="1"/>
      <c r="P956" s="414"/>
      <c r="Q956" s="414"/>
      <c r="R956" s="414"/>
      <c r="S956" s="414"/>
      <c r="T956" s="414"/>
      <c r="U956" s="414"/>
    </row>
    <row r="957" spans="5:21" ht="15.6">
      <c r="E957" s="1"/>
      <c r="F957" s="1"/>
      <c r="G957" s="1"/>
      <c r="H957" s="1"/>
      <c r="I957" s="1"/>
      <c r="J957" s="1"/>
      <c r="K957" s="1"/>
      <c r="P957" s="414"/>
      <c r="Q957" s="414"/>
      <c r="R957" s="414"/>
      <c r="S957" s="414"/>
      <c r="T957" s="414"/>
      <c r="U957" s="414"/>
    </row>
    <row r="958" spans="5:21" ht="15.6">
      <c r="E958" s="1"/>
      <c r="F958" s="1"/>
      <c r="G958" s="1"/>
      <c r="H958" s="1"/>
      <c r="I958" s="1"/>
      <c r="J958" s="1"/>
      <c r="K958" s="1"/>
      <c r="P958" s="414"/>
      <c r="Q958" s="414"/>
      <c r="R958" s="414"/>
      <c r="S958" s="414"/>
      <c r="T958" s="414"/>
      <c r="U958" s="414"/>
    </row>
    <row r="959" spans="5:21" ht="15.6">
      <c r="E959" s="1"/>
      <c r="F959" s="1"/>
      <c r="G959" s="1"/>
      <c r="H959" s="1"/>
      <c r="I959" s="1"/>
      <c r="J959" s="1"/>
      <c r="K959" s="1"/>
      <c r="P959" s="414"/>
      <c r="Q959" s="414"/>
      <c r="R959" s="414"/>
      <c r="S959" s="414"/>
      <c r="T959" s="414"/>
      <c r="U959" s="414"/>
    </row>
    <row r="960" spans="5:21" ht="15.6">
      <c r="E960" s="1"/>
      <c r="F960" s="1"/>
      <c r="G960" s="1"/>
      <c r="H960" s="1"/>
      <c r="I960" s="1"/>
      <c r="J960" s="1"/>
      <c r="K960" s="1"/>
      <c r="P960" s="414"/>
      <c r="Q960" s="414"/>
      <c r="R960" s="414"/>
      <c r="S960" s="414"/>
      <c r="T960" s="414"/>
      <c r="U960" s="414"/>
    </row>
    <row r="961" spans="5:21" ht="15.6">
      <c r="E961" s="1"/>
      <c r="F961" s="1"/>
      <c r="G961" s="1"/>
      <c r="H961" s="1"/>
      <c r="I961" s="1"/>
      <c r="J961" s="1"/>
      <c r="K961" s="1"/>
      <c r="P961" s="414"/>
      <c r="Q961" s="414"/>
      <c r="R961" s="414"/>
      <c r="S961" s="414"/>
      <c r="T961" s="414"/>
      <c r="U961" s="414"/>
    </row>
    <row r="962" spans="5:21" ht="15.6">
      <c r="E962" s="1"/>
      <c r="F962" s="1"/>
      <c r="G962" s="1"/>
      <c r="H962" s="1"/>
      <c r="I962" s="1"/>
      <c r="J962" s="1"/>
      <c r="K962" s="1"/>
      <c r="P962" s="414"/>
      <c r="Q962" s="414"/>
      <c r="R962" s="414"/>
      <c r="S962" s="414"/>
      <c r="T962" s="414"/>
      <c r="U962" s="414"/>
    </row>
    <row r="963" spans="5:21" ht="15.6">
      <c r="E963" s="1"/>
      <c r="F963" s="1"/>
      <c r="G963" s="1"/>
      <c r="H963" s="1"/>
      <c r="I963" s="1"/>
      <c r="J963" s="1"/>
      <c r="K963" s="1"/>
      <c r="P963" s="414"/>
      <c r="Q963" s="414"/>
      <c r="R963" s="414"/>
      <c r="S963" s="414"/>
      <c r="T963" s="414"/>
      <c r="U963" s="414"/>
    </row>
    <row r="964" spans="5:21" ht="15.6">
      <c r="E964" s="1"/>
      <c r="F964" s="1"/>
      <c r="G964" s="1"/>
      <c r="H964" s="1"/>
      <c r="I964" s="1"/>
      <c r="J964" s="1"/>
      <c r="K964" s="1"/>
      <c r="P964" s="414"/>
      <c r="Q964" s="414"/>
      <c r="R964" s="414"/>
      <c r="S964" s="414"/>
      <c r="T964" s="414"/>
      <c r="U964" s="414"/>
    </row>
    <row r="965" spans="5:21" ht="15.6">
      <c r="E965" s="1"/>
      <c r="F965" s="1"/>
      <c r="G965" s="1"/>
      <c r="H965" s="1"/>
      <c r="I965" s="1"/>
      <c r="J965" s="1"/>
      <c r="K965" s="1"/>
      <c r="P965" s="414"/>
      <c r="Q965" s="414"/>
      <c r="R965" s="414"/>
      <c r="S965" s="414"/>
      <c r="T965" s="414"/>
      <c r="U965" s="414"/>
    </row>
    <row r="966" spans="5:21" ht="15.6">
      <c r="E966" s="1"/>
      <c r="F966" s="1"/>
      <c r="G966" s="1"/>
      <c r="H966" s="1"/>
      <c r="I966" s="1"/>
      <c r="J966" s="1"/>
      <c r="K966" s="1"/>
      <c r="P966" s="414"/>
      <c r="Q966" s="414"/>
      <c r="R966" s="414"/>
      <c r="S966" s="414"/>
      <c r="T966" s="414"/>
      <c r="U966" s="414"/>
    </row>
    <row r="967" spans="5:21" ht="15.6">
      <c r="E967" s="1"/>
      <c r="F967" s="1"/>
      <c r="G967" s="1"/>
      <c r="H967" s="1"/>
      <c r="I967" s="1"/>
      <c r="J967" s="1"/>
      <c r="K967" s="1"/>
      <c r="P967" s="414"/>
      <c r="Q967" s="414"/>
      <c r="R967" s="414"/>
      <c r="S967" s="414"/>
      <c r="T967" s="414"/>
      <c r="U967" s="414"/>
    </row>
    <row r="968" spans="5:21" ht="15.6">
      <c r="E968" s="1"/>
      <c r="F968" s="1"/>
      <c r="G968" s="1"/>
      <c r="H968" s="1"/>
      <c r="I968" s="1"/>
      <c r="J968" s="1"/>
      <c r="K968" s="1"/>
      <c r="P968" s="414"/>
      <c r="Q968" s="414"/>
      <c r="R968" s="414"/>
      <c r="S968" s="414"/>
      <c r="T968" s="414"/>
      <c r="U968" s="414"/>
    </row>
    <row r="969" spans="5:21" ht="15.6">
      <c r="E969" s="1"/>
      <c r="F969" s="1"/>
      <c r="G969" s="1"/>
      <c r="H969" s="1"/>
      <c r="I969" s="1"/>
      <c r="J969" s="1"/>
      <c r="K969" s="1"/>
      <c r="P969" s="414"/>
      <c r="Q969" s="414"/>
      <c r="R969" s="414"/>
      <c r="S969" s="414"/>
      <c r="T969" s="414"/>
      <c r="U969" s="414"/>
    </row>
    <row r="970" spans="5:21" ht="15.6">
      <c r="E970" s="1"/>
      <c r="F970" s="1"/>
      <c r="G970" s="1"/>
      <c r="H970" s="1"/>
      <c r="I970" s="1"/>
      <c r="J970" s="1"/>
      <c r="K970" s="1"/>
      <c r="P970" s="414"/>
      <c r="Q970" s="414"/>
      <c r="R970" s="414"/>
      <c r="S970" s="414"/>
      <c r="T970" s="414"/>
      <c r="U970" s="414"/>
    </row>
    <row r="971" spans="5:21" ht="15.6">
      <c r="E971" s="1"/>
      <c r="F971" s="1"/>
      <c r="G971" s="1"/>
      <c r="H971" s="1"/>
      <c r="I971" s="1"/>
      <c r="J971" s="1"/>
      <c r="K971" s="1"/>
      <c r="P971" s="414"/>
      <c r="Q971" s="414"/>
      <c r="R971" s="414"/>
      <c r="S971" s="414"/>
      <c r="T971" s="414"/>
      <c r="U971" s="414"/>
    </row>
    <row r="972" spans="5:21" ht="15.6">
      <c r="E972" s="1"/>
      <c r="F972" s="1"/>
      <c r="G972" s="1"/>
      <c r="H972" s="1"/>
      <c r="I972" s="1"/>
      <c r="J972" s="1"/>
      <c r="K972" s="1"/>
      <c r="P972" s="414"/>
      <c r="Q972" s="414"/>
      <c r="R972" s="414"/>
      <c r="S972" s="414"/>
      <c r="T972" s="414"/>
      <c r="U972" s="414"/>
    </row>
    <row r="973" spans="5:21" ht="15.6">
      <c r="E973" s="1"/>
      <c r="F973" s="1"/>
      <c r="G973" s="1"/>
      <c r="H973" s="1"/>
      <c r="I973" s="1"/>
      <c r="J973" s="1"/>
      <c r="K973" s="1"/>
      <c r="P973" s="414"/>
      <c r="Q973" s="414"/>
      <c r="R973" s="414"/>
      <c r="S973" s="414"/>
      <c r="T973" s="414"/>
      <c r="U973" s="414"/>
    </row>
    <row r="974" spans="5:21" ht="15.6">
      <c r="E974" s="1"/>
      <c r="F974" s="1"/>
      <c r="G974" s="1"/>
      <c r="H974" s="1"/>
      <c r="I974" s="1"/>
      <c r="J974" s="1"/>
      <c r="K974" s="1"/>
      <c r="P974" s="414"/>
      <c r="Q974" s="414"/>
      <c r="R974" s="414"/>
      <c r="S974" s="414"/>
      <c r="T974" s="414"/>
      <c r="U974" s="414"/>
    </row>
    <row r="975" spans="5:21" ht="15.6">
      <c r="E975" s="1"/>
      <c r="F975" s="1"/>
      <c r="G975" s="1"/>
      <c r="H975" s="1"/>
      <c r="I975" s="1"/>
      <c r="J975" s="1"/>
      <c r="K975" s="1"/>
      <c r="P975" s="414"/>
      <c r="Q975" s="414"/>
      <c r="R975" s="414"/>
      <c r="S975" s="414"/>
      <c r="T975" s="414"/>
      <c r="U975" s="414"/>
    </row>
    <row r="976" spans="5:21" ht="15.6">
      <c r="E976" s="1"/>
      <c r="F976" s="1"/>
      <c r="G976" s="1"/>
      <c r="H976" s="1"/>
      <c r="I976" s="1"/>
      <c r="J976" s="1"/>
      <c r="K976" s="1"/>
      <c r="P976" s="414"/>
      <c r="Q976" s="414"/>
      <c r="R976" s="414"/>
      <c r="S976" s="414"/>
      <c r="T976" s="414"/>
      <c r="U976" s="414"/>
    </row>
    <row r="977" spans="5:21" ht="15.6">
      <c r="E977" s="1"/>
      <c r="F977" s="1"/>
      <c r="G977" s="1"/>
      <c r="H977" s="1"/>
      <c r="I977" s="1"/>
      <c r="J977" s="1"/>
      <c r="K977" s="1"/>
      <c r="P977" s="414"/>
      <c r="Q977" s="414"/>
      <c r="R977" s="414"/>
      <c r="S977" s="414"/>
      <c r="T977" s="414"/>
      <c r="U977" s="414"/>
    </row>
    <row r="978" spans="5:21" ht="15.6">
      <c r="E978" s="1"/>
      <c r="F978" s="1"/>
      <c r="G978" s="1"/>
      <c r="H978" s="1"/>
      <c r="I978" s="1"/>
      <c r="J978" s="1"/>
      <c r="K978" s="1"/>
      <c r="P978" s="414"/>
      <c r="Q978" s="414"/>
      <c r="R978" s="414"/>
      <c r="S978" s="414"/>
      <c r="T978" s="414"/>
      <c r="U978" s="414"/>
    </row>
    <row r="979" spans="5:21" ht="15.6">
      <c r="E979" s="1"/>
      <c r="F979" s="1"/>
      <c r="G979" s="1"/>
      <c r="H979" s="1"/>
      <c r="I979" s="1"/>
      <c r="J979" s="1"/>
      <c r="K979" s="1"/>
      <c r="P979" s="414"/>
      <c r="Q979" s="414"/>
      <c r="R979" s="414"/>
      <c r="S979" s="414"/>
      <c r="T979" s="414"/>
      <c r="U979" s="414"/>
    </row>
    <row r="980" spans="5:21" ht="15.6">
      <c r="E980" s="1"/>
      <c r="F980" s="1"/>
      <c r="G980" s="1"/>
      <c r="H980" s="1"/>
      <c r="I980" s="1"/>
      <c r="J980" s="1"/>
      <c r="K980" s="1"/>
      <c r="P980" s="414"/>
      <c r="Q980" s="414"/>
      <c r="R980" s="414"/>
      <c r="S980" s="414"/>
      <c r="T980" s="414"/>
      <c r="U980" s="414"/>
    </row>
    <row r="981" spans="5:21" ht="15.6">
      <c r="E981" s="1"/>
      <c r="F981" s="1"/>
      <c r="G981" s="1"/>
      <c r="H981" s="1"/>
      <c r="I981" s="1"/>
      <c r="J981" s="1"/>
      <c r="K981" s="1"/>
      <c r="P981" s="414"/>
      <c r="Q981" s="414"/>
      <c r="R981" s="414"/>
      <c r="S981" s="414"/>
      <c r="T981" s="414"/>
      <c r="U981" s="414"/>
    </row>
    <row r="982" spans="5:21" ht="15.6">
      <c r="E982" s="1"/>
      <c r="F982" s="1"/>
      <c r="G982" s="1"/>
      <c r="H982" s="1"/>
      <c r="I982" s="1"/>
      <c r="J982" s="1"/>
      <c r="K982" s="1"/>
      <c r="P982" s="414"/>
      <c r="Q982" s="414"/>
      <c r="R982" s="414"/>
      <c r="S982" s="414"/>
      <c r="T982" s="414"/>
      <c r="U982" s="414"/>
    </row>
    <row r="983" spans="5:21" ht="15.6">
      <c r="E983" s="1"/>
      <c r="F983" s="1"/>
      <c r="G983" s="1"/>
      <c r="H983" s="1"/>
      <c r="I983" s="1"/>
      <c r="J983" s="1"/>
      <c r="K983" s="1"/>
      <c r="P983" s="414"/>
      <c r="Q983" s="414"/>
      <c r="R983" s="414"/>
      <c r="S983" s="414"/>
      <c r="T983" s="414"/>
      <c r="U983" s="414"/>
    </row>
    <row r="984" spans="5:21" ht="15.6">
      <c r="E984" s="1"/>
      <c r="F984" s="1"/>
      <c r="G984" s="1"/>
      <c r="H984" s="1"/>
      <c r="I984" s="1"/>
      <c r="J984" s="1"/>
      <c r="K984" s="1"/>
      <c r="P984" s="414"/>
      <c r="Q984" s="414"/>
      <c r="R984" s="414"/>
      <c r="S984" s="414"/>
      <c r="T984" s="414"/>
      <c r="U984" s="414"/>
    </row>
    <row r="985" spans="5:21" ht="15.6">
      <c r="E985" s="1"/>
      <c r="F985" s="1"/>
      <c r="G985" s="1"/>
      <c r="H985" s="1"/>
      <c r="I985" s="1"/>
      <c r="J985" s="1"/>
      <c r="K985" s="1"/>
      <c r="P985" s="414"/>
      <c r="Q985" s="414"/>
      <c r="R985" s="414"/>
      <c r="S985" s="414"/>
      <c r="T985" s="414"/>
      <c r="U985" s="414"/>
    </row>
    <row r="986" spans="5:21" ht="15.6">
      <c r="E986" s="1"/>
      <c r="F986" s="1"/>
      <c r="G986" s="1"/>
      <c r="H986" s="1"/>
      <c r="I986" s="1"/>
      <c r="J986" s="1"/>
      <c r="K986" s="1"/>
      <c r="P986" s="414"/>
      <c r="Q986" s="414"/>
      <c r="R986" s="414"/>
      <c r="S986" s="414"/>
      <c r="T986" s="414"/>
      <c r="U986" s="414"/>
    </row>
    <row r="987" spans="5:21" ht="15.6">
      <c r="E987" s="1"/>
      <c r="F987" s="1"/>
      <c r="G987" s="1"/>
      <c r="H987" s="1"/>
      <c r="I987" s="1"/>
      <c r="J987" s="1"/>
      <c r="K987" s="1"/>
      <c r="P987" s="414"/>
      <c r="Q987" s="414"/>
      <c r="R987" s="414"/>
      <c r="S987" s="414"/>
      <c r="T987" s="414"/>
      <c r="U987" s="414"/>
    </row>
    <row r="988" spans="5:21" ht="15.6">
      <c r="E988" s="1"/>
      <c r="F988" s="1"/>
      <c r="G988" s="1"/>
      <c r="H988" s="1"/>
      <c r="I988" s="1"/>
      <c r="J988" s="1"/>
      <c r="K988" s="1"/>
      <c r="P988" s="414"/>
      <c r="Q988" s="414"/>
      <c r="R988" s="414"/>
      <c r="S988" s="414"/>
      <c r="T988" s="414"/>
      <c r="U988" s="414"/>
    </row>
    <row r="989" spans="5:21" ht="15.6">
      <c r="E989" s="1"/>
      <c r="F989" s="1"/>
      <c r="G989" s="1"/>
      <c r="H989" s="1"/>
      <c r="I989" s="1"/>
      <c r="J989" s="1"/>
      <c r="K989" s="1"/>
      <c r="P989" s="414"/>
      <c r="Q989" s="414"/>
      <c r="R989" s="414"/>
      <c r="S989" s="414"/>
      <c r="T989" s="414"/>
      <c r="U989" s="414"/>
    </row>
    <row r="990" spans="5:21" ht="15.6">
      <c r="E990" s="1"/>
      <c r="F990" s="1"/>
      <c r="G990" s="1"/>
      <c r="H990" s="1"/>
      <c r="I990" s="1"/>
      <c r="J990" s="1"/>
      <c r="K990" s="1"/>
      <c r="P990" s="414"/>
      <c r="Q990" s="414"/>
      <c r="R990" s="414"/>
      <c r="S990" s="414"/>
      <c r="T990" s="414"/>
      <c r="U990" s="414"/>
    </row>
    <row r="991" spans="5:21" ht="15.6">
      <c r="E991" s="1"/>
      <c r="F991" s="1"/>
      <c r="G991" s="1"/>
      <c r="H991" s="1"/>
      <c r="I991" s="1"/>
      <c r="J991" s="1"/>
      <c r="K991" s="1"/>
      <c r="P991" s="414"/>
      <c r="Q991" s="414"/>
      <c r="R991" s="414"/>
      <c r="S991" s="414"/>
      <c r="T991" s="414"/>
      <c r="U991" s="414"/>
    </row>
    <row r="992" spans="5:21" ht="15.6">
      <c r="E992" s="1"/>
      <c r="F992" s="1"/>
      <c r="G992" s="1"/>
      <c r="H992" s="1"/>
      <c r="I992" s="1"/>
      <c r="J992" s="1"/>
      <c r="K992" s="1"/>
      <c r="P992" s="414"/>
      <c r="Q992" s="414"/>
      <c r="R992" s="414"/>
      <c r="S992" s="414"/>
      <c r="T992" s="414"/>
      <c r="U992" s="414"/>
    </row>
    <row r="993" spans="5:21" ht="15.6">
      <c r="E993" s="1"/>
      <c r="F993" s="1"/>
      <c r="G993" s="1"/>
      <c r="H993" s="1"/>
      <c r="I993" s="1"/>
      <c r="J993" s="1"/>
      <c r="K993" s="1"/>
      <c r="P993" s="414"/>
      <c r="Q993" s="414"/>
      <c r="R993" s="414"/>
      <c r="S993" s="414"/>
      <c r="T993" s="414"/>
      <c r="U993" s="414"/>
    </row>
    <row r="994" spans="5:21" ht="15.6">
      <c r="E994" s="1"/>
      <c r="F994" s="1"/>
      <c r="G994" s="1"/>
      <c r="H994" s="1"/>
      <c r="I994" s="1"/>
      <c r="J994" s="1"/>
      <c r="K994" s="1"/>
      <c r="P994" s="414"/>
      <c r="Q994" s="414"/>
      <c r="R994" s="414"/>
      <c r="S994" s="414"/>
      <c r="T994" s="414"/>
      <c r="U994" s="414"/>
    </row>
    <row r="995" spans="5:21" ht="15.6">
      <c r="E995" s="1"/>
      <c r="F995" s="1"/>
      <c r="G995" s="1"/>
      <c r="H995" s="1"/>
      <c r="I995" s="1"/>
      <c r="J995" s="1"/>
      <c r="K995" s="1"/>
      <c r="P995" s="414"/>
      <c r="Q995" s="414"/>
      <c r="R995" s="414"/>
      <c r="S995" s="414"/>
      <c r="T995" s="414"/>
      <c r="U995" s="414"/>
    </row>
    <row r="996" spans="5:21" ht="15.6">
      <c r="E996" s="1"/>
      <c r="F996" s="1"/>
      <c r="G996" s="1"/>
      <c r="H996" s="1"/>
      <c r="I996" s="1"/>
      <c r="J996" s="1"/>
      <c r="K996" s="1"/>
      <c r="P996" s="414"/>
      <c r="Q996" s="414"/>
      <c r="R996" s="414"/>
      <c r="S996" s="414"/>
      <c r="T996" s="414"/>
      <c r="U996" s="414"/>
    </row>
    <row r="997" spans="5:21" ht="15.6">
      <c r="E997" s="1"/>
      <c r="F997" s="1"/>
      <c r="G997" s="1"/>
      <c r="H997" s="1"/>
      <c r="I997" s="1"/>
      <c r="J997" s="1"/>
      <c r="K997" s="1"/>
      <c r="P997" s="414"/>
      <c r="Q997" s="414"/>
      <c r="R997" s="414"/>
      <c r="S997" s="414"/>
      <c r="T997" s="414"/>
      <c r="U997" s="414"/>
    </row>
  </sheetData>
  <mergeCells count="10">
    <mergeCell ref="D2:L2"/>
    <mergeCell ref="D4:L4"/>
    <mergeCell ref="E18:F18"/>
    <mergeCell ref="D21:L21"/>
    <mergeCell ref="E45:F45"/>
    <mergeCell ref="E77:F77"/>
    <mergeCell ref="E78:F78"/>
    <mergeCell ref="D80:L80"/>
    <mergeCell ref="E87:F87"/>
    <mergeCell ref="C48:L48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U997"/>
  <sheetViews>
    <sheetView topLeftCell="C25" zoomScaleNormal="100" workbookViewId="0">
      <selection activeCell="H37" sqref="H37"/>
    </sheetView>
  </sheetViews>
  <sheetFormatPr defaultColWidth="11.21875" defaultRowHeight="15"/>
  <cols>
    <col min="1" max="1" width="6.33203125" hidden="1" customWidth="1"/>
    <col min="2" max="2" width="6.77734375" hidden="1" customWidth="1"/>
    <col min="3" max="3" width="8.5546875" customWidth="1"/>
    <col min="4" max="4" width="10.109375" customWidth="1"/>
    <col min="5" max="5" width="9.5546875" customWidth="1"/>
    <col min="6" max="6" width="9.21875" customWidth="1"/>
    <col min="7" max="7" width="10.77734375" customWidth="1"/>
    <col min="8" max="8" width="10.33203125" customWidth="1"/>
    <col min="9" max="9" width="7.77734375" customWidth="1"/>
    <col min="10" max="10" width="9.109375" customWidth="1"/>
    <col min="11" max="11" width="8" customWidth="1"/>
    <col min="12" max="12" width="20.6640625" customWidth="1"/>
    <col min="13" max="13" width="8.5546875" customWidth="1"/>
    <col min="14" max="14" width="12.6640625" customWidth="1"/>
    <col min="15" max="15" width="8.6640625" hidden="1" customWidth="1"/>
    <col min="16" max="17" width="8.33203125" hidden="1" customWidth="1"/>
    <col min="18" max="18" width="6.21875" hidden="1" customWidth="1"/>
    <col min="19" max="19" width="11" hidden="1" customWidth="1"/>
    <col min="20" max="20" width="11.33203125" hidden="1" customWidth="1"/>
    <col min="21" max="21" width="9.77734375" hidden="1" customWidth="1"/>
    <col min="22" max="22" width="11.6640625" hidden="1" customWidth="1"/>
    <col min="23" max="23" width="2.33203125" hidden="1" customWidth="1"/>
    <col min="24" max="24" width="9.6640625" customWidth="1"/>
    <col min="25" max="47" width="8.5546875" customWidth="1"/>
  </cols>
  <sheetData>
    <row r="1" spans="2:21" ht="15.6">
      <c r="E1" s="1"/>
      <c r="F1" s="1"/>
      <c r="G1" s="1"/>
      <c r="H1" s="1"/>
      <c r="I1" s="1"/>
      <c r="J1" s="1"/>
      <c r="K1" s="1"/>
      <c r="P1" s="414"/>
      <c r="Q1" s="414"/>
      <c r="R1" s="414"/>
      <c r="S1" s="414"/>
      <c r="T1" s="414"/>
      <c r="U1" s="414"/>
    </row>
    <row r="2" spans="2:21" ht="21">
      <c r="D2" s="1226" t="s">
        <v>267</v>
      </c>
      <c r="E2" s="1382"/>
      <c r="F2" s="1382"/>
      <c r="G2" s="1382"/>
      <c r="H2" s="1382"/>
      <c r="I2" s="1382"/>
      <c r="J2" s="1382"/>
      <c r="K2" s="1382"/>
      <c r="L2" s="1382"/>
      <c r="P2" s="414"/>
      <c r="Q2" s="414"/>
      <c r="R2" s="414"/>
      <c r="S2" s="414"/>
      <c r="T2" s="414"/>
      <c r="U2" s="414"/>
    </row>
    <row r="3" spans="2:21" ht="18" customHeight="1" thickBot="1">
      <c r="E3" s="1"/>
      <c r="F3" s="1"/>
      <c r="G3" s="1"/>
      <c r="H3" s="1"/>
      <c r="I3" s="1"/>
      <c r="J3" s="1"/>
      <c r="K3" s="1"/>
      <c r="P3" s="414"/>
      <c r="Q3" s="414"/>
      <c r="R3" s="414"/>
      <c r="S3" s="414"/>
      <c r="T3" s="414"/>
      <c r="U3" s="414"/>
    </row>
    <row r="4" spans="2:21" ht="24" customHeight="1" thickBot="1">
      <c r="D4" s="1252" t="s">
        <v>268</v>
      </c>
      <c r="E4" s="1383"/>
      <c r="F4" s="1383"/>
      <c r="G4" s="1383"/>
      <c r="H4" s="1383"/>
      <c r="I4" s="1383"/>
      <c r="J4" s="1383"/>
      <c r="K4" s="1383"/>
      <c r="L4" s="1384"/>
      <c r="P4" s="414"/>
      <c r="Q4" s="414"/>
      <c r="R4" s="414"/>
      <c r="S4" s="414"/>
      <c r="T4" s="414"/>
      <c r="U4" s="414"/>
    </row>
    <row r="5" spans="2:21" ht="27" thickBot="1">
      <c r="B5" s="178"/>
      <c r="C5" s="179" t="s">
        <v>156</v>
      </c>
      <c r="D5" s="179" t="s">
        <v>31</v>
      </c>
      <c r="E5" s="180" t="s">
        <v>32</v>
      </c>
      <c r="F5" s="180" t="s">
        <v>33</v>
      </c>
      <c r="G5" s="180" t="s">
        <v>34</v>
      </c>
      <c r="H5" s="180" t="s">
        <v>35</v>
      </c>
      <c r="I5" s="181" t="s">
        <v>37</v>
      </c>
      <c r="J5" s="182" t="s">
        <v>38</v>
      </c>
      <c r="K5" s="182" t="s">
        <v>39</v>
      </c>
      <c r="L5" s="183" t="s">
        <v>40</v>
      </c>
      <c r="O5" s="415"/>
      <c r="P5" s="416" t="s">
        <v>269</v>
      </c>
      <c r="Q5" s="416" t="s">
        <v>270</v>
      </c>
      <c r="R5" s="416" t="s">
        <v>271</v>
      </c>
      <c r="S5" s="416" t="s">
        <v>272</v>
      </c>
      <c r="T5" s="417" t="s">
        <v>273</v>
      </c>
      <c r="U5" s="416" t="s">
        <v>274</v>
      </c>
    </row>
    <row r="6" spans="2:21" ht="15.6">
      <c r="B6" s="184"/>
      <c r="C6" s="282">
        <v>1</v>
      </c>
      <c r="D6" s="282" t="s">
        <v>41</v>
      </c>
      <c r="E6" s="283" t="s">
        <v>42</v>
      </c>
      <c r="F6" s="284">
        <v>28</v>
      </c>
      <c r="G6" s="278">
        <v>2051.0158273588454</v>
      </c>
      <c r="H6" s="278">
        <v>533.26411511329979</v>
      </c>
      <c r="I6" s="221">
        <v>74</v>
      </c>
      <c r="J6" s="278">
        <v>521</v>
      </c>
      <c r="K6" s="278">
        <v>435</v>
      </c>
      <c r="L6" s="445" t="s">
        <v>235</v>
      </c>
      <c r="N6" s="418"/>
      <c r="O6" s="419"/>
      <c r="P6" s="416">
        <v>28</v>
      </c>
      <c r="Q6" s="416">
        <v>1706</v>
      </c>
      <c r="R6" s="416">
        <v>580</v>
      </c>
      <c r="S6" s="416">
        <v>66</v>
      </c>
      <c r="T6" s="416">
        <v>995</v>
      </c>
      <c r="U6" s="416">
        <v>494</v>
      </c>
    </row>
    <row r="7" spans="2:21" ht="15.6">
      <c r="B7" s="184"/>
      <c r="C7" s="222">
        <v>2</v>
      </c>
      <c r="D7" s="222" t="s">
        <v>43</v>
      </c>
      <c r="E7" s="219" t="s">
        <v>44</v>
      </c>
      <c r="F7" s="220">
        <v>28</v>
      </c>
      <c r="G7" s="221">
        <v>1231.9335982362411</v>
      </c>
      <c r="H7" s="278">
        <v>628.28613510048297</v>
      </c>
      <c r="I7" s="221">
        <v>49</v>
      </c>
      <c r="J7" s="221">
        <v>606</v>
      </c>
      <c r="K7" s="221">
        <v>132</v>
      </c>
      <c r="L7" s="445" t="s">
        <v>235</v>
      </c>
      <c r="N7" s="418"/>
      <c r="O7" s="419"/>
      <c r="P7" s="416">
        <v>28</v>
      </c>
      <c r="Q7" s="416">
        <v>1132</v>
      </c>
      <c r="R7" s="416">
        <v>566</v>
      </c>
      <c r="S7" s="416">
        <v>50</v>
      </c>
      <c r="T7" s="416">
        <v>607</v>
      </c>
      <c r="U7" s="416">
        <v>147</v>
      </c>
    </row>
    <row r="8" spans="2:21" ht="15.6">
      <c r="B8" s="184"/>
      <c r="C8" s="222">
        <v>3</v>
      </c>
      <c r="D8" s="222" t="s">
        <v>45</v>
      </c>
      <c r="E8" s="219" t="s">
        <v>44</v>
      </c>
      <c r="F8" s="220">
        <v>32</v>
      </c>
      <c r="G8" s="221">
        <v>2223.5427159729697</v>
      </c>
      <c r="H8" s="278">
        <v>1027.276734779512</v>
      </c>
      <c r="I8" s="221">
        <v>53.8</v>
      </c>
      <c r="J8" s="221">
        <v>336</v>
      </c>
      <c r="K8" s="221">
        <v>261</v>
      </c>
      <c r="L8" s="445" t="s">
        <v>235</v>
      </c>
      <c r="N8" s="418"/>
      <c r="O8" s="419"/>
      <c r="P8" s="416">
        <v>32</v>
      </c>
      <c r="Q8" s="416">
        <v>2221</v>
      </c>
      <c r="R8" s="416">
        <v>1044</v>
      </c>
      <c r="S8" s="416">
        <v>53</v>
      </c>
      <c r="T8" s="416">
        <v>669</v>
      </c>
      <c r="U8" s="416">
        <v>249</v>
      </c>
    </row>
    <row r="9" spans="2:21" ht="15.6">
      <c r="B9" s="262"/>
      <c r="C9" s="263">
        <v>4</v>
      </c>
      <c r="D9" s="263" t="s">
        <v>46</v>
      </c>
      <c r="E9" s="192" t="s">
        <v>47</v>
      </c>
      <c r="F9" s="193">
        <v>40</v>
      </c>
      <c r="G9" s="194">
        <v>1782.6197918132709</v>
      </c>
      <c r="H9" s="446">
        <v>1140.8766667604934</v>
      </c>
      <c r="I9" s="194">
        <v>36</v>
      </c>
      <c r="J9" s="194">
        <v>310</v>
      </c>
      <c r="K9" s="194">
        <v>159</v>
      </c>
      <c r="L9" s="420"/>
      <c r="N9" s="421"/>
      <c r="O9" s="422"/>
      <c r="P9" s="416">
        <v>40</v>
      </c>
      <c r="Q9" s="416">
        <v>1755</v>
      </c>
      <c r="R9" s="416">
        <v>1141</v>
      </c>
      <c r="S9" s="416">
        <v>35</v>
      </c>
      <c r="T9" s="416">
        <v>311</v>
      </c>
      <c r="U9" s="416">
        <v>159</v>
      </c>
    </row>
    <row r="10" spans="2:21" ht="15.6">
      <c r="B10" s="262"/>
      <c r="C10" s="263">
        <v>5</v>
      </c>
      <c r="D10" s="263" t="s">
        <v>48</v>
      </c>
      <c r="E10" s="192" t="s">
        <v>47</v>
      </c>
      <c r="F10" s="193" t="s">
        <v>49</v>
      </c>
      <c r="G10" s="194">
        <v>1816.7772945869699</v>
      </c>
      <c r="H10" s="446">
        <v>1144.5696955897911</v>
      </c>
      <c r="I10" s="194">
        <v>37</v>
      </c>
      <c r="J10" s="194">
        <v>311</v>
      </c>
      <c r="K10" s="194">
        <v>174</v>
      </c>
      <c r="L10" s="420"/>
      <c r="N10" s="421"/>
      <c r="O10" s="422"/>
      <c r="P10" s="416">
        <v>48</v>
      </c>
      <c r="Q10" s="416">
        <v>1713</v>
      </c>
      <c r="R10" s="416">
        <v>1096</v>
      </c>
      <c r="S10" s="416">
        <v>36</v>
      </c>
      <c r="T10" s="416">
        <v>312</v>
      </c>
      <c r="U10" s="416">
        <v>150</v>
      </c>
    </row>
    <row r="11" spans="2:21" ht="15.6">
      <c r="B11" s="262"/>
      <c r="C11" s="222">
        <v>6</v>
      </c>
      <c r="D11" s="222" t="s">
        <v>50</v>
      </c>
      <c r="E11" s="219" t="s">
        <v>47</v>
      </c>
      <c r="F11" s="220" t="s">
        <v>51</v>
      </c>
      <c r="G11" s="221">
        <v>1468.6721560255978</v>
      </c>
      <c r="H11" s="447">
        <v>440.60164680767934</v>
      </c>
      <c r="I11" s="221">
        <v>70</v>
      </c>
      <c r="J11" s="221">
        <v>761</v>
      </c>
      <c r="K11" s="221">
        <v>145</v>
      </c>
      <c r="L11" s="445" t="s">
        <v>235</v>
      </c>
      <c r="N11" s="421"/>
      <c r="O11" s="422"/>
      <c r="P11" s="416">
        <v>24</v>
      </c>
      <c r="Q11" s="416">
        <v>1480</v>
      </c>
      <c r="R11" s="416">
        <v>444</v>
      </c>
      <c r="S11" s="416">
        <v>70</v>
      </c>
      <c r="T11" s="416">
        <v>762</v>
      </c>
      <c r="U11" s="416">
        <v>173</v>
      </c>
    </row>
    <row r="12" spans="2:21" ht="15.6">
      <c r="B12" s="262"/>
      <c r="C12" s="222">
        <v>7</v>
      </c>
      <c r="D12" s="222" t="s">
        <v>52</v>
      </c>
      <c r="E12" s="219" t="s">
        <v>103</v>
      </c>
      <c r="F12" s="220">
        <v>40</v>
      </c>
      <c r="G12" s="221">
        <v>1616.7991807010462</v>
      </c>
      <c r="H12" s="278">
        <v>630.55168047340806</v>
      </c>
      <c r="I12" s="221">
        <v>61</v>
      </c>
      <c r="J12" s="221">
        <v>448</v>
      </c>
      <c r="K12" s="221">
        <v>205</v>
      </c>
      <c r="L12" s="445" t="s">
        <v>235</v>
      </c>
      <c r="N12" s="421"/>
      <c r="O12" s="422"/>
      <c r="P12" s="416">
        <v>40</v>
      </c>
      <c r="Q12" s="416">
        <v>1652</v>
      </c>
      <c r="R12" s="416">
        <v>760</v>
      </c>
      <c r="S12" s="416">
        <v>54</v>
      </c>
      <c r="T12" s="416">
        <v>447</v>
      </c>
      <c r="U12" s="416">
        <v>159</v>
      </c>
    </row>
    <row r="13" spans="2:21" ht="15.6">
      <c r="B13" s="262"/>
      <c r="C13" s="263">
        <v>8</v>
      </c>
      <c r="D13" s="263" t="s">
        <v>53</v>
      </c>
      <c r="E13" s="192" t="s">
        <v>47</v>
      </c>
      <c r="F13" s="193" t="s">
        <v>51</v>
      </c>
      <c r="G13" s="194">
        <v>1459.7871867746981</v>
      </c>
      <c r="H13" s="446">
        <v>681.28268006775158</v>
      </c>
      <c r="I13" s="194">
        <v>53.33</v>
      </c>
      <c r="J13" s="194">
        <v>447</v>
      </c>
      <c r="K13" s="194">
        <v>348</v>
      </c>
      <c r="L13" s="420"/>
      <c r="N13" s="421"/>
      <c r="O13" s="422"/>
      <c r="P13" s="416">
        <v>28</v>
      </c>
      <c r="Q13" s="416">
        <v>1524</v>
      </c>
      <c r="R13" s="416">
        <v>686</v>
      </c>
      <c r="S13" s="416">
        <v>55</v>
      </c>
      <c r="T13" s="416">
        <v>446</v>
      </c>
      <c r="U13" s="416">
        <v>349</v>
      </c>
    </row>
    <row r="14" spans="2:21" ht="15.6">
      <c r="B14" s="262"/>
      <c r="C14" s="263">
        <v>9</v>
      </c>
      <c r="D14" s="263" t="s">
        <v>54</v>
      </c>
      <c r="E14" s="192" t="s">
        <v>47</v>
      </c>
      <c r="F14" s="193" t="s">
        <v>55</v>
      </c>
      <c r="G14" s="194">
        <v>1641.6851861515806</v>
      </c>
      <c r="H14" s="446">
        <v>761.74192637433339</v>
      </c>
      <c r="I14" s="194">
        <v>53.6</v>
      </c>
      <c r="J14" s="194">
        <v>495</v>
      </c>
      <c r="K14" s="194">
        <v>324</v>
      </c>
      <c r="L14" s="420"/>
      <c r="N14" s="421"/>
      <c r="O14" s="422"/>
      <c r="P14" s="416">
        <v>36</v>
      </c>
      <c r="Q14" s="416">
        <v>1633</v>
      </c>
      <c r="R14" s="416">
        <v>800</v>
      </c>
      <c r="S14" s="416">
        <v>51</v>
      </c>
      <c r="T14" s="416">
        <v>495</v>
      </c>
      <c r="U14" s="416">
        <v>333</v>
      </c>
    </row>
    <row r="15" spans="2:21" ht="15.6">
      <c r="B15" s="262"/>
      <c r="C15" s="222">
        <v>10</v>
      </c>
      <c r="D15" s="222" t="s">
        <v>56</v>
      </c>
      <c r="E15" s="219" t="s">
        <v>47</v>
      </c>
      <c r="F15" s="220">
        <v>44</v>
      </c>
      <c r="G15" s="221">
        <v>3810.7235282665083</v>
      </c>
      <c r="H15" s="447">
        <v>1524.2894113066034</v>
      </c>
      <c r="I15" s="221">
        <v>60</v>
      </c>
      <c r="J15" s="221">
        <v>281</v>
      </c>
      <c r="K15" s="221">
        <v>363</v>
      </c>
      <c r="L15" s="445" t="s">
        <v>235</v>
      </c>
      <c r="N15" s="421"/>
      <c r="O15" s="422"/>
      <c r="P15" s="416">
        <v>44</v>
      </c>
      <c r="Q15" s="416">
        <v>3902</v>
      </c>
      <c r="R15" s="416">
        <v>1600</v>
      </c>
      <c r="S15" s="416">
        <v>59</v>
      </c>
      <c r="T15" s="416">
        <v>311</v>
      </c>
      <c r="U15" s="416">
        <v>350</v>
      </c>
    </row>
    <row r="16" spans="2:21" ht="16.149999999999999" thickBot="1">
      <c r="B16" s="262"/>
      <c r="C16" s="263">
        <v>11</v>
      </c>
      <c r="D16" s="263" t="s">
        <v>57</v>
      </c>
      <c r="E16" s="192" t="s">
        <v>47</v>
      </c>
      <c r="F16" s="193" t="s">
        <v>55</v>
      </c>
      <c r="G16" s="194">
        <v>1796.4435341122739</v>
      </c>
      <c r="H16" s="446">
        <v>299.4671371365161</v>
      </c>
      <c r="I16" s="194">
        <v>83.33</v>
      </c>
      <c r="J16" s="194">
        <v>350</v>
      </c>
      <c r="K16" s="194">
        <v>261</v>
      </c>
      <c r="L16" s="420"/>
      <c r="N16" s="421"/>
      <c r="O16" s="422"/>
      <c r="P16" s="416">
        <v>28</v>
      </c>
      <c r="Q16" s="416">
        <v>1759</v>
      </c>
      <c r="R16" s="416">
        <v>299</v>
      </c>
      <c r="S16" s="416">
        <v>83</v>
      </c>
      <c r="T16" s="416">
        <v>340</v>
      </c>
      <c r="U16" s="416">
        <v>280</v>
      </c>
    </row>
    <row r="17" spans="2:24" ht="16.149999999999999" thickBot="1">
      <c r="D17" s="204"/>
      <c r="E17" s="205"/>
      <c r="F17" s="205"/>
      <c r="G17" s="206">
        <f>SUM(G6:G16)</f>
        <v>20900</v>
      </c>
      <c r="H17" s="206">
        <f>SUM(H6:H16)</f>
        <v>8812.2078295098709</v>
      </c>
      <c r="I17" s="207"/>
      <c r="J17" s="408"/>
      <c r="K17" s="207"/>
      <c r="P17" s="414"/>
      <c r="Q17" s="423">
        <f>SUM(Q6:Q16)</f>
        <v>20477</v>
      </c>
      <c r="R17" s="423">
        <f>SUM(R6:R16)</f>
        <v>9016</v>
      </c>
      <c r="S17" s="414"/>
      <c r="T17" s="414"/>
      <c r="U17" s="414"/>
    </row>
    <row r="18" spans="2:24" s="317" customFormat="1" ht="20.45" customHeight="1" thickBot="1">
      <c r="D18" s="1295" t="s">
        <v>168</v>
      </c>
      <c r="E18" s="1295"/>
      <c r="F18" s="1295"/>
      <c r="G18" s="337"/>
      <c r="H18" s="208">
        <v>8810</v>
      </c>
      <c r="I18" s="455"/>
      <c r="K18" s="337"/>
      <c r="P18" s="456"/>
      <c r="Q18" s="456"/>
      <c r="R18" s="456"/>
      <c r="S18" s="456"/>
      <c r="T18" s="456"/>
      <c r="U18" s="456"/>
    </row>
    <row r="19" spans="2:24" ht="15.6">
      <c r="E19" s="1"/>
      <c r="F19" s="1"/>
      <c r="G19" s="1"/>
      <c r="H19" s="1"/>
      <c r="I19" s="1"/>
      <c r="K19" s="1"/>
      <c r="P19" s="414"/>
      <c r="Q19" s="414"/>
      <c r="R19" s="414"/>
      <c r="S19" s="414"/>
      <c r="T19" s="414"/>
      <c r="U19" s="414"/>
    </row>
    <row r="20" spans="2:24" ht="16.149999999999999" thickBot="1">
      <c r="E20" s="1"/>
      <c r="F20" s="1"/>
      <c r="G20" s="1"/>
      <c r="H20" s="1"/>
      <c r="I20" s="1"/>
      <c r="J20" s="1"/>
      <c r="K20" s="1"/>
      <c r="P20" s="424"/>
      <c r="Q20" s="424"/>
      <c r="R20" s="424"/>
      <c r="S20" s="424"/>
      <c r="T20" s="424"/>
      <c r="U20" s="424"/>
    </row>
    <row r="21" spans="2:24" ht="28.5" customHeight="1" thickBot="1">
      <c r="D21" s="1252" t="s">
        <v>275</v>
      </c>
      <c r="E21" s="1383"/>
      <c r="F21" s="1383"/>
      <c r="G21" s="1383"/>
      <c r="H21" s="1383"/>
      <c r="I21" s="1383"/>
      <c r="J21" s="1383"/>
      <c r="K21" s="1383"/>
      <c r="L21" s="1384"/>
      <c r="P21" s="424"/>
      <c r="Q21" s="424"/>
      <c r="R21" s="424"/>
      <c r="S21" s="424"/>
      <c r="T21" s="424"/>
      <c r="U21" s="414"/>
      <c r="X21" s="303"/>
    </row>
    <row r="22" spans="2:24" ht="27" thickBot="1">
      <c r="B22" s="178"/>
      <c r="C22" s="179" t="s">
        <v>156</v>
      </c>
      <c r="D22" s="179" t="s">
        <v>31</v>
      </c>
      <c r="E22" s="180" t="s">
        <v>32</v>
      </c>
      <c r="F22" s="180" t="s">
        <v>33</v>
      </c>
      <c r="G22" s="180" t="s">
        <v>34</v>
      </c>
      <c r="H22" s="180" t="s">
        <v>35</v>
      </c>
      <c r="I22" s="180" t="s">
        <v>37</v>
      </c>
      <c r="J22" s="182" t="s">
        <v>38</v>
      </c>
      <c r="K22" s="182" t="s">
        <v>39</v>
      </c>
      <c r="L22" s="183" t="s">
        <v>40</v>
      </c>
      <c r="P22" s="424"/>
      <c r="Q22" s="424"/>
      <c r="R22" s="414" t="s">
        <v>276</v>
      </c>
      <c r="S22" s="414" t="s">
        <v>277</v>
      </c>
      <c r="T22" s="414" t="s">
        <v>278</v>
      </c>
      <c r="U22" s="414" t="s">
        <v>37</v>
      </c>
      <c r="V22" s="414" t="s">
        <v>38</v>
      </c>
      <c r="W22" s="414" t="s">
        <v>39</v>
      </c>
      <c r="X22" s="303"/>
    </row>
    <row r="23" spans="2:24" ht="15.6">
      <c r="B23" s="209"/>
      <c r="C23" s="222">
        <v>1</v>
      </c>
      <c r="D23" s="450" t="s">
        <v>59</v>
      </c>
      <c r="E23" s="219" t="s">
        <v>60</v>
      </c>
      <c r="F23" s="278">
        <v>56</v>
      </c>
      <c r="G23" s="221">
        <v>967</v>
      </c>
      <c r="H23" s="436">
        <v>948</v>
      </c>
      <c r="I23" s="221">
        <v>2</v>
      </c>
      <c r="J23" s="221">
        <v>2018</v>
      </c>
      <c r="K23" s="221">
        <v>145</v>
      </c>
      <c r="L23" s="287" t="s">
        <v>335</v>
      </c>
      <c r="P23" s="425"/>
      <c r="Q23" s="414" t="s">
        <v>279</v>
      </c>
      <c r="R23" s="414">
        <v>56</v>
      </c>
      <c r="S23" s="414">
        <v>967</v>
      </c>
      <c r="T23" s="414">
        <v>948</v>
      </c>
      <c r="U23" s="414">
        <v>2</v>
      </c>
      <c r="V23" s="414">
        <v>2018</v>
      </c>
      <c r="W23" s="414">
        <v>145</v>
      </c>
    </row>
    <row r="24" spans="2:24" ht="15.6">
      <c r="B24" s="209"/>
      <c r="C24" s="263">
        <v>2</v>
      </c>
      <c r="D24" s="451" t="s">
        <v>61</v>
      </c>
      <c r="E24" s="254" t="s">
        <v>62</v>
      </c>
      <c r="F24" s="295">
        <v>28</v>
      </c>
      <c r="G24" s="197">
        <v>888</v>
      </c>
      <c r="H24" s="438">
        <v>355</v>
      </c>
      <c r="I24" s="197">
        <v>60</v>
      </c>
      <c r="J24" s="197">
        <v>782</v>
      </c>
      <c r="K24" s="197">
        <v>377</v>
      </c>
      <c r="L24" s="290"/>
      <c r="P24" s="425"/>
      <c r="Q24" s="414" t="s">
        <v>280</v>
      </c>
      <c r="R24" s="414">
        <v>28</v>
      </c>
      <c r="S24" s="414">
        <v>888</v>
      </c>
      <c r="T24" s="414">
        <v>355</v>
      </c>
      <c r="U24" s="220">
        <v>60</v>
      </c>
      <c r="V24" s="414">
        <v>782</v>
      </c>
      <c r="W24" s="414">
        <v>377</v>
      </c>
    </row>
    <row r="25" spans="2:24" ht="15.6">
      <c r="B25" s="209"/>
      <c r="C25" s="222">
        <v>3</v>
      </c>
      <c r="D25" s="450" t="s">
        <v>64</v>
      </c>
      <c r="E25" s="219" t="s">
        <v>65</v>
      </c>
      <c r="F25" s="278">
        <v>32</v>
      </c>
      <c r="G25" s="221">
        <v>2666</v>
      </c>
      <c r="H25" s="436">
        <v>1733</v>
      </c>
      <c r="I25" s="221">
        <v>35</v>
      </c>
      <c r="J25" s="221">
        <v>430</v>
      </c>
      <c r="K25" s="221">
        <v>435</v>
      </c>
      <c r="L25" s="287" t="s">
        <v>289</v>
      </c>
      <c r="P25" s="425"/>
      <c r="Q25" s="414" t="s">
        <v>282</v>
      </c>
      <c r="R25" s="414">
        <v>32</v>
      </c>
      <c r="S25" s="414">
        <v>2666</v>
      </c>
      <c r="T25" s="414">
        <v>1733</v>
      </c>
      <c r="U25" s="414">
        <v>35</v>
      </c>
      <c r="V25" s="414">
        <v>430</v>
      </c>
      <c r="W25" s="414">
        <v>435</v>
      </c>
    </row>
    <row r="26" spans="2:24" s="266" customFormat="1" ht="15.6">
      <c r="B26" s="265"/>
      <c r="C26" s="263">
        <v>4</v>
      </c>
      <c r="D26" s="451" t="s">
        <v>69</v>
      </c>
      <c r="E26" s="254" t="s">
        <v>70</v>
      </c>
      <c r="F26" s="295">
        <v>24</v>
      </c>
      <c r="G26" s="197">
        <v>963</v>
      </c>
      <c r="H26" s="438">
        <v>347</v>
      </c>
      <c r="I26" s="197">
        <v>64</v>
      </c>
      <c r="J26" s="197">
        <v>2411</v>
      </c>
      <c r="K26" s="197">
        <v>841</v>
      </c>
      <c r="L26" s="290"/>
      <c r="N26" s="448"/>
      <c r="P26" s="442"/>
      <c r="Q26" s="443" t="s">
        <v>283</v>
      </c>
      <c r="R26" s="443">
        <v>24</v>
      </c>
      <c r="S26" s="443">
        <v>963</v>
      </c>
      <c r="T26" s="443">
        <v>347</v>
      </c>
      <c r="U26" s="443">
        <v>64</v>
      </c>
      <c r="V26" s="443">
        <v>2411</v>
      </c>
      <c r="W26" s="443">
        <v>841</v>
      </c>
    </row>
    <row r="27" spans="2:24" s="266" customFormat="1" ht="15.6">
      <c r="B27" s="265"/>
      <c r="C27" s="263">
        <v>5</v>
      </c>
      <c r="D27" s="451" t="s">
        <v>71</v>
      </c>
      <c r="E27" s="254" t="s">
        <v>72</v>
      </c>
      <c r="F27" s="295">
        <v>28</v>
      </c>
      <c r="G27" s="197">
        <v>859</v>
      </c>
      <c r="H27" s="438">
        <v>326</v>
      </c>
      <c r="I27" s="197">
        <v>62</v>
      </c>
      <c r="J27" s="197">
        <v>3000</v>
      </c>
      <c r="K27" s="197">
        <v>841</v>
      </c>
      <c r="L27" s="290"/>
      <c r="N27" s="448"/>
      <c r="P27" s="442"/>
      <c r="Q27" s="443" t="s">
        <v>284</v>
      </c>
      <c r="R27" s="443">
        <v>28</v>
      </c>
      <c r="S27" s="443">
        <v>859</v>
      </c>
      <c r="T27" s="443">
        <v>326</v>
      </c>
      <c r="U27" s="443">
        <v>62</v>
      </c>
      <c r="V27" s="443">
        <v>3000</v>
      </c>
      <c r="W27" s="443">
        <v>841</v>
      </c>
    </row>
    <row r="28" spans="2:24" ht="15.6">
      <c r="B28" s="209"/>
      <c r="C28" s="210">
        <v>6</v>
      </c>
      <c r="D28" s="449" t="s">
        <v>73</v>
      </c>
      <c r="E28" s="192" t="s">
        <v>72</v>
      </c>
      <c r="F28" s="188">
        <v>44</v>
      </c>
      <c r="G28" s="194">
        <v>1099</v>
      </c>
      <c r="H28" s="433">
        <v>659</v>
      </c>
      <c r="I28" s="194">
        <v>40</v>
      </c>
      <c r="J28" s="194">
        <v>3206</v>
      </c>
      <c r="K28" s="194">
        <v>493</v>
      </c>
      <c r="L28" s="212"/>
      <c r="P28" s="425"/>
      <c r="Q28" s="414" t="s">
        <v>285</v>
      </c>
      <c r="R28" s="414">
        <v>44</v>
      </c>
      <c r="S28" s="414">
        <v>1099</v>
      </c>
      <c r="T28" s="414">
        <v>659</v>
      </c>
      <c r="U28" s="414">
        <v>40</v>
      </c>
      <c r="V28" s="414">
        <v>3206</v>
      </c>
      <c r="W28" s="414">
        <v>493</v>
      </c>
    </row>
    <row r="29" spans="2:24" ht="15.6">
      <c r="B29" s="209"/>
      <c r="C29" s="222">
        <v>7</v>
      </c>
      <c r="D29" s="450" t="s">
        <v>74</v>
      </c>
      <c r="E29" s="219" t="s">
        <v>75</v>
      </c>
      <c r="F29" s="278">
        <v>36</v>
      </c>
      <c r="G29" s="221">
        <v>3196</v>
      </c>
      <c r="H29" s="436">
        <v>1406</v>
      </c>
      <c r="I29" s="221">
        <v>56</v>
      </c>
      <c r="J29" s="221">
        <v>1306</v>
      </c>
      <c r="K29" s="221">
        <v>812</v>
      </c>
      <c r="L29" s="287" t="s">
        <v>289</v>
      </c>
      <c r="P29" s="425"/>
      <c r="Q29" s="414" t="s">
        <v>286</v>
      </c>
      <c r="R29" s="414">
        <v>36</v>
      </c>
      <c r="S29" s="414">
        <v>3196</v>
      </c>
      <c r="T29" s="414">
        <v>1406</v>
      </c>
      <c r="U29" s="414">
        <v>56</v>
      </c>
      <c r="V29" s="414">
        <v>1306</v>
      </c>
      <c r="W29" s="414">
        <v>812</v>
      </c>
    </row>
    <row r="30" spans="2:24">
      <c r="B30" s="209"/>
      <c r="C30" s="222">
        <v>8</v>
      </c>
      <c r="D30" s="450" t="s">
        <v>76</v>
      </c>
      <c r="E30" s="219" t="s">
        <v>77</v>
      </c>
      <c r="F30" s="278">
        <v>20</v>
      </c>
      <c r="G30" s="221">
        <v>717</v>
      </c>
      <c r="H30" s="436">
        <v>323</v>
      </c>
      <c r="I30" s="221">
        <v>55</v>
      </c>
      <c r="J30" s="221">
        <v>264</v>
      </c>
      <c r="K30" s="221">
        <v>203</v>
      </c>
      <c r="L30" s="287" t="s">
        <v>289</v>
      </c>
    </row>
    <row r="31" spans="2:24" ht="15.6">
      <c r="B31" s="209"/>
      <c r="C31" s="263">
        <v>9</v>
      </c>
      <c r="D31" s="451" t="s">
        <v>78</v>
      </c>
      <c r="E31" s="254" t="s">
        <v>79</v>
      </c>
      <c r="F31" s="295">
        <v>52</v>
      </c>
      <c r="G31" s="197">
        <v>1046</v>
      </c>
      <c r="H31" s="438">
        <v>1025</v>
      </c>
      <c r="I31" s="197">
        <v>2</v>
      </c>
      <c r="J31" s="197">
        <v>553</v>
      </c>
      <c r="K31" s="197">
        <v>218</v>
      </c>
      <c r="L31" s="290"/>
      <c r="P31" s="425"/>
      <c r="Q31" s="414" t="s">
        <v>287</v>
      </c>
      <c r="R31" s="414">
        <v>52</v>
      </c>
      <c r="S31" s="414">
        <v>1046</v>
      </c>
      <c r="T31" s="414">
        <v>1025</v>
      </c>
      <c r="U31" s="414">
        <v>2</v>
      </c>
      <c r="V31" s="414">
        <v>553</v>
      </c>
      <c r="W31" s="414">
        <v>218</v>
      </c>
    </row>
    <row r="32" spans="2:24" ht="15.6">
      <c r="B32" s="209"/>
      <c r="C32" s="263">
        <v>10</v>
      </c>
      <c r="D32" s="451" t="s">
        <v>80</v>
      </c>
      <c r="E32" s="254" t="s">
        <v>81</v>
      </c>
      <c r="F32" s="295">
        <v>32</v>
      </c>
      <c r="G32" s="197">
        <v>1639</v>
      </c>
      <c r="H32" s="438">
        <v>492</v>
      </c>
      <c r="I32" s="197">
        <v>70</v>
      </c>
      <c r="J32" s="197">
        <v>1849</v>
      </c>
      <c r="K32" s="197">
        <v>609</v>
      </c>
      <c r="L32" s="290"/>
      <c r="P32" s="425"/>
      <c r="Q32" s="414" t="s">
        <v>288</v>
      </c>
      <c r="R32" s="414">
        <v>32</v>
      </c>
      <c r="S32" s="414">
        <v>1639</v>
      </c>
      <c r="T32" s="414">
        <v>492</v>
      </c>
      <c r="U32" s="414">
        <v>70</v>
      </c>
      <c r="V32" s="414">
        <v>1849</v>
      </c>
      <c r="W32" s="414">
        <v>609</v>
      </c>
    </row>
    <row r="33" spans="1:47" ht="15.6">
      <c r="B33" s="209"/>
      <c r="C33" s="263">
        <v>11</v>
      </c>
      <c r="D33" s="451" t="s">
        <v>82</v>
      </c>
      <c r="E33" s="254" t="s">
        <v>65</v>
      </c>
      <c r="F33" s="295">
        <v>28</v>
      </c>
      <c r="G33" s="197">
        <v>1023</v>
      </c>
      <c r="H33" s="438">
        <v>1003</v>
      </c>
      <c r="I33" s="197">
        <v>13</v>
      </c>
      <c r="J33" s="197">
        <v>587</v>
      </c>
      <c r="K33" s="197">
        <v>464</v>
      </c>
      <c r="L33" s="290"/>
      <c r="P33" s="425"/>
      <c r="Q33" s="414" t="s">
        <v>290</v>
      </c>
      <c r="R33" s="414">
        <v>28</v>
      </c>
      <c r="S33" s="414">
        <v>1023</v>
      </c>
      <c r="T33" s="414">
        <v>1003</v>
      </c>
      <c r="U33" s="414">
        <v>13</v>
      </c>
      <c r="V33" s="414">
        <v>587</v>
      </c>
      <c r="W33" s="414">
        <v>464</v>
      </c>
    </row>
    <row r="34" spans="1:47" s="266" customFormat="1" ht="15.6">
      <c r="B34" s="265"/>
      <c r="C34" s="222">
        <v>12</v>
      </c>
      <c r="D34" s="450" t="s">
        <v>83</v>
      </c>
      <c r="E34" s="219" t="s">
        <v>84</v>
      </c>
      <c r="F34" s="278">
        <v>44</v>
      </c>
      <c r="G34" s="221">
        <v>3273</v>
      </c>
      <c r="H34" s="436">
        <v>1047</v>
      </c>
      <c r="I34" s="221">
        <v>68</v>
      </c>
      <c r="J34" s="221">
        <v>4131</v>
      </c>
      <c r="K34" s="221">
        <v>1218</v>
      </c>
      <c r="L34" s="287" t="s">
        <v>289</v>
      </c>
      <c r="N34" s="448"/>
      <c r="P34" s="442"/>
      <c r="Q34" s="443" t="s">
        <v>291</v>
      </c>
      <c r="R34" s="443">
        <v>44</v>
      </c>
      <c r="S34" s="443">
        <v>3273</v>
      </c>
      <c r="T34" s="443">
        <v>1047</v>
      </c>
      <c r="U34" s="443">
        <v>68</v>
      </c>
      <c r="V34" s="443">
        <v>4131</v>
      </c>
      <c r="W34" s="443">
        <v>1218</v>
      </c>
    </row>
    <row r="35" spans="1:47" ht="15.6">
      <c r="B35" s="209"/>
      <c r="C35" s="210">
        <v>13</v>
      </c>
      <c r="D35" s="449" t="s">
        <v>85</v>
      </c>
      <c r="E35" s="192" t="s">
        <v>72</v>
      </c>
      <c r="F35" s="188">
        <v>32</v>
      </c>
      <c r="G35" s="194">
        <v>1427</v>
      </c>
      <c r="H35" s="433">
        <v>899</v>
      </c>
      <c r="I35" s="194">
        <v>37</v>
      </c>
      <c r="J35" s="194">
        <v>1058</v>
      </c>
      <c r="K35" s="194">
        <v>522</v>
      </c>
      <c r="L35" s="212"/>
      <c r="P35" s="425"/>
      <c r="Q35" s="414" t="s">
        <v>292</v>
      </c>
      <c r="R35" s="414">
        <v>32</v>
      </c>
      <c r="S35" s="414">
        <v>1427</v>
      </c>
      <c r="T35" s="414">
        <v>899</v>
      </c>
      <c r="U35" s="414">
        <v>37</v>
      </c>
      <c r="V35" s="414">
        <v>1058</v>
      </c>
      <c r="W35" s="414">
        <v>522</v>
      </c>
    </row>
    <row r="36" spans="1:47" ht="15.6">
      <c r="B36" s="209"/>
      <c r="C36" s="263">
        <v>14</v>
      </c>
      <c r="D36" s="451" t="s">
        <v>86</v>
      </c>
      <c r="E36" s="254" t="s">
        <v>87</v>
      </c>
      <c r="F36" s="295">
        <v>28</v>
      </c>
      <c r="G36" s="197">
        <v>901</v>
      </c>
      <c r="H36" s="438">
        <v>405</v>
      </c>
      <c r="I36" s="197">
        <v>55</v>
      </c>
      <c r="J36" s="197">
        <v>5513</v>
      </c>
      <c r="K36" s="197">
        <v>2030</v>
      </c>
      <c r="L36" s="290"/>
      <c r="P36" s="425"/>
      <c r="Q36" s="414" t="s">
        <v>293</v>
      </c>
      <c r="R36" s="414">
        <v>28</v>
      </c>
      <c r="S36" s="414">
        <v>901</v>
      </c>
      <c r="T36" s="414">
        <v>405</v>
      </c>
      <c r="U36" s="414">
        <v>55</v>
      </c>
      <c r="V36" s="414">
        <v>5513</v>
      </c>
      <c r="W36" s="414">
        <v>2030</v>
      </c>
    </row>
    <row r="37" spans="1:47" ht="15.6">
      <c r="B37" s="209"/>
      <c r="C37" s="222">
        <v>15</v>
      </c>
      <c r="D37" s="450" t="s">
        <v>88</v>
      </c>
      <c r="E37" s="219" t="s">
        <v>89</v>
      </c>
      <c r="F37" s="278">
        <v>28</v>
      </c>
      <c r="G37" s="221">
        <v>1172</v>
      </c>
      <c r="H37" s="436">
        <v>527</v>
      </c>
      <c r="I37" s="221">
        <v>55</v>
      </c>
      <c r="J37" s="221">
        <v>2051</v>
      </c>
      <c r="K37" s="221">
        <v>522</v>
      </c>
      <c r="L37" s="287" t="s">
        <v>289</v>
      </c>
      <c r="P37" s="425"/>
      <c r="Q37" s="414" t="s">
        <v>294</v>
      </c>
      <c r="R37" s="414">
        <v>28</v>
      </c>
      <c r="S37" s="414">
        <v>1172</v>
      </c>
      <c r="T37" s="414">
        <v>527</v>
      </c>
      <c r="U37" s="414">
        <v>55</v>
      </c>
      <c r="V37" s="414">
        <v>2051</v>
      </c>
      <c r="W37" s="414">
        <v>522</v>
      </c>
    </row>
    <row r="38" spans="1:47" ht="15.6">
      <c r="B38" s="209"/>
      <c r="C38" s="263">
        <v>16</v>
      </c>
      <c r="D38" s="451" t="s">
        <v>90</v>
      </c>
      <c r="E38" s="254" t="s">
        <v>84</v>
      </c>
      <c r="F38" s="295">
        <v>48</v>
      </c>
      <c r="G38" s="197">
        <v>547</v>
      </c>
      <c r="H38" s="197">
        <v>509</v>
      </c>
      <c r="I38" s="197">
        <v>6.5</v>
      </c>
      <c r="J38" s="197">
        <v>6498</v>
      </c>
      <c r="K38" s="197">
        <v>550</v>
      </c>
      <c r="L38" s="290"/>
      <c r="P38" s="425"/>
      <c r="Q38" s="414" t="s">
        <v>295</v>
      </c>
      <c r="R38" s="414">
        <v>48</v>
      </c>
      <c r="S38" s="414">
        <v>547</v>
      </c>
      <c r="T38" s="414">
        <v>509</v>
      </c>
      <c r="U38" s="414">
        <v>6.5</v>
      </c>
      <c r="V38" s="414">
        <v>6498</v>
      </c>
      <c r="W38" s="414">
        <v>550</v>
      </c>
    </row>
    <row r="39" spans="1:47" ht="15.6">
      <c r="B39" s="209"/>
      <c r="C39" s="210">
        <v>17</v>
      </c>
      <c r="D39" s="449" t="s">
        <v>91</v>
      </c>
      <c r="E39" s="192" t="s">
        <v>89</v>
      </c>
      <c r="F39" s="188">
        <v>36</v>
      </c>
      <c r="G39" s="194">
        <v>497</v>
      </c>
      <c r="H39" s="194">
        <v>496</v>
      </c>
      <c r="I39" s="194">
        <v>0.3</v>
      </c>
      <c r="J39" s="194">
        <v>1297</v>
      </c>
      <c r="K39" s="194">
        <v>200</v>
      </c>
      <c r="L39" s="212"/>
      <c r="P39" s="425"/>
      <c r="Q39" s="414" t="s">
        <v>296</v>
      </c>
      <c r="R39" s="414">
        <v>36</v>
      </c>
      <c r="S39" s="414">
        <v>497</v>
      </c>
      <c r="T39" s="414">
        <v>496</v>
      </c>
      <c r="U39" s="414">
        <v>0.3</v>
      </c>
      <c r="V39" s="414">
        <v>1297</v>
      </c>
      <c r="W39" s="414">
        <v>200</v>
      </c>
    </row>
    <row r="40" spans="1:47" s="439" customFormat="1" ht="15.6">
      <c r="B40" s="262"/>
      <c r="C40" s="263">
        <v>18</v>
      </c>
      <c r="D40" s="449" t="s">
        <v>92</v>
      </c>
      <c r="E40" s="254" t="s">
        <v>93</v>
      </c>
      <c r="F40" s="295">
        <v>24</v>
      </c>
      <c r="G40" s="197">
        <v>651</v>
      </c>
      <c r="H40" s="197">
        <v>378</v>
      </c>
      <c r="I40" s="197">
        <v>42</v>
      </c>
      <c r="J40" s="197">
        <v>373</v>
      </c>
      <c r="K40" s="197">
        <v>174</v>
      </c>
      <c r="L40" s="290"/>
      <c r="P40" s="440"/>
      <c r="Q40" s="441" t="s">
        <v>297</v>
      </c>
      <c r="R40" s="441">
        <v>24</v>
      </c>
      <c r="S40" s="441">
        <v>651</v>
      </c>
      <c r="T40" s="441">
        <v>378</v>
      </c>
      <c r="U40" s="441">
        <v>42</v>
      </c>
      <c r="V40" s="441">
        <v>373</v>
      </c>
      <c r="W40" s="441">
        <v>174</v>
      </c>
    </row>
    <row r="41" spans="1:47" ht="15.6">
      <c r="B41" s="209"/>
      <c r="C41" s="222">
        <v>19</v>
      </c>
      <c r="D41" s="450" t="s">
        <v>94</v>
      </c>
      <c r="E41" s="219" t="s">
        <v>67</v>
      </c>
      <c r="F41" s="278">
        <v>32</v>
      </c>
      <c r="G41" s="221">
        <v>1600</v>
      </c>
      <c r="H41" s="221">
        <v>912</v>
      </c>
      <c r="I41" s="221">
        <v>43</v>
      </c>
      <c r="J41" s="221">
        <v>258</v>
      </c>
      <c r="K41" s="221">
        <v>450</v>
      </c>
      <c r="L41" s="287" t="s">
        <v>289</v>
      </c>
      <c r="P41" s="425"/>
      <c r="Q41" s="414" t="s">
        <v>298</v>
      </c>
      <c r="R41" s="414">
        <v>32</v>
      </c>
      <c r="S41" s="414">
        <v>1600</v>
      </c>
      <c r="T41" s="414">
        <v>912</v>
      </c>
      <c r="U41" s="414">
        <v>43</v>
      </c>
      <c r="V41" s="414">
        <v>258</v>
      </c>
      <c r="W41" s="414">
        <v>450</v>
      </c>
    </row>
    <row r="42" spans="1:47" ht="15.6">
      <c r="B42" s="209"/>
      <c r="C42" s="263">
        <v>20</v>
      </c>
      <c r="D42" s="451" t="s">
        <v>95</v>
      </c>
      <c r="E42" s="254" t="s">
        <v>65</v>
      </c>
      <c r="F42" s="295">
        <v>20</v>
      </c>
      <c r="G42" s="197">
        <v>576</v>
      </c>
      <c r="H42" s="197">
        <v>426</v>
      </c>
      <c r="I42" s="197">
        <v>26</v>
      </c>
      <c r="J42" s="197">
        <v>415</v>
      </c>
      <c r="K42" s="197">
        <v>348</v>
      </c>
      <c r="L42" s="290"/>
      <c r="P42" s="425"/>
      <c r="Q42" s="414" t="s">
        <v>299</v>
      </c>
      <c r="R42" s="414">
        <v>20</v>
      </c>
      <c r="S42" s="414">
        <v>576</v>
      </c>
      <c r="T42" s="414">
        <v>426</v>
      </c>
      <c r="U42" s="414">
        <v>26</v>
      </c>
      <c r="V42" s="414">
        <v>415</v>
      </c>
      <c r="W42" s="414">
        <v>348</v>
      </c>
    </row>
    <row r="43" spans="1:47" s="439" customFormat="1" ht="16.149999999999999" thickBot="1">
      <c r="B43" s="262"/>
      <c r="C43" s="289">
        <v>21</v>
      </c>
      <c r="D43" s="258" t="s">
        <v>96</v>
      </c>
      <c r="E43" s="258" t="s">
        <v>67</v>
      </c>
      <c r="F43" s="278">
        <v>36</v>
      </c>
      <c r="G43" s="221">
        <v>2120</v>
      </c>
      <c r="H43" s="221">
        <v>954</v>
      </c>
      <c r="I43" s="221">
        <v>55</v>
      </c>
      <c r="J43" s="221">
        <v>450</v>
      </c>
      <c r="K43" s="221">
        <v>406</v>
      </c>
      <c r="L43" s="287" t="s">
        <v>289</v>
      </c>
      <c r="P43" s="440"/>
      <c r="Q43" s="441" t="s">
        <v>300</v>
      </c>
      <c r="R43" s="441">
        <v>36</v>
      </c>
      <c r="S43" s="441">
        <v>2120</v>
      </c>
      <c r="T43" s="441">
        <v>954</v>
      </c>
      <c r="U43" s="441">
        <v>55</v>
      </c>
      <c r="V43" s="441">
        <v>450</v>
      </c>
      <c r="W43" s="441">
        <v>406</v>
      </c>
    </row>
    <row r="44" spans="1:47" ht="15.6">
      <c r="D44" s="204"/>
      <c r="E44" s="205"/>
      <c r="F44" s="205"/>
      <c r="G44" s="194">
        <f>SUM(G23:G43)</f>
        <v>27827</v>
      </c>
      <c r="H44" s="194">
        <f>SUM(H23:H43)</f>
        <v>15170</v>
      </c>
      <c r="I44" s="458"/>
      <c r="J44" s="459"/>
      <c r="K44" s="459"/>
      <c r="P44" s="426"/>
      <c r="Q44" s="414"/>
      <c r="R44" s="414"/>
      <c r="S44" s="427">
        <f>SUM(S23:S43)</f>
        <v>27110</v>
      </c>
      <c r="T44" s="427">
        <f>SUM(T23:T43)</f>
        <v>14847</v>
      </c>
      <c r="U44" s="414"/>
    </row>
    <row r="45" spans="1:47" ht="18.75" customHeight="1" thickBot="1">
      <c r="D45" s="1294" t="s">
        <v>168</v>
      </c>
      <c r="E45" s="1294"/>
      <c r="F45" s="1294"/>
      <c r="G45" s="1"/>
      <c r="H45" s="457">
        <f>H44</f>
        <v>15170</v>
      </c>
      <c r="I45" s="1"/>
      <c r="J45" s="1"/>
      <c r="P45" s="426"/>
      <c r="Q45" s="414"/>
      <c r="R45" s="414"/>
      <c r="S45" s="414"/>
      <c r="T45" s="414"/>
      <c r="U45" s="414"/>
    </row>
    <row r="46" spans="1:47" ht="20.25" customHeight="1" thickBot="1">
      <c r="E46" s="1"/>
      <c r="F46" s="1"/>
      <c r="G46" s="1"/>
      <c r="H46" s="428">
        <v>15170</v>
      </c>
      <c r="I46" s="1"/>
      <c r="J46" s="377"/>
      <c r="P46" s="426"/>
      <c r="Q46" s="414"/>
      <c r="R46" s="414"/>
      <c r="S46" s="414"/>
      <c r="T46" s="414"/>
      <c r="U46" s="414"/>
    </row>
    <row r="47" spans="1:47" ht="20.25" customHeight="1" thickBot="1">
      <c r="E47" s="1"/>
      <c r="F47" s="1"/>
      <c r="G47" s="1"/>
      <c r="H47" s="1"/>
      <c r="I47" s="1"/>
      <c r="J47" s="376"/>
      <c r="P47" s="426"/>
      <c r="Q47" s="414"/>
      <c r="R47" s="414"/>
      <c r="S47" s="414"/>
      <c r="T47" s="414"/>
      <c r="U47" s="414"/>
    </row>
    <row r="48" spans="1:47" ht="30" customHeight="1" thickBot="1">
      <c r="A48" s="23"/>
      <c r="B48" s="23"/>
      <c r="C48" s="1252" t="s">
        <v>301</v>
      </c>
      <c r="D48" s="1291"/>
      <c r="E48" s="1291"/>
      <c r="F48" s="1291"/>
      <c r="G48" s="1291"/>
      <c r="H48" s="1291"/>
      <c r="I48" s="1291"/>
      <c r="J48" s="1291"/>
      <c r="K48" s="1291"/>
      <c r="L48" s="1292"/>
      <c r="M48" s="23"/>
      <c r="N48" s="23"/>
      <c r="O48" s="23"/>
      <c r="P48" s="426"/>
      <c r="Q48" s="414"/>
      <c r="R48" s="429"/>
      <c r="S48" s="429"/>
      <c r="T48" s="429"/>
      <c r="U48" s="429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</row>
    <row r="49" spans="1:47" ht="27" thickBot="1">
      <c r="B49" s="178"/>
      <c r="C49" s="179" t="s">
        <v>156</v>
      </c>
      <c r="D49" s="179" t="s">
        <v>31</v>
      </c>
      <c r="E49" s="180" t="s">
        <v>32</v>
      </c>
      <c r="F49" s="180" t="s">
        <v>33</v>
      </c>
      <c r="G49" s="180" t="s">
        <v>34</v>
      </c>
      <c r="H49" s="180" t="s">
        <v>35</v>
      </c>
      <c r="I49" s="180" t="s">
        <v>37</v>
      </c>
      <c r="J49" s="182" t="s">
        <v>38</v>
      </c>
      <c r="K49" s="182" t="s">
        <v>39</v>
      </c>
      <c r="L49" s="183" t="s">
        <v>40</v>
      </c>
      <c r="P49" s="414"/>
      <c r="Q49" s="414"/>
      <c r="R49" s="414" t="s">
        <v>302</v>
      </c>
      <c r="S49" s="430" t="s">
        <v>303</v>
      </c>
      <c r="T49" s="430" t="s">
        <v>304</v>
      </c>
      <c r="U49" s="414" t="s">
        <v>272</v>
      </c>
      <c r="V49" s="414" t="s">
        <v>273</v>
      </c>
      <c r="W49" s="430" t="s">
        <v>274</v>
      </c>
    </row>
    <row r="50" spans="1:47" ht="18.75" customHeight="1">
      <c r="B50" s="209"/>
      <c r="C50" s="210">
        <v>1</v>
      </c>
      <c r="D50" s="192" t="s">
        <v>98</v>
      </c>
      <c r="E50" s="192" t="s">
        <v>99</v>
      </c>
      <c r="F50" s="193">
        <v>36</v>
      </c>
      <c r="G50" s="194">
        <v>1754</v>
      </c>
      <c r="H50" s="194">
        <v>1403</v>
      </c>
      <c r="I50" s="194">
        <v>20</v>
      </c>
      <c r="J50" s="193">
        <v>413</v>
      </c>
      <c r="K50" s="193">
        <v>345</v>
      </c>
      <c r="L50" s="312"/>
      <c r="P50" s="430"/>
      <c r="Q50" s="414" t="s">
        <v>305</v>
      </c>
      <c r="R50" s="414">
        <v>36</v>
      </c>
      <c r="S50" s="430">
        <v>1754</v>
      </c>
      <c r="T50" s="430">
        <v>1403</v>
      </c>
      <c r="U50" s="414">
        <v>20</v>
      </c>
      <c r="V50" s="414">
        <v>413</v>
      </c>
      <c r="W50" s="430">
        <v>345</v>
      </c>
    </row>
    <row r="51" spans="1:47" ht="15" customHeight="1">
      <c r="B51" s="209"/>
      <c r="C51" s="210">
        <v>2</v>
      </c>
      <c r="D51" s="192" t="s">
        <v>100</v>
      </c>
      <c r="E51" s="192" t="s">
        <v>101</v>
      </c>
      <c r="F51" s="193">
        <v>36</v>
      </c>
      <c r="G51" s="193">
        <v>893</v>
      </c>
      <c r="H51" s="194">
        <v>893</v>
      </c>
      <c r="I51" s="194">
        <v>0</v>
      </c>
      <c r="J51" s="193">
        <v>307</v>
      </c>
      <c r="K51" s="193">
        <v>140</v>
      </c>
      <c r="L51" s="312"/>
      <c r="M51" s="217"/>
      <c r="P51" s="430"/>
      <c r="Q51" s="414" t="s">
        <v>306</v>
      </c>
      <c r="R51" s="414">
        <v>36</v>
      </c>
      <c r="S51" s="430">
        <v>893</v>
      </c>
      <c r="T51" s="430">
        <v>893</v>
      </c>
      <c r="U51" s="414">
        <v>0</v>
      </c>
      <c r="V51" s="414">
        <v>307</v>
      </c>
      <c r="W51" s="430">
        <v>140</v>
      </c>
    </row>
    <row r="52" spans="1:47" ht="15.6">
      <c r="B52" s="209"/>
      <c r="C52" s="210">
        <v>3</v>
      </c>
      <c r="D52" s="192" t="s">
        <v>104</v>
      </c>
      <c r="E52" s="192" t="s">
        <v>99</v>
      </c>
      <c r="F52" s="193">
        <v>24</v>
      </c>
      <c r="G52" s="193">
        <v>893</v>
      </c>
      <c r="H52" s="194">
        <v>384</v>
      </c>
      <c r="I52" s="194">
        <v>57</v>
      </c>
      <c r="J52" s="193">
        <v>367</v>
      </c>
      <c r="K52" s="193">
        <v>260</v>
      </c>
      <c r="L52" s="312"/>
      <c r="P52" s="430"/>
      <c r="Q52" s="414" t="s">
        <v>307</v>
      </c>
      <c r="R52" s="414">
        <v>24</v>
      </c>
      <c r="S52" s="430">
        <v>893</v>
      </c>
      <c r="T52" s="430">
        <v>384</v>
      </c>
      <c r="U52" s="414">
        <v>57</v>
      </c>
      <c r="V52" s="414">
        <v>367</v>
      </c>
      <c r="W52" s="430">
        <v>260</v>
      </c>
    </row>
    <row r="53" spans="1:47" ht="15.6">
      <c r="B53" s="209"/>
      <c r="C53" s="210">
        <v>4</v>
      </c>
      <c r="D53" s="192" t="s">
        <v>106</v>
      </c>
      <c r="E53" s="254" t="s">
        <v>336</v>
      </c>
      <c r="F53" s="193">
        <v>28</v>
      </c>
      <c r="G53" s="193">
        <v>873</v>
      </c>
      <c r="H53" s="194">
        <v>655</v>
      </c>
      <c r="I53" s="194">
        <v>25</v>
      </c>
      <c r="J53" s="193">
        <v>915</v>
      </c>
      <c r="K53" s="193">
        <v>310</v>
      </c>
      <c r="L53" s="338"/>
      <c r="P53" s="430"/>
      <c r="Q53" s="414" t="s">
        <v>308</v>
      </c>
      <c r="R53" s="414">
        <v>28</v>
      </c>
      <c r="S53" s="430">
        <v>873</v>
      </c>
      <c r="T53" s="430">
        <v>655</v>
      </c>
      <c r="U53" s="414">
        <v>25</v>
      </c>
      <c r="V53" s="414">
        <v>915</v>
      </c>
      <c r="W53" s="430">
        <v>310</v>
      </c>
    </row>
    <row r="54" spans="1:47" ht="21" customHeight="1">
      <c r="B54" s="209"/>
      <c r="C54" s="222">
        <v>5</v>
      </c>
      <c r="D54" s="219" t="s">
        <v>107</v>
      </c>
      <c r="E54" s="219" t="s">
        <v>103</v>
      </c>
      <c r="F54" s="220">
        <v>28</v>
      </c>
      <c r="G54" s="221">
        <v>767</v>
      </c>
      <c r="H54" s="221">
        <v>353</v>
      </c>
      <c r="I54" s="221">
        <v>54</v>
      </c>
      <c r="J54" s="220">
        <v>412</v>
      </c>
      <c r="K54" s="220">
        <v>145</v>
      </c>
      <c r="L54" s="237" t="s">
        <v>235</v>
      </c>
      <c r="P54" s="430"/>
      <c r="Q54" s="414" t="s">
        <v>309</v>
      </c>
      <c r="R54" s="414">
        <v>28</v>
      </c>
      <c r="S54" s="430">
        <v>767</v>
      </c>
      <c r="T54" s="430">
        <v>353</v>
      </c>
      <c r="U54" s="414">
        <v>54</v>
      </c>
      <c r="V54" s="414">
        <v>412</v>
      </c>
      <c r="W54" s="430">
        <v>145</v>
      </c>
    </row>
    <row r="55" spans="1:47" ht="15.6">
      <c r="B55" s="209"/>
      <c r="C55" s="263">
        <v>6</v>
      </c>
      <c r="D55" s="192" t="s">
        <v>109</v>
      </c>
      <c r="E55" s="254" t="s">
        <v>110</v>
      </c>
      <c r="F55" s="255">
        <v>32</v>
      </c>
      <c r="G55" s="255">
        <v>1196</v>
      </c>
      <c r="H55" s="197">
        <v>610</v>
      </c>
      <c r="I55" s="197">
        <v>49</v>
      </c>
      <c r="J55" s="255">
        <v>369</v>
      </c>
      <c r="K55" s="255">
        <v>260</v>
      </c>
      <c r="L55" s="311"/>
      <c r="P55" s="430"/>
      <c r="Q55" s="414" t="s">
        <v>310</v>
      </c>
      <c r="R55" s="414">
        <v>32</v>
      </c>
      <c r="S55" s="430">
        <v>1196</v>
      </c>
      <c r="T55" s="430">
        <v>610</v>
      </c>
      <c r="U55" s="414">
        <v>49</v>
      </c>
      <c r="V55" s="414">
        <v>369</v>
      </c>
      <c r="W55" s="430">
        <v>260</v>
      </c>
    </row>
    <row r="56" spans="1:47" ht="15.6">
      <c r="A56" s="408"/>
      <c r="B56" s="265"/>
      <c r="C56" s="263">
        <v>7</v>
      </c>
      <c r="D56" s="192" t="s">
        <v>111</v>
      </c>
      <c r="E56" s="254" t="s">
        <v>99</v>
      </c>
      <c r="F56" s="255">
        <v>36</v>
      </c>
      <c r="G56" s="255">
        <v>2847</v>
      </c>
      <c r="H56" s="197">
        <v>1281</v>
      </c>
      <c r="I56" s="197">
        <v>55</v>
      </c>
      <c r="J56" s="255">
        <v>416</v>
      </c>
      <c r="K56" s="255">
        <v>385</v>
      </c>
      <c r="L56" s="311"/>
      <c r="M56" s="408"/>
      <c r="N56" s="408"/>
      <c r="O56" s="408"/>
      <c r="P56" s="431"/>
      <c r="Q56" s="414" t="s">
        <v>311</v>
      </c>
      <c r="R56" s="414">
        <v>36</v>
      </c>
      <c r="S56" s="430">
        <v>2493</v>
      </c>
      <c r="T56" s="430">
        <v>1147</v>
      </c>
      <c r="U56" s="414">
        <v>54</v>
      </c>
      <c r="V56" s="414">
        <v>477</v>
      </c>
      <c r="W56" s="430">
        <v>405</v>
      </c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408"/>
      <c r="AL56" s="408"/>
      <c r="AM56" s="408"/>
      <c r="AN56" s="408"/>
      <c r="AO56" s="408"/>
      <c r="AP56" s="408"/>
      <c r="AQ56" s="408"/>
      <c r="AR56" s="408"/>
      <c r="AS56" s="408"/>
      <c r="AT56" s="408"/>
      <c r="AU56" s="408"/>
    </row>
    <row r="57" spans="1:47" ht="15.6">
      <c r="B57" s="209"/>
      <c r="C57" s="263">
        <v>8</v>
      </c>
      <c r="D57" s="192" t="s">
        <v>112</v>
      </c>
      <c r="E57" s="254" t="s">
        <v>103</v>
      </c>
      <c r="F57" s="255">
        <v>56</v>
      </c>
      <c r="G57" s="255">
        <v>5871</v>
      </c>
      <c r="H57" s="197">
        <v>5871</v>
      </c>
      <c r="I57" s="197">
        <v>0</v>
      </c>
      <c r="J57" s="255">
        <v>439</v>
      </c>
      <c r="K57" s="255">
        <v>602</v>
      </c>
      <c r="L57" s="311"/>
      <c r="P57" s="430"/>
      <c r="Q57" s="414" t="s">
        <v>312</v>
      </c>
      <c r="R57" s="414">
        <v>56</v>
      </c>
      <c r="S57" s="430">
        <v>5871</v>
      </c>
      <c r="T57" s="430">
        <v>5871</v>
      </c>
      <c r="U57" s="414">
        <v>0</v>
      </c>
      <c r="V57" s="414">
        <v>439</v>
      </c>
      <c r="W57" s="430">
        <v>602</v>
      </c>
    </row>
    <row r="58" spans="1:47" ht="15.6">
      <c r="B58" s="209"/>
      <c r="C58" s="263">
        <v>9</v>
      </c>
      <c r="D58" s="192" t="s">
        <v>113</v>
      </c>
      <c r="E58" s="254" t="s">
        <v>103</v>
      </c>
      <c r="F58" s="255">
        <v>36</v>
      </c>
      <c r="G58" s="255">
        <v>2065</v>
      </c>
      <c r="H58" s="197">
        <v>1879</v>
      </c>
      <c r="I58" s="197">
        <v>9</v>
      </c>
      <c r="J58" s="255">
        <v>417</v>
      </c>
      <c r="K58" s="255">
        <v>408</v>
      </c>
      <c r="L58" s="256"/>
      <c r="P58" s="430"/>
      <c r="Q58" s="414" t="s">
        <v>313</v>
      </c>
      <c r="R58" s="414">
        <v>36</v>
      </c>
      <c r="S58" s="430">
        <v>2065</v>
      </c>
      <c r="T58" s="430">
        <v>1879</v>
      </c>
      <c r="U58" s="414">
        <v>9</v>
      </c>
      <c r="V58" s="414">
        <v>417</v>
      </c>
      <c r="W58" s="430">
        <v>408</v>
      </c>
    </row>
    <row r="59" spans="1:47" ht="15.6">
      <c r="A59" s="408"/>
      <c r="B59" s="265"/>
      <c r="C59" s="263">
        <v>10</v>
      </c>
      <c r="D59" s="192" t="s">
        <v>115</v>
      </c>
      <c r="E59" s="254" t="s">
        <v>105</v>
      </c>
      <c r="F59" s="255">
        <v>40</v>
      </c>
      <c r="G59" s="255">
        <v>2352</v>
      </c>
      <c r="H59" s="197">
        <v>1388</v>
      </c>
      <c r="I59" s="197">
        <v>41</v>
      </c>
      <c r="J59" s="255">
        <v>298</v>
      </c>
      <c r="K59" s="255">
        <v>330</v>
      </c>
      <c r="L59" s="311"/>
      <c r="M59" s="408"/>
      <c r="N59" s="408"/>
      <c r="O59" s="408"/>
      <c r="P59" s="431"/>
      <c r="Q59" s="414" t="s">
        <v>314</v>
      </c>
      <c r="R59" s="414">
        <v>20</v>
      </c>
      <c r="S59" s="430">
        <v>725</v>
      </c>
      <c r="T59" s="430">
        <v>609</v>
      </c>
      <c r="U59" s="414">
        <v>16</v>
      </c>
      <c r="V59" s="414">
        <v>305</v>
      </c>
      <c r="W59" s="430">
        <v>530</v>
      </c>
      <c r="X59" s="408"/>
      <c r="Y59" s="408"/>
      <c r="Z59" s="408"/>
      <c r="AA59" s="408"/>
      <c r="AB59" s="408"/>
      <c r="AC59" s="408"/>
      <c r="AD59" s="408"/>
      <c r="AE59" s="408"/>
      <c r="AF59" s="408"/>
      <c r="AG59" s="408"/>
      <c r="AH59" s="408"/>
      <c r="AI59" s="408"/>
      <c r="AJ59" s="408"/>
      <c r="AK59" s="408"/>
      <c r="AL59" s="408"/>
      <c r="AM59" s="408"/>
      <c r="AN59" s="408"/>
      <c r="AO59" s="408"/>
      <c r="AP59" s="408"/>
      <c r="AQ59" s="408"/>
      <c r="AR59" s="408"/>
      <c r="AS59" s="408"/>
      <c r="AT59" s="408"/>
      <c r="AU59" s="408"/>
    </row>
    <row r="60" spans="1:47" ht="15.6">
      <c r="B60" s="209"/>
      <c r="C60" s="263">
        <v>11</v>
      </c>
      <c r="D60" s="192" t="s">
        <v>114</v>
      </c>
      <c r="E60" s="254" t="s">
        <v>99</v>
      </c>
      <c r="F60" s="255">
        <v>20</v>
      </c>
      <c r="G60" s="255">
        <v>725.2</v>
      </c>
      <c r="H60" s="197">
        <v>609.16800000000001</v>
      </c>
      <c r="I60" s="197">
        <v>16</v>
      </c>
      <c r="J60" s="255">
        <v>305</v>
      </c>
      <c r="K60" s="255">
        <v>530</v>
      </c>
      <c r="L60" s="311"/>
      <c r="P60" s="430"/>
      <c r="Q60" s="414" t="s">
        <v>315</v>
      </c>
      <c r="R60" s="414">
        <v>40</v>
      </c>
      <c r="S60" s="430">
        <v>2020</v>
      </c>
      <c r="T60" s="430">
        <v>1172</v>
      </c>
      <c r="U60" s="414">
        <v>42</v>
      </c>
      <c r="V60" s="414">
        <v>298</v>
      </c>
      <c r="W60" s="430">
        <v>330</v>
      </c>
    </row>
    <row r="61" spans="1:47" ht="15.6">
      <c r="B61" s="209"/>
      <c r="C61" s="263">
        <v>12</v>
      </c>
      <c r="D61" s="192" t="s">
        <v>116</v>
      </c>
      <c r="E61" s="254" t="s">
        <v>117</v>
      </c>
      <c r="F61" s="255">
        <v>28</v>
      </c>
      <c r="G61" s="255">
        <v>728</v>
      </c>
      <c r="H61" s="197">
        <v>262</v>
      </c>
      <c r="I61" s="197">
        <v>64</v>
      </c>
      <c r="J61" s="255">
        <v>481</v>
      </c>
      <c r="K61" s="255">
        <v>160</v>
      </c>
      <c r="L61" s="311"/>
      <c r="P61" s="430"/>
      <c r="Q61" s="414" t="s">
        <v>287</v>
      </c>
      <c r="R61" s="414">
        <v>28</v>
      </c>
      <c r="S61" s="430">
        <v>728</v>
      </c>
      <c r="T61" s="430">
        <v>262</v>
      </c>
      <c r="U61" s="414">
        <v>64</v>
      </c>
      <c r="V61" s="414">
        <v>481</v>
      </c>
      <c r="W61" s="430">
        <v>160</v>
      </c>
    </row>
    <row r="62" spans="1:47" ht="15.6">
      <c r="B62" s="209"/>
      <c r="C62" s="263">
        <v>13</v>
      </c>
      <c r="D62" s="192" t="s">
        <v>118</v>
      </c>
      <c r="E62" s="254" t="s">
        <v>99</v>
      </c>
      <c r="F62" s="255">
        <v>24</v>
      </c>
      <c r="G62" s="255">
        <v>880</v>
      </c>
      <c r="H62" s="197">
        <v>352</v>
      </c>
      <c r="I62" s="197">
        <v>60</v>
      </c>
      <c r="J62" s="255">
        <v>347</v>
      </c>
      <c r="K62" s="255">
        <v>315</v>
      </c>
      <c r="L62" s="311"/>
      <c r="P62" s="430"/>
      <c r="Q62" s="414" t="s">
        <v>316</v>
      </c>
      <c r="R62" s="414">
        <v>24</v>
      </c>
      <c r="S62" s="430">
        <v>880</v>
      </c>
      <c r="T62" s="430">
        <v>352</v>
      </c>
      <c r="U62" s="414">
        <v>60</v>
      </c>
      <c r="V62" s="414">
        <v>347</v>
      </c>
      <c r="W62" s="430">
        <v>315</v>
      </c>
    </row>
    <row r="63" spans="1:47" ht="15.6">
      <c r="B63" s="209"/>
      <c r="C63" s="210">
        <v>14</v>
      </c>
      <c r="D63" s="192" t="s">
        <v>119</v>
      </c>
      <c r="E63" s="192" t="s">
        <v>103</v>
      </c>
      <c r="F63" s="193">
        <v>28</v>
      </c>
      <c r="G63" s="193">
        <v>708</v>
      </c>
      <c r="H63" s="194">
        <v>347</v>
      </c>
      <c r="I63" s="194">
        <v>51</v>
      </c>
      <c r="J63" s="193">
        <v>429</v>
      </c>
      <c r="K63" s="193">
        <v>140</v>
      </c>
      <c r="L63" s="312"/>
      <c r="P63" s="430"/>
      <c r="Q63" s="414" t="s">
        <v>317</v>
      </c>
      <c r="R63" s="414">
        <v>28</v>
      </c>
      <c r="S63" s="430">
        <v>708</v>
      </c>
      <c r="T63" s="430">
        <v>347</v>
      </c>
      <c r="U63" s="414">
        <v>51</v>
      </c>
      <c r="V63" s="414">
        <v>429</v>
      </c>
      <c r="W63" s="430">
        <v>140</v>
      </c>
    </row>
    <row r="64" spans="1:47" ht="15.6">
      <c r="B64" s="209"/>
      <c r="C64" s="210">
        <v>15</v>
      </c>
      <c r="D64" s="192" t="s">
        <v>120</v>
      </c>
      <c r="E64" s="192" t="s">
        <v>101</v>
      </c>
      <c r="F64" s="193">
        <v>20</v>
      </c>
      <c r="G64" s="193">
        <v>291</v>
      </c>
      <c r="H64" s="194">
        <v>131</v>
      </c>
      <c r="I64" s="194">
        <v>55</v>
      </c>
      <c r="J64" s="193">
        <v>347</v>
      </c>
      <c r="K64" s="193">
        <v>90</v>
      </c>
      <c r="L64" s="312"/>
      <c r="N64" s="437"/>
      <c r="P64" s="430"/>
      <c r="Q64" s="414" t="s">
        <v>318</v>
      </c>
      <c r="R64" s="414">
        <v>20</v>
      </c>
      <c r="S64" s="430">
        <v>291</v>
      </c>
      <c r="T64" s="430">
        <v>131</v>
      </c>
      <c r="U64" s="414">
        <v>55</v>
      </c>
      <c r="V64" s="414">
        <v>347</v>
      </c>
      <c r="W64" s="430">
        <v>90</v>
      </c>
    </row>
    <row r="65" spans="1:47" ht="15.6">
      <c r="B65" s="209"/>
      <c r="C65" s="263">
        <v>16</v>
      </c>
      <c r="D65" s="192" t="s">
        <v>121</v>
      </c>
      <c r="E65" s="254" t="s">
        <v>105</v>
      </c>
      <c r="F65" s="255">
        <v>24</v>
      </c>
      <c r="G65" s="255">
        <v>361</v>
      </c>
      <c r="H65" s="197">
        <v>217</v>
      </c>
      <c r="I65" s="197">
        <v>40</v>
      </c>
      <c r="J65" s="255">
        <v>339</v>
      </c>
      <c r="K65" s="255">
        <v>130</v>
      </c>
      <c r="L65" s="311"/>
      <c r="P65" s="414"/>
      <c r="Q65" s="414" t="s">
        <v>320</v>
      </c>
      <c r="R65" s="414">
        <v>24</v>
      </c>
      <c r="S65" s="430">
        <v>361</v>
      </c>
      <c r="T65" s="430">
        <v>217</v>
      </c>
      <c r="U65" s="414">
        <v>40</v>
      </c>
      <c r="V65" s="414">
        <v>339</v>
      </c>
      <c r="W65" s="430">
        <v>130</v>
      </c>
      <c r="AD65" s="430"/>
      <c r="AH65" s="430"/>
      <c r="AI65" s="430"/>
      <c r="AJ65" s="430"/>
    </row>
    <row r="66" spans="1:47" ht="15.6">
      <c r="B66" s="209"/>
      <c r="C66" s="210">
        <v>17</v>
      </c>
      <c r="D66" s="192" t="s">
        <v>122</v>
      </c>
      <c r="E66" s="192" t="s">
        <v>110</v>
      </c>
      <c r="F66" s="193">
        <v>24</v>
      </c>
      <c r="G66" s="193">
        <v>864</v>
      </c>
      <c r="H66" s="194">
        <v>786</v>
      </c>
      <c r="I66" s="194">
        <v>9</v>
      </c>
      <c r="J66" s="193">
        <v>322</v>
      </c>
      <c r="K66" s="193">
        <v>550</v>
      </c>
      <c r="L66" s="312"/>
      <c r="P66" s="430"/>
      <c r="Q66" s="414" t="s">
        <v>291</v>
      </c>
      <c r="R66" s="414">
        <v>24</v>
      </c>
      <c r="S66" s="430">
        <v>864</v>
      </c>
      <c r="T66" s="430">
        <v>786</v>
      </c>
      <c r="U66" s="414">
        <v>9</v>
      </c>
      <c r="V66" s="414">
        <v>322</v>
      </c>
      <c r="W66" s="430">
        <v>550</v>
      </c>
    </row>
    <row r="67" spans="1:47" ht="15" customHeight="1">
      <c r="B67" s="209"/>
      <c r="C67" s="210">
        <v>18</v>
      </c>
      <c r="D67" s="192" t="s">
        <v>123</v>
      </c>
      <c r="E67" s="192" t="s">
        <v>124</v>
      </c>
      <c r="F67" s="193">
        <v>24</v>
      </c>
      <c r="G67" s="193">
        <v>1107</v>
      </c>
      <c r="H67" s="194">
        <v>321</v>
      </c>
      <c r="I67" s="194">
        <v>71</v>
      </c>
      <c r="J67" s="193">
        <v>779</v>
      </c>
      <c r="K67" s="193">
        <v>330</v>
      </c>
      <c r="L67" s="312"/>
      <c r="P67" s="430"/>
      <c r="Q67" s="414" t="s">
        <v>321</v>
      </c>
      <c r="R67" s="414">
        <v>24</v>
      </c>
      <c r="S67" s="430">
        <v>1107</v>
      </c>
      <c r="T67" s="430">
        <v>321</v>
      </c>
      <c r="U67" s="414">
        <v>71</v>
      </c>
      <c r="V67" s="414">
        <v>779</v>
      </c>
      <c r="W67" s="430">
        <v>330</v>
      </c>
    </row>
    <row r="68" spans="1:47" ht="15.6">
      <c r="B68" s="209"/>
      <c r="C68" s="263">
        <v>19</v>
      </c>
      <c r="D68" s="192" t="s">
        <v>127</v>
      </c>
      <c r="E68" s="254" t="s">
        <v>101</v>
      </c>
      <c r="F68" s="255">
        <v>36</v>
      </c>
      <c r="G68" s="255">
        <v>2967</v>
      </c>
      <c r="H68" s="197">
        <v>890</v>
      </c>
      <c r="I68" s="197">
        <v>70</v>
      </c>
      <c r="J68" s="255">
        <v>330</v>
      </c>
      <c r="K68" s="255">
        <v>230</v>
      </c>
      <c r="L68" s="311"/>
      <c r="P68" s="430"/>
      <c r="Q68" s="414" t="s">
        <v>322</v>
      </c>
      <c r="R68" s="414">
        <v>36</v>
      </c>
      <c r="S68" s="430">
        <v>2967</v>
      </c>
      <c r="T68" s="430">
        <v>890</v>
      </c>
      <c r="U68" s="414">
        <v>70</v>
      </c>
      <c r="V68" s="414">
        <v>330</v>
      </c>
      <c r="W68" s="430">
        <v>230</v>
      </c>
    </row>
    <row r="69" spans="1:47" ht="15.6">
      <c r="B69" s="209"/>
      <c r="C69" s="263">
        <v>20</v>
      </c>
      <c r="D69" s="254" t="s">
        <v>128</v>
      </c>
      <c r="E69" s="254" t="s">
        <v>105</v>
      </c>
      <c r="F69" s="255">
        <v>24</v>
      </c>
      <c r="G69" s="255">
        <v>800</v>
      </c>
      <c r="H69" s="197">
        <v>200</v>
      </c>
      <c r="I69" s="197">
        <v>75</v>
      </c>
      <c r="J69" s="255">
        <v>286</v>
      </c>
      <c r="K69" s="255">
        <v>200</v>
      </c>
      <c r="L69" s="311"/>
      <c r="P69" s="430"/>
      <c r="Q69" s="414" t="s">
        <v>324</v>
      </c>
      <c r="R69" s="414">
        <v>24</v>
      </c>
      <c r="S69" s="430">
        <v>800</v>
      </c>
      <c r="T69" s="430">
        <v>200</v>
      </c>
      <c r="U69" s="414">
        <v>75</v>
      </c>
      <c r="V69" s="414">
        <v>286</v>
      </c>
      <c r="W69" s="430">
        <v>200</v>
      </c>
    </row>
    <row r="70" spans="1:47" ht="15.6">
      <c r="A70" s="408"/>
      <c r="B70" s="265"/>
      <c r="C70" s="222">
        <v>21</v>
      </c>
      <c r="D70" s="219" t="s">
        <v>129</v>
      </c>
      <c r="E70" s="219" t="s">
        <v>99</v>
      </c>
      <c r="F70" s="220">
        <v>20</v>
      </c>
      <c r="G70" s="220">
        <v>735</v>
      </c>
      <c r="H70" s="221">
        <v>339</v>
      </c>
      <c r="I70" s="221">
        <v>54</v>
      </c>
      <c r="J70" s="220"/>
      <c r="K70" s="220">
        <v>160</v>
      </c>
      <c r="L70" s="338" t="s">
        <v>68</v>
      </c>
      <c r="M70" s="408"/>
      <c r="N70" s="408"/>
      <c r="O70" s="408"/>
      <c r="P70" s="431"/>
      <c r="Q70" s="414" t="s">
        <v>325</v>
      </c>
      <c r="R70" s="414">
        <v>24</v>
      </c>
      <c r="S70" s="430">
        <v>448</v>
      </c>
      <c r="T70" s="430">
        <v>206</v>
      </c>
      <c r="U70" s="414">
        <v>54</v>
      </c>
      <c r="V70" s="414">
        <v>350</v>
      </c>
      <c r="W70" s="430">
        <v>150</v>
      </c>
      <c r="X70" s="408"/>
      <c r="Y70" s="408"/>
      <c r="Z70" s="408"/>
      <c r="AA70" s="408"/>
      <c r="AB70" s="408"/>
      <c r="AC70" s="408"/>
      <c r="AD70" s="408"/>
      <c r="AE70" s="408"/>
      <c r="AF70" s="408"/>
      <c r="AG70" s="408"/>
      <c r="AH70" s="408"/>
      <c r="AI70" s="408"/>
      <c r="AJ70" s="408"/>
      <c r="AK70" s="408"/>
      <c r="AL70" s="408"/>
      <c r="AM70" s="408"/>
      <c r="AN70" s="408"/>
      <c r="AO70" s="408"/>
      <c r="AP70" s="408"/>
      <c r="AQ70" s="408"/>
      <c r="AR70" s="408"/>
      <c r="AS70" s="408"/>
      <c r="AT70" s="408"/>
      <c r="AU70" s="408"/>
    </row>
    <row r="71" spans="1:47" ht="15.6">
      <c r="B71" s="209"/>
      <c r="C71" s="210">
        <v>22</v>
      </c>
      <c r="D71" s="219" t="s">
        <v>130</v>
      </c>
      <c r="E71" s="219" t="s">
        <v>105</v>
      </c>
      <c r="F71" s="220">
        <v>24</v>
      </c>
      <c r="G71" s="220">
        <v>750</v>
      </c>
      <c r="H71" s="221">
        <v>300</v>
      </c>
      <c r="I71" s="221">
        <v>60</v>
      </c>
      <c r="J71" s="220">
        <v>302</v>
      </c>
      <c r="K71" s="220">
        <v>180</v>
      </c>
      <c r="L71" s="338" t="s">
        <v>326</v>
      </c>
      <c r="P71" s="430"/>
      <c r="Q71" s="414" t="s">
        <v>327</v>
      </c>
      <c r="R71" s="414">
        <v>24</v>
      </c>
      <c r="S71" s="430">
        <v>750</v>
      </c>
      <c r="T71" s="430">
        <v>300</v>
      </c>
      <c r="U71" s="414">
        <v>60</v>
      </c>
      <c r="V71" s="414">
        <v>302</v>
      </c>
      <c r="W71" s="430">
        <v>180</v>
      </c>
    </row>
    <row r="72" spans="1:47" ht="15.6">
      <c r="B72" s="209"/>
      <c r="C72" s="222">
        <v>23</v>
      </c>
      <c r="D72" s="219" t="s">
        <v>131</v>
      </c>
      <c r="E72" s="219" t="s">
        <v>110</v>
      </c>
      <c r="F72" s="220">
        <v>24</v>
      </c>
      <c r="G72" s="220">
        <v>821</v>
      </c>
      <c r="H72" s="221">
        <v>394</v>
      </c>
      <c r="I72" s="221">
        <v>52</v>
      </c>
      <c r="J72" s="220">
        <v>476</v>
      </c>
      <c r="K72" s="220">
        <v>375</v>
      </c>
      <c r="L72" s="338"/>
      <c r="P72" s="430"/>
      <c r="Q72" s="414" t="s">
        <v>328</v>
      </c>
      <c r="R72" s="414">
        <v>24</v>
      </c>
      <c r="S72" s="430">
        <v>821</v>
      </c>
      <c r="T72" s="430">
        <v>394</v>
      </c>
      <c r="U72" s="414">
        <v>52</v>
      </c>
      <c r="V72" s="414">
        <v>476</v>
      </c>
      <c r="W72" s="430">
        <v>375</v>
      </c>
    </row>
    <row r="73" spans="1:47" s="439" customFormat="1" ht="25.5" customHeight="1">
      <c r="B73" s="262"/>
      <c r="C73" s="263">
        <v>24</v>
      </c>
      <c r="D73" s="192" t="s">
        <v>132</v>
      </c>
      <c r="E73" s="254" t="s">
        <v>133</v>
      </c>
      <c r="F73" s="255">
        <v>24</v>
      </c>
      <c r="G73" s="255">
        <v>897</v>
      </c>
      <c r="H73" s="197">
        <v>278</v>
      </c>
      <c r="I73" s="197">
        <v>69</v>
      </c>
      <c r="J73" s="255">
        <v>328</v>
      </c>
      <c r="K73" s="255">
        <v>175</v>
      </c>
      <c r="L73" s="311"/>
      <c r="P73" s="321"/>
      <c r="Q73" s="441" t="s">
        <v>295</v>
      </c>
      <c r="R73" s="441">
        <v>24</v>
      </c>
      <c r="S73" s="321">
        <v>897</v>
      </c>
      <c r="T73" s="321">
        <v>278</v>
      </c>
      <c r="U73" s="441">
        <v>69</v>
      </c>
      <c r="V73" s="441">
        <v>328</v>
      </c>
      <c r="W73" s="321">
        <v>175</v>
      </c>
    </row>
    <row r="74" spans="1:47" ht="18.75" customHeight="1">
      <c r="B74" s="209"/>
      <c r="C74" s="210">
        <v>25</v>
      </c>
      <c r="D74" s="192" t="s">
        <v>134</v>
      </c>
      <c r="E74" s="192" t="s">
        <v>135</v>
      </c>
      <c r="F74" s="193">
        <v>20</v>
      </c>
      <c r="G74" s="194">
        <v>402</v>
      </c>
      <c r="H74" s="194">
        <v>165</v>
      </c>
      <c r="I74" s="194">
        <v>59</v>
      </c>
      <c r="J74" s="193">
        <v>1836</v>
      </c>
      <c r="K74" s="193">
        <v>560</v>
      </c>
      <c r="L74" s="312"/>
      <c r="P74" s="430"/>
      <c r="Q74" s="414" t="s">
        <v>329</v>
      </c>
      <c r="R74" s="414">
        <v>20</v>
      </c>
      <c r="S74" s="414">
        <v>402</v>
      </c>
      <c r="T74" s="414">
        <v>165</v>
      </c>
      <c r="U74" s="414">
        <v>59</v>
      </c>
      <c r="V74" s="414">
        <v>1836</v>
      </c>
      <c r="W74" s="414">
        <v>560</v>
      </c>
    </row>
    <row r="75" spans="1:47" ht="21" customHeight="1">
      <c r="B75" s="209"/>
      <c r="C75" s="263">
        <v>26</v>
      </c>
      <c r="D75" s="192" t="s">
        <v>136</v>
      </c>
      <c r="E75" s="254" t="s">
        <v>105</v>
      </c>
      <c r="F75" s="255">
        <v>40</v>
      </c>
      <c r="G75" s="197">
        <v>2420</v>
      </c>
      <c r="H75" s="197">
        <v>968</v>
      </c>
      <c r="I75" s="197">
        <v>60</v>
      </c>
      <c r="J75" s="197">
        <v>309</v>
      </c>
      <c r="K75" s="197">
        <v>300</v>
      </c>
      <c r="L75" s="311"/>
      <c r="P75" s="430"/>
      <c r="Q75" s="414" t="s">
        <v>330</v>
      </c>
      <c r="R75" s="414">
        <v>40</v>
      </c>
      <c r="S75" s="414">
        <v>2420</v>
      </c>
      <c r="T75" s="414">
        <v>968</v>
      </c>
      <c r="U75" s="414">
        <v>60</v>
      </c>
      <c r="V75" s="414">
        <v>309</v>
      </c>
      <c r="W75" s="414">
        <v>300</v>
      </c>
    </row>
    <row r="76" spans="1:47" ht="15.6">
      <c r="A76" s="408"/>
      <c r="B76" s="265"/>
      <c r="C76" s="222">
        <v>27</v>
      </c>
      <c r="D76" s="334" t="s">
        <v>137</v>
      </c>
      <c r="E76" s="219" t="s">
        <v>110</v>
      </c>
      <c r="F76" s="220">
        <v>40</v>
      </c>
      <c r="G76" s="220">
        <v>2222</v>
      </c>
      <c r="H76" s="221">
        <v>822</v>
      </c>
      <c r="I76" s="221">
        <v>63</v>
      </c>
      <c r="J76" s="220">
        <v>348</v>
      </c>
      <c r="K76" s="220">
        <v>260</v>
      </c>
      <c r="L76" s="338" t="s">
        <v>235</v>
      </c>
      <c r="M76" s="408"/>
      <c r="N76" s="408"/>
      <c r="O76" s="408"/>
      <c r="P76" s="431"/>
      <c r="Q76" s="414" t="s">
        <v>331</v>
      </c>
      <c r="R76" s="414">
        <v>40</v>
      </c>
      <c r="S76" s="414">
        <v>2222</v>
      </c>
      <c r="T76" s="414">
        <v>822</v>
      </c>
      <c r="U76" s="414">
        <v>63</v>
      </c>
      <c r="V76" s="414">
        <v>348</v>
      </c>
      <c r="W76" s="414">
        <v>260</v>
      </c>
      <c r="X76" s="408"/>
      <c r="Y76" s="408"/>
      <c r="Z76" s="408"/>
      <c r="AA76" s="408"/>
      <c r="AB76" s="408"/>
      <c r="AC76" s="408"/>
      <c r="AD76" s="408"/>
      <c r="AE76" s="408"/>
      <c r="AF76" s="408"/>
      <c r="AG76" s="408"/>
      <c r="AH76" s="408"/>
      <c r="AI76" s="408"/>
      <c r="AJ76" s="408"/>
      <c r="AK76" s="408"/>
      <c r="AL76" s="408"/>
      <c r="AM76" s="408"/>
      <c r="AN76" s="408"/>
      <c r="AO76" s="408"/>
      <c r="AP76" s="408"/>
      <c r="AQ76" s="408"/>
      <c r="AR76" s="408"/>
      <c r="AS76" s="408"/>
      <c r="AT76" s="408"/>
      <c r="AU76" s="408"/>
    </row>
    <row r="77" spans="1:47" ht="21.75" customHeight="1" thickBot="1">
      <c r="D77" s="1296" t="s">
        <v>168</v>
      </c>
      <c r="E77" s="1296"/>
      <c r="F77" s="1297"/>
      <c r="G77" s="224">
        <f>SUM(G50:G76)</f>
        <v>37189.199999999997</v>
      </c>
      <c r="H77" s="224">
        <f>SUM(H50:H76)</f>
        <v>22098.167999999998</v>
      </c>
      <c r="I77" s="460"/>
      <c r="J77" s="461"/>
      <c r="K77" s="462"/>
      <c r="L77" s="463"/>
      <c r="P77" s="414"/>
      <c r="S77" s="423">
        <f>SUM(S50:S76)</f>
        <v>36216</v>
      </c>
      <c r="T77" s="423">
        <f>SUM(T50:T76)</f>
        <v>21615</v>
      </c>
    </row>
    <row r="78" spans="1:47" ht="19.5" customHeight="1" thickBot="1">
      <c r="E78" s="1251"/>
      <c r="F78" s="1382"/>
      <c r="G78" s="1"/>
      <c r="H78" s="208">
        <f>ROUNDUP(H77, -1)</f>
        <v>22100</v>
      </c>
      <c r="I78" s="1"/>
      <c r="K78" s="1"/>
      <c r="P78" s="414"/>
    </row>
    <row r="79" spans="1:47" ht="16.149999999999999" thickBot="1">
      <c r="E79" s="1"/>
      <c r="F79" s="1"/>
      <c r="G79" s="1"/>
      <c r="H79" s="1"/>
      <c r="I79" s="1"/>
      <c r="J79" s="1"/>
      <c r="K79" s="1"/>
      <c r="P79" s="414"/>
    </row>
    <row r="80" spans="1:47" ht="25.5" customHeight="1" thickBot="1">
      <c r="D80" s="1252" t="s">
        <v>332</v>
      </c>
      <c r="E80" s="1383"/>
      <c r="F80" s="1383"/>
      <c r="G80" s="1383"/>
      <c r="H80" s="1383"/>
      <c r="I80" s="1383"/>
      <c r="J80" s="1383"/>
      <c r="K80" s="1383"/>
      <c r="L80" s="1384"/>
      <c r="P80" s="414"/>
    </row>
    <row r="81" spans="2:23" ht="27" thickBot="1">
      <c r="B81" s="178"/>
      <c r="C81" s="179" t="s">
        <v>156</v>
      </c>
      <c r="D81" s="179" t="s">
        <v>31</v>
      </c>
      <c r="E81" s="180" t="s">
        <v>32</v>
      </c>
      <c r="F81" s="180" t="s">
        <v>33</v>
      </c>
      <c r="G81" s="187" t="s">
        <v>34</v>
      </c>
      <c r="H81" s="187" t="s">
        <v>35</v>
      </c>
      <c r="I81" s="180" t="s">
        <v>37</v>
      </c>
      <c r="J81" s="182" t="s">
        <v>38</v>
      </c>
      <c r="K81" s="182" t="s">
        <v>39</v>
      </c>
      <c r="L81" s="226" t="s">
        <v>40</v>
      </c>
      <c r="N81" s="444"/>
      <c r="P81" s="414"/>
      <c r="Q81" s="418"/>
      <c r="R81" s="430" t="s">
        <v>302</v>
      </c>
      <c r="S81" s="430" t="s">
        <v>303</v>
      </c>
      <c r="T81" s="430" t="s">
        <v>304</v>
      </c>
      <c r="U81" s="430" t="s">
        <v>272</v>
      </c>
      <c r="V81" s="430" t="s">
        <v>273</v>
      </c>
      <c r="W81" s="430" t="s">
        <v>274</v>
      </c>
    </row>
    <row r="82" spans="2:23" ht="15.6">
      <c r="B82" s="209"/>
      <c r="C82" s="210">
        <v>1</v>
      </c>
      <c r="D82" s="227" t="s">
        <v>139</v>
      </c>
      <c r="E82" s="228" t="s">
        <v>140</v>
      </c>
      <c r="F82" s="187">
        <v>20</v>
      </c>
      <c r="G82" s="194">
        <v>502.02384432635614</v>
      </c>
      <c r="H82" s="194">
        <v>441.78093461567016</v>
      </c>
      <c r="I82" s="187">
        <v>12</v>
      </c>
      <c r="J82" s="432">
        <v>311</v>
      </c>
      <c r="K82" s="187">
        <v>240</v>
      </c>
      <c r="L82" s="190"/>
      <c r="N82" s="464">
        <f>J82*H82</f>
        <v>137393.87066547343</v>
      </c>
      <c r="O82" s="418"/>
      <c r="P82" s="377"/>
      <c r="Q82" s="418" t="s">
        <v>308</v>
      </c>
      <c r="R82" s="414">
        <v>20</v>
      </c>
      <c r="S82" s="430">
        <v>502.02384432635614</v>
      </c>
      <c r="T82" s="430">
        <v>441.78093461567016</v>
      </c>
      <c r="U82" s="414">
        <v>12</v>
      </c>
      <c r="V82" s="414">
        <v>311</v>
      </c>
      <c r="W82" s="414">
        <v>240</v>
      </c>
    </row>
    <row r="83" spans="2:23" ht="15.6">
      <c r="B83" s="209"/>
      <c r="C83" s="210">
        <v>2</v>
      </c>
      <c r="D83" s="229" t="s">
        <v>142</v>
      </c>
      <c r="E83" s="230" t="s">
        <v>143</v>
      </c>
      <c r="F83" s="193">
        <v>24</v>
      </c>
      <c r="G83" s="188">
        <v>458.35694681826453</v>
      </c>
      <c r="H83" s="188">
        <v>407.93771795374113</v>
      </c>
      <c r="I83" s="193">
        <v>11</v>
      </c>
      <c r="J83" s="432">
        <v>526</v>
      </c>
      <c r="K83" s="187">
        <v>260</v>
      </c>
      <c r="L83" s="231"/>
      <c r="N83" s="464">
        <f>J83*H83</f>
        <v>214575.23964366782</v>
      </c>
      <c r="O83" s="418"/>
      <c r="P83" s="377"/>
      <c r="Q83" s="418" t="s">
        <v>333</v>
      </c>
      <c r="R83" s="414">
        <v>24</v>
      </c>
      <c r="S83" s="430">
        <v>458.35694681826453</v>
      </c>
      <c r="T83" s="430">
        <v>407.93771795374113</v>
      </c>
      <c r="U83" s="414">
        <v>11</v>
      </c>
      <c r="V83" s="414">
        <v>526</v>
      </c>
      <c r="W83" s="414">
        <v>260</v>
      </c>
    </row>
    <row r="84" spans="2:23" ht="15.6">
      <c r="B84" s="209"/>
      <c r="C84" s="210">
        <v>3</v>
      </c>
      <c r="D84" s="229" t="s">
        <v>144</v>
      </c>
      <c r="E84" s="230" t="s">
        <v>140</v>
      </c>
      <c r="F84" s="193">
        <v>28</v>
      </c>
      <c r="G84" s="194">
        <v>1807.2832586936433</v>
      </c>
      <c r="H84" s="194">
        <v>1373.5359218274787</v>
      </c>
      <c r="I84" s="193">
        <v>24</v>
      </c>
      <c r="J84" s="432">
        <v>1321</v>
      </c>
      <c r="K84" s="187">
        <v>900</v>
      </c>
      <c r="L84" s="231"/>
      <c r="N84" s="464">
        <f>J84*H84</f>
        <v>1814440.9527340992</v>
      </c>
      <c r="O84" s="418"/>
      <c r="P84" s="377"/>
      <c r="Q84" s="418" t="s">
        <v>334</v>
      </c>
      <c r="R84" s="414">
        <v>28</v>
      </c>
      <c r="S84" s="430">
        <v>1807.2832586936433</v>
      </c>
      <c r="T84" s="430">
        <v>1373.5359218274787</v>
      </c>
      <c r="U84" s="414">
        <v>24</v>
      </c>
      <c r="V84" s="414">
        <v>1321</v>
      </c>
      <c r="W84" s="414">
        <v>900</v>
      </c>
    </row>
    <row r="85" spans="2:23" ht="16.149999999999999" thickBot="1">
      <c r="B85" s="209"/>
      <c r="C85" s="213">
        <v>4</v>
      </c>
      <c r="D85" s="232" t="s">
        <v>145</v>
      </c>
      <c r="E85" s="233" t="s">
        <v>146</v>
      </c>
      <c r="F85" s="200">
        <v>36</v>
      </c>
      <c r="G85" s="194">
        <v>2126.2116251395114</v>
      </c>
      <c r="H85" s="194">
        <v>1966.7454256031099</v>
      </c>
      <c r="I85" s="194">
        <v>7.5</v>
      </c>
      <c r="J85" s="432">
        <v>404</v>
      </c>
      <c r="K85" s="187">
        <v>520</v>
      </c>
      <c r="L85" s="234"/>
      <c r="N85" s="464">
        <f>J85*H85</f>
        <v>794565.15194365638</v>
      </c>
      <c r="O85" s="418"/>
      <c r="P85" s="377"/>
      <c r="Q85" s="418" t="s">
        <v>290</v>
      </c>
      <c r="R85" s="414">
        <v>36</v>
      </c>
      <c r="S85" s="430">
        <v>2126.2116251395114</v>
      </c>
      <c r="T85" s="430">
        <v>1966.7454256031099</v>
      </c>
      <c r="U85" s="414">
        <v>7.5</v>
      </c>
      <c r="V85" s="414">
        <v>404</v>
      </c>
      <c r="W85" s="414">
        <v>520</v>
      </c>
    </row>
    <row r="86" spans="2:23" ht="19.5" customHeight="1" thickBot="1">
      <c r="D86" s="204"/>
      <c r="E86" s="205"/>
      <c r="F86" s="205"/>
      <c r="G86" s="224">
        <v>4893.8756749777749</v>
      </c>
      <c r="H86" s="235">
        <v>4190</v>
      </c>
      <c r="I86" s="207"/>
      <c r="J86" s="207"/>
      <c r="K86" s="207"/>
      <c r="P86" s="414"/>
      <c r="Q86" s="414"/>
      <c r="R86" s="414"/>
      <c r="S86" s="423">
        <f>SUM(S82:S85)</f>
        <v>4893.8756749777749</v>
      </c>
      <c r="T86" s="423">
        <f>SUM(T82:T85)</f>
        <v>4190</v>
      </c>
      <c r="U86" s="414"/>
      <c r="V86" s="414"/>
      <c r="W86" s="414"/>
    </row>
    <row r="87" spans="2:23" ht="19.5" customHeight="1" thickBot="1">
      <c r="D87" s="1293" t="s">
        <v>168</v>
      </c>
      <c r="E87" s="1293"/>
      <c r="F87" s="1293"/>
      <c r="G87" s="1"/>
      <c r="H87" s="208">
        <f>H86</f>
        <v>4190</v>
      </c>
      <c r="I87" s="1"/>
      <c r="K87" s="1"/>
      <c r="P87" s="414"/>
      <c r="Q87" s="414"/>
      <c r="R87" s="414"/>
      <c r="S87" s="414"/>
      <c r="T87" s="414"/>
      <c r="U87" s="414"/>
    </row>
    <row r="88" spans="2:23" ht="15.6">
      <c r="E88" s="1"/>
      <c r="F88" s="1"/>
      <c r="G88" s="1"/>
      <c r="H88" s="1"/>
      <c r="I88" s="1"/>
      <c r="J88" s="1"/>
      <c r="K88" s="1"/>
      <c r="P88" s="414"/>
      <c r="Q88" s="414"/>
      <c r="R88" s="414"/>
      <c r="S88" s="414"/>
      <c r="T88" s="414"/>
      <c r="U88" s="414"/>
    </row>
    <row r="89" spans="2:23" ht="15.6">
      <c r="E89" s="1"/>
      <c r="F89" s="1"/>
      <c r="G89" s="1"/>
      <c r="H89" s="1"/>
      <c r="I89" s="1"/>
      <c r="J89" s="1"/>
      <c r="K89" s="1"/>
      <c r="P89" s="414"/>
      <c r="Q89" s="414"/>
      <c r="R89" s="414"/>
      <c r="S89" s="414"/>
      <c r="T89" s="414"/>
      <c r="U89" s="414"/>
    </row>
    <row r="90" spans="2:23" ht="15.6">
      <c r="E90" s="1"/>
      <c r="F90" s="1"/>
      <c r="G90" s="1"/>
      <c r="H90" s="1"/>
      <c r="I90" s="1"/>
      <c r="J90" s="1"/>
      <c r="K90" s="1"/>
      <c r="P90" s="414"/>
      <c r="Q90" s="414"/>
      <c r="R90" s="414"/>
      <c r="S90" s="414"/>
      <c r="T90" s="414"/>
      <c r="U90" s="414"/>
    </row>
    <row r="91" spans="2:23" ht="15.6">
      <c r="E91" s="1"/>
      <c r="F91" s="1"/>
      <c r="G91" s="1"/>
      <c r="H91" s="1"/>
      <c r="I91" s="1"/>
      <c r="J91" s="1"/>
      <c r="K91" s="1"/>
      <c r="P91" s="414"/>
      <c r="Q91" s="414"/>
      <c r="R91" s="414"/>
      <c r="S91" s="414"/>
      <c r="T91" s="414"/>
      <c r="U91" s="414"/>
    </row>
    <row r="92" spans="2:23" ht="15.6">
      <c r="E92" s="1"/>
      <c r="F92" s="1"/>
      <c r="G92" s="1"/>
      <c r="H92" s="1"/>
      <c r="I92" s="1"/>
      <c r="J92" s="1"/>
      <c r="K92" s="1"/>
      <c r="P92" s="414"/>
      <c r="Q92" s="414"/>
      <c r="R92" s="414"/>
      <c r="S92" s="414"/>
      <c r="T92" s="414"/>
      <c r="U92" s="414"/>
    </row>
    <row r="93" spans="2:23" ht="15.6">
      <c r="E93" s="1"/>
      <c r="F93" s="1"/>
      <c r="G93" s="1"/>
      <c r="H93" s="1"/>
      <c r="I93" s="1"/>
      <c r="J93" s="1"/>
      <c r="K93" s="1"/>
      <c r="P93" s="414"/>
      <c r="Q93" s="414"/>
      <c r="R93" s="414"/>
      <c r="S93" s="414"/>
      <c r="T93" s="414"/>
      <c r="U93" s="414"/>
    </row>
    <row r="94" spans="2:23" ht="15.6">
      <c r="E94" s="1"/>
      <c r="F94" s="1"/>
      <c r="G94" s="1"/>
      <c r="H94" s="1"/>
      <c r="I94" s="1"/>
      <c r="J94" s="1"/>
      <c r="K94" s="1"/>
      <c r="P94" s="414"/>
      <c r="Q94" s="414"/>
      <c r="R94" s="414"/>
      <c r="S94" s="414"/>
      <c r="T94" s="414"/>
      <c r="U94" s="414"/>
    </row>
    <row r="95" spans="2:23" ht="15.6">
      <c r="E95" s="1"/>
      <c r="F95" s="1"/>
      <c r="G95" s="1"/>
      <c r="H95" s="1"/>
      <c r="I95" s="1"/>
      <c r="J95" s="1"/>
      <c r="K95" s="1"/>
      <c r="P95" s="414"/>
      <c r="Q95" s="414"/>
      <c r="R95" s="414"/>
      <c r="S95" s="414"/>
      <c r="T95" s="414"/>
      <c r="U95" s="414"/>
    </row>
    <row r="96" spans="2:23" ht="15.6">
      <c r="E96" s="1"/>
      <c r="F96" s="1"/>
      <c r="G96" s="1"/>
      <c r="H96" s="1"/>
      <c r="I96" s="1"/>
      <c r="J96" s="1"/>
      <c r="K96" s="1"/>
      <c r="P96" s="414"/>
      <c r="Q96" s="414"/>
      <c r="R96" s="414"/>
      <c r="S96" s="414"/>
      <c r="T96" s="414"/>
      <c r="U96" s="414"/>
    </row>
    <row r="97" spans="5:21" ht="15.6">
      <c r="E97" s="1"/>
      <c r="F97" s="1"/>
      <c r="G97" s="1"/>
      <c r="H97" s="1"/>
      <c r="I97" s="1"/>
      <c r="J97" s="1"/>
      <c r="K97" s="1"/>
      <c r="P97" s="414"/>
      <c r="Q97" s="414"/>
      <c r="R97" s="414"/>
      <c r="S97" s="414"/>
      <c r="T97" s="414"/>
      <c r="U97" s="414"/>
    </row>
    <row r="98" spans="5:21" ht="15.6">
      <c r="E98" s="1"/>
      <c r="F98" s="1"/>
      <c r="G98" s="1"/>
      <c r="H98" s="1"/>
      <c r="I98" s="1"/>
      <c r="J98" s="1"/>
      <c r="K98" s="1"/>
      <c r="P98" s="414"/>
      <c r="Q98" s="414"/>
      <c r="R98" s="414"/>
      <c r="S98" s="414"/>
      <c r="T98" s="414"/>
      <c r="U98" s="414"/>
    </row>
    <row r="99" spans="5:21" ht="15.6">
      <c r="E99" s="1"/>
      <c r="F99" s="1"/>
      <c r="G99" s="1"/>
      <c r="H99" s="1"/>
      <c r="I99" s="1"/>
      <c r="J99" s="1"/>
      <c r="K99" s="1"/>
      <c r="P99" s="414"/>
      <c r="Q99" s="414"/>
      <c r="R99" s="414"/>
      <c r="S99" s="414"/>
      <c r="T99" s="414"/>
      <c r="U99" s="414"/>
    </row>
    <row r="100" spans="5:21" ht="15.6">
      <c r="E100" s="1"/>
      <c r="F100" s="1"/>
      <c r="G100" s="1"/>
      <c r="H100" s="1"/>
      <c r="I100" s="1"/>
      <c r="J100" s="1"/>
      <c r="K100" s="1"/>
      <c r="P100" s="414"/>
      <c r="Q100" s="414"/>
      <c r="R100" s="414"/>
      <c r="S100" s="414"/>
      <c r="T100" s="414"/>
      <c r="U100" s="414"/>
    </row>
    <row r="101" spans="5:21" ht="15.6">
      <c r="E101" s="1"/>
      <c r="F101" s="1"/>
      <c r="G101" s="1"/>
      <c r="H101" s="1"/>
      <c r="I101" s="1"/>
      <c r="J101" s="1"/>
      <c r="K101" s="1"/>
      <c r="P101" s="414"/>
      <c r="Q101" s="414"/>
      <c r="R101" s="414"/>
      <c r="S101" s="414"/>
      <c r="T101" s="414"/>
      <c r="U101" s="414"/>
    </row>
    <row r="102" spans="5:21" ht="15.6">
      <c r="E102" s="1"/>
      <c r="F102" s="1"/>
      <c r="G102" s="1"/>
      <c r="H102" s="1"/>
      <c r="I102" s="1"/>
      <c r="J102" s="1"/>
      <c r="K102" s="1"/>
      <c r="P102" s="414"/>
      <c r="Q102" s="414"/>
      <c r="R102" s="414"/>
      <c r="S102" s="414"/>
      <c r="T102" s="414"/>
      <c r="U102" s="414"/>
    </row>
    <row r="103" spans="5:21" ht="15.6">
      <c r="E103" s="1"/>
      <c r="F103" s="1"/>
      <c r="G103" s="1"/>
      <c r="H103" s="1"/>
      <c r="I103" s="1"/>
      <c r="J103" s="1"/>
      <c r="K103" s="1"/>
      <c r="P103" s="414"/>
      <c r="Q103" s="414"/>
      <c r="R103" s="414"/>
      <c r="S103" s="414"/>
      <c r="T103" s="414"/>
      <c r="U103" s="414"/>
    </row>
    <row r="104" spans="5:21" ht="15.6">
      <c r="E104" s="1"/>
      <c r="F104" s="1"/>
      <c r="G104" s="1"/>
      <c r="H104" s="1"/>
      <c r="I104" s="1"/>
      <c r="J104" s="1"/>
      <c r="K104" s="1"/>
      <c r="P104" s="414"/>
      <c r="Q104" s="414"/>
      <c r="R104" s="414"/>
      <c r="S104" s="414"/>
      <c r="T104" s="414"/>
      <c r="U104" s="414"/>
    </row>
    <row r="105" spans="5:21" ht="15.6">
      <c r="E105" s="1"/>
      <c r="F105" s="1"/>
      <c r="G105" s="1"/>
      <c r="H105" s="1"/>
      <c r="I105" s="1"/>
      <c r="J105" s="1"/>
      <c r="K105" s="1"/>
      <c r="P105" s="414"/>
      <c r="Q105" s="414"/>
      <c r="R105" s="414"/>
      <c r="S105" s="414"/>
      <c r="T105" s="414"/>
      <c r="U105" s="414"/>
    </row>
    <row r="106" spans="5:21" ht="15.6">
      <c r="E106" s="1"/>
      <c r="F106" s="1"/>
      <c r="G106" s="1"/>
      <c r="H106" s="1"/>
      <c r="I106" s="1"/>
      <c r="J106" s="1"/>
      <c r="K106" s="1"/>
      <c r="P106" s="414"/>
      <c r="Q106" s="414"/>
      <c r="R106" s="414"/>
      <c r="S106" s="414"/>
      <c r="T106" s="414"/>
      <c r="U106" s="414"/>
    </row>
    <row r="107" spans="5:21" ht="15.6">
      <c r="E107" s="1"/>
      <c r="F107" s="1"/>
      <c r="G107" s="1"/>
      <c r="H107" s="1"/>
      <c r="I107" s="1"/>
      <c r="J107" s="1"/>
      <c r="K107" s="1"/>
      <c r="P107" s="414"/>
      <c r="Q107" s="414"/>
      <c r="R107" s="414"/>
      <c r="S107" s="414"/>
      <c r="T107" s="414"/>
      <c r="U107" s="414"/>
    </row>
    <row r="108" spans="5:21" ht="15.6">
      <c r="E108" s="1"/>
      <c r="F108" s="1"/>
      <c r="G108" s="1"/>
      <c r="H108" s="1"/>
      <c r="I108" s="1"/>
      <c r="J108" s="1"/>
      <c r="K108" s="1"/>
      <c r="P108" s="414"/>
      <c r="Q108" s="414"/>
      <c r="R108" s="414"/>
      <c r="S108" s="414"/>
      <c r="T108" s="414"/>
      <c r="U108" s="414"/>
    </row>
    <row r="109" spans="5:21" ht="15.6">
      <c r="E109" s="1"/>
      <c r="F109" s="1"/>
      <c r="G109" s="1"/>
      <c r="H109" s="1"/>
      <c r="I109" s="1"/>
      <c r="J109" s="1"/>
      <c r="K109" s="1"/>
      <c r="P109" s="414"/>
      <c r="Q109" s="414"/>
      <c r="R109" s="414"/>
      <c r="S109" s="414"/>
      <c r="T109" s="414"/>
      <c r="U109" s="414"/>
    </row>
    <row r="110" spans="5:21" ht="15.6">
      <c r="E110" s="1"/>
      <c r="F110" s="1"/>
      <c r="G110" s="1"/>
      <c r="H110" s="1"/>
      <c r="I110" s="1"/>
      <c r="J110" s="1"/>
      <c r="K110" s="1"/>
      <c r="P110" s="414"/>
      <c r="Q110" s="414"/>
      <c r="R110" s="414"/>
      <c r="S110" s="414"/>
      <c r="T110" s="414"/>
      <c r="U110" s="414"/>
    </row>
    <row r="111" spans="5:21" ht="15.6">
      <c r="E111" s="1"/>
      <c r="F111" s="1"/>
      <c r="G111" s="1"/>
      <c r="H111" s="1"/>
      <c r="I111" s="1"/>
      <c r="J111" s="1"/>
      <c r="K111" s="1"/>
      <c r="P111" s="414"/>
      <c r="Q111" s="414"/>
      <c r="R111" s="414"/>
      <c r="S111" s="414"/>
      <c r="T111" s="414"/>
      <c r="U111" s="414"/>
    </row>
    <row r="112" spans="5:21" ht="15.6">
      <c r="E112" s="1"/>
      <c r="F112" s="1"/>
      <c r="G112" s="1"/>
      <c r="H112" s="1"/>
      <c r="I112" s="1"/>
      <c r="J112" s="1"/>
      <c r="K112" s="1"/>
      <c r="P112" s="414"/>
      <c r="Q112" s="414"/>
      <c r="R112" s="414"/>
      <c r="S112" s="414"/>
      <c r="T112" s="414"/>
      <c r="U112" s="414"/>
    </row>
    <row r="113" spans="5:21" ht="15.6">
      <c r="E113" s="1"/>
      <c r="F113" s="1"/>
      <c r="G113" s="1"/>
      <c r="H113" s="1"/>
      <c r="I113" s="1"/>
      <c r="J113" s="1"/>
      <c r="K113" s="1"/>
      <c r="P113" s="414"/>
      <c r="Q113" s="414"/>
      <c r="R113" s="414"/>
      <c r="S113" s="414"/>
      <c r="T113" s="414"/>
      <c r="U113" s="414"/>
    </row>
    <row r="114" spans="5:21" ht="15.6">
      <c r="E114" s="1"/>
      <c r="F114" s="1"/>
      <c r="G114" s="1"/>
      <c r="H114" s="1"/>
      <c r="I114" s="1"/>
      <c r="J114" s="1"/>
      <c r="K114" s="1"/>
      <c r="P114" s="414"/>
      <c r="Q114" s="414"/>
      <c r="R114" s="414"/>
      <c r="S114" s="414"/>
      <c r="T114" s="414"/>
      <c r="U114" s="414"/>
    </row>
    <row r="115" spans="5:21" ht="15.6">
      <c r="E115" s="1"/>
      <c r="F115" s="1"/>
      <c r="G115" s="1"/>
      <c r="H115" s="1"/>
      <c r="I115" s="1"/>
      <c r="J115" s="1"/>
      <c r="K115" s="1"/>
      <c r="P115" s="414"/>
      <c r="Q115" s="414"/>
      <c r="R115" s="414"/>
      <c r="S115" s="414"/>
      <c r="T115" s="414"/>
      <c r="U115" s="414"/>
    </row>
    <row r="116" spans="5:21" ht="15.6">
      <c r="E116" s="1"/>
      <c r="F116" s="1"/>
      <c r="G116" s="1"/>
      <c r="H116" s="1"/>
      <c r="I116" s="1"/>
      <c r="J116" s="1"/>
      <c r="K116" s="1"/>
      <c r="P116" s="414"/>
      <c r="Q116" s="414"/>
      <c r="R116" s="414"/>
      <c r="S116" s="414"/>
      <c r="T116" s="414"/>
      <c r="U116" s="414"/>
    </row>
    <row r="117" spans="5:21" ht="15.6">
      <c r="E117" s="1"/>
      <c r="F117" s="1"/>
      <c r="G117" s="1"/>
      <c r="H117" s="1"/>
      <c r="I117" s="1"/>
      <c r="J117" s="1"/>
      <c r="K117" s="1"/>
      <c r="P117" s="414"/>
      <c r="Q117" s="414"/>
      <c r="R117" s="414"/>
      <c r="S117" s="414"/>
      <c r="T117" s="414"/>
      <c r="U117" s="414"/>
    </row>
    <row r="118" spans="5:21" ht="15.6">
      <c r="E118" s="1"/>
      <c r="F118" s="1"/>
      <c r="G118" s="1"/>
      <c r="H118" s="1"/>
      <c r="I118" s="1"/>
      <c r="J118" s="1"/>
      <c r="K118" s="1"/>
      <c r="P118" s="414"/>
      <c r="Q118" s="414"/>
      <c r="R118" s="414"/>
      <c r="S118" s="414"/>
      <c r="T118" s="414"/>
      <c r="U118" s="414"/>
    </row>
    <row r="119" spans="5:21" ht="15.6">
      <c r="E119" s="1"/>
      <c r="F119" s="1"/>
      <c r="G119" s="1"/>
      <c r="H119" s="1"/>
      <c r="I119" s="1"/>
      <c r="J119" s="1"/>
      <c r="K119" s="1"/>
      <c r="P119" s="414"/>
      <c r="Q119" s="414"/>
      <c r="R119" s="414"/>
      <c r="S119" s="414"/>
      <c r="T119" s="414"/>
      <c r="U119" s="414"/>
    </row>
    <row r="120" spans="5:21" ht="15.6">
      <c r="E120" s="1"/>
      <c r="F120" s="1"/>
      <c r="G120" s="1"/>
      <c r="H120" s="1"/>
      <c r="I120" s="1"/>
      <c r="J120" s="1"/>
      <c r="K120" s="1"/>
      <c r="P120" s="414"/>
      <c r="Q120" s="414"/>
      <c r="R120" s="414"/>
      <c r="S120" s="414"/>
      <c r="T120" s="414"/>
      <c r="U120" s="414"/>
    </row>
    <row r="121" spans="5:21" ht="15.6">
      <c r="E121" s="1"/>
      <c r="F121" s="1"/>
      <c r="G121" s="1"/>
      <c r="H121" s="1"/>
      <c r="I121" s="1"/>
      <c r="J121" s="1"/>
      <c r="K121" s="1"/>
      <c r="P121" s="414"/>
      <c r="Q121" s="414"/>
      <c r="R121" s="414"/>
      <c r="S121" s="414"/>
      <c r="T121" s="414"/>
      <c r="U121" s="414"/>
    </row>
    <row r="122" spans="5:21" ht="15.6">
      <c r="E122" s="1"/>
      <c r="F122" s="1"/>
      <c r="G122" s="1"/>
      <c r="H122" s="1"/>
      <c r="I122" s="1"/>
      <c r="J122" s="1"/>
      <c r="K122" s="1"/>
      <c r="P122" s="414"/>
      <c r="Q122" s="414"/>
      <c r="R122" s="414"/>
      <c r="S122" s="414"/>
      <c r="T122" s="414"/>
      <c r="U122" s="414"/>
    </row>
    <row r="123" spans="5:21" ht="15.6">
      <c r="E123" s="1"/>
      <c r="F123" s="1"/>
      <c r="G123" s="1"/>
      <c r="H123" s="1"/>
      <c r="I123" s="1"/>
      <c r="J123" s="1"/>
      <c r="K123" s="1"/>
      <c r="P123" s="414"/>
      <c r="Q123" s="414"/>
      <c r="R123" s="414"/>
      <c r="S123" s="414"/>
      <c r="T123" s="414"/>
      <c r="U123" s="414"/>
    </row>
    <row r="124" spans="5:21" ht="15.6">
      <c r="E124" s="1"/>
      <c r="F124" s="1"/>
      <c r="G124" s="1"/>
      <c r="H124" s="1"/>
      <c r="I124" s="1"/>
      <c r="J124" s="1"/>
      <c r="K124" s="1"/>
      <c r="P124" s="414"/>
      <c r="Q124" s="414"/>
      <c r="R124" s="414"/>
      <c r="S124" s="414"/>
      <c r="T124" s="414"/>
      <c r="U124" s="414"/>
    </row>
    <row r="125" spans="5:21" ht="15.6">
      <c r="E125" s="1"/>
      <c r="F125" s="1"/>
      <c r="G125" s="1"/>
      <c r="H125" s="1"/>
      <c r="I125" s="1"/>
      <c r="J125" s="1"/>
      <c r="K125" s="1"/>
      <c r="P125" s="414"/>
      <c r="Q125" s="414"/>
      <c r="R125" s="414"/>
      <c r="S125" s="414"/>
      <c r="T125" s="414"/>
      <c r="U125" s="414"/>
    </row>
    <row r="126" spans="5:21" ht="15.6">
      <c r="E126" s="1"/>
      <c r="F126" s="1"/>
      <c r="G126" s="1"/>
      <c r="H126" s="1"/>
      <c r="I126" s="1"/>
      <c r="J126" s="1"/>
      <c r="K126" s="1"/>
      <c r="P126" s="414"/>
      <c r="Q126" s="414"/>
      <c r="R126" s="414"/>
      <c r="S126" s="414"/>
      <c r="T126" s="414"/>
      <c r="U126" s="414"/>
    </row>
    <row r="127" spans="5:21" ht="15.6">
      <c r="E127" s="1"/>
      <c r="F127" s="1"/>
      <c r="G127" s="1"/>
      <c r="H127" s="1"/>
      <c r="I127" s="1"/>
      <c r="J127" s="1"/>
      <c r="K127" s="1"/>
      <c r="P127" s="414"/>
      <c r="Q127" s="414"/>
      <c r="R127" s="414"/>
      <c r="S127" s="414"/>
      <c r="T127" s="414"/>
      <c r="U127" s="414"/>
    </row>
    <row r="128" spans="5:21" ht="15.6">
      <c r="E128" s="1"/>
      <c r="F128" s="1"/>
      <c r="G128" s="1"/>
      <c r="H128" s="1"/>
      <c r="I128" s="1"/>
      <c r="J128" s="1"/>
      <c r="K128" s="1"/>
      <c r="P128" s="414"/>
      <c r="Q128" s="414"/>
      <c r="R128" s="414"/>
      <c r="S128" s="414"/>
      <c r="T128" s="414"/>
      <c r="U128" s="414"/>
    </row>
    <row r="129" spans="5:21" ht="15.6">
      <c r="E129" s="1"/>
      <c r="F129" s="1"/>
      <c r="G129" s="1"/>
      <c r="H129" s="1"/>
      <c r="I129" s="1"/>
      <c r="J129" s="1"/>
      <c r="K129" s="1"/>
      <c r="P129" s="414"/>
      <c r="Q129" s="414"/>
      <c r="R129" s="414"/>
      <c r="S129" s="414"/>
      <c r="T129" s="414"/>
      <c r="U129" s="414"/>
    </row>
    <row r="130" spans="5:21" ht="15.6">
      <c r="E130" s="1"/>
      <c r="F130" s="1"/>
      <c r="G130" s="1"/>
      <c r="H130" s="1"/>
      <c r="I130" s="1"/>
      <c r="J130" s="1"/>
      <c r="K130" s="1"/>
      <c r="P130" s="414"/>
      <c r="Q130" s="414"/>
      <c r="R130" s="414"/>
      <c r="S130" s="414"/>
      <c r="T130" s="414"/>
      <c r="U130" s="414"/>
    </row>
    <row r="131" spans="5:21" ht="15.6">
      <c r="E131" s="1"/>
      <c r="F131" s="1"/>
      <c r="G131" s="1"/>
      <c r="H131" s="1"/>
      <c r="I131" s="1"/>
      <c r="J131" s="1"/>
      <c r="K131" s="1"/>
      <c r="P131" s="414"/>
      <c r="Q131" s="414"/>
      <c r="R131" s="414"/>
      <c r="S131" s="414"/>
      <c r="T131" s="414"/>
      <c r="U131" s="414"/>
    </row>
    <row r="132" spans="5:21" ht="15.6">
      <c r="E132" s="1"/>
      <c r="F132" s="1"/>
      <c r="G132" s="1"/>
      <c r="H132" s="1"/>
      <c r="I132" s="1"/>
      <c r="J132" s="1"/>
      <c r="K132" s="1"/>
      <c r="P132" s="414"/>
      <c r="Q132" s="414"/>
      <c r="R132" s="414"/>
      <c r="S132" s="414"/>
      <c r="T132" s="414"/>
      <c r="U132" s="414"/>
    </row>
    <row r="133" spans="5:21" ht="15.6">
      <c r="E133" s="1"/>
      <c r="F133" s="1"/>
      <c r="G133" s="1"/>
      <c r="H133" s="1"/>
      <c r="I133" s="1"/>
      <c r="J133" s="1"/>
      <c r="K133" s="1"/>
      <c r="P133" s="414"/>
      <c r="Q133" s="414"/>
      <c r="R133" s="414"/>
      <c r="S133" s="414"/>
      <c r="T133" s="414"/>
      <c r="U133" s="414"/>
    </row>
    <row r="134" spans="5:21" ht="15.6">
      <c r="E134" s="1"/>
      <c r="F134" s="1"/>
      <c r="G134" s="1"/>
      <c r="H134" s="1"/>
      <c r="I134" s="1"/>
      <c r="J134" s="1"/>
      <c r="K134" s="1"/>
      <c r="P134" s="414"/>
      <c r="Q134" s="414"/>
      <c r="R134" s="414"/>
      <c r="S134" s="414"/>
      <c r="T134" s="414"/>
      <c r="U134" s="414"/>
    </row>
    <row r="135" spans="5:21" ht="15.6">
      <c r="E135" s="1"/>
      <c r="F135" s="1"/>
      <c r="G135" s="1"/>
      <c r="H135" s="1"/>
      <c r="I135" s="1"/>
      <c r="J135" s="1"/>
      <c r="K135" s="1"/>
      <c r="P135" s="414"/>
      <c r="Q135" s="414"/>
      <c r="R135" s="414"/>
      <c r="S135" s="414"/>
      <c r="T135" s="414"/>
      <c r="U135" s="414"/>
    </row>
    <row r="136" spans="5:21" ht="15.6">
      <c r="E136" s="1"/>
      <c r="F136" s="1"/>
      <c r="G136" s="1"/>
      <c r="H136" s="1"/>
      <c r="I136" s="1"/>
      <c r="J136" s="1"/>
      <c r="K136" s="1"/>
      <c r="P136" s="414"/>
      <c r="Q136" s="414"/>
      <c r="R136" s="414"/>
      <c r="S136" s="414"/>
      <c r="T136" s="414"/>
      <c r="U136" s="414"/>
    </row>
    <row r="137" spans="5:21" ht="15.6">
      <c r="E137" s="1"/>
      <c r="F137" s="1"/>
      <c r="G137" s="1"/>
      <c r="H137" s="1"/>
      <c r="I137" s="1"/>
      <c r="J137" s="1"/>
      <c r="K137" s="1"/>
      <c r="P137" s="414"/>
      <c r="Q137" s="414"/>
      <c r="R137" s="414"/>
      <c r="S137" s="414"/>
      <c r="T137" s="414"/>
      <c r="U137" s="414"/>
    </row>
    <row r="138" spans="5:21" ht="15.6">
      <c r="E138" s="1"/>
      <c r="F138" s="1"/>
      <c r="G138" s="1"/>
      <c r="H138" s="1"/>
      <c r="I138" s="1"/>
      <c r="J138" s="1"/>
      <c r="K138" s="1"/>
      <c r="P138" s="414"/>
      <c r="Q138" s="414"/>
      <c r="R138" s="414"/>
      <c r="S138" s="414"/>
      <c r="T138" s="414"/>
      <c r="U138" s="414"/>
    </row>
    <row r="139" spans="5:21" ht="15.6">
      <c r="E139" s="1"/>
      <c r="F139" s="1"/>
      <c r="G139" s="1"/>
      <c r="H139" s="1"/>
      <c r="I139" s="1"/>
      <c r="J139" s="1"/>
      <c r="K139" s="1"/>
      <c r="P139" s="414"/>
      <c r="Q139" s="414"/>
      <c r="R139" s="414"/>
      <c r="S139" s="414"/>
      <c r="T139" s="414"/>
      <c r="U139" s="414"/>
    </row>
    <row r="140" spans="5:21" ht="15.6">
      <c r="E140" s="1"/>
      <c r="F140" s="1"/>
      <c r="G140" s="1"/>
      <c r="H140" s="1"/>
      <c r="I140" s="1"/>
      <c r="J140" s="1"/>
      <c r="K140" s="1"/>
      <c r="P140" s="414"/>
      <c r="Q140" s="414"/>
      <c r="R140" s="414"/>
      <c r="S140" s="414"/>
      <c r="T140" s="414"/>
      <c r="U140" s="414"/>
    </row>
    <row r="141" spans="5:21" ht="15.6">
      <c r="E141" s="1"/>
      <c r="F141" s="1"/>
      <c r="G141" s="1"/>
      <c r="H141" s="1"/>
      <c r="I141" s="1"/>
      <c r="J141" s="1"/>
      <c r="K141" s="1"/>
      <c r="P141" s="414"/>
      <c r="Q141" s="414"/>
      <c r="R141" s="414"/>
      <c r="S141" s="414"/>
      <c r="T141" s="414"/>
      <c r="U141" s="414"/>
    </row>
    <row r="142" spans="5:21" ht="15.6">
      <c r="E142" s="1"/>
      <c r="F142" s="1"/>
      <c r="G142" s="1"/>
      <c r="H142" s="1"/>
      <c r="I142" s="1"/>
      <c r="J142" s="1"/>
      <c r="K142" s="1"/>
      <c r="P142" s="414"/>
      <c r="Q142" s="414"/>
      <c r="R142" s="414"/>
      <c r="S142" s="414"/>
      <c r="T142" s="414"/>
      <c r="U142" s="414"/>
    </row>
    <row r="143" spans="5:21" ht="15.6">
      <c r="E143" s="1"/>
      <c r="F143" s="1"/>
      <c r="G143" s="1"/>
      <c r="H143" s="1"/>
      <c r="I143" s="1"/>
      <c r="J143" s="1"/>
      <c r="K143" s="1"/>
      <c r="P143" s="414"/>
      <c r="Q143" s="414"/>
      <c r="R143" s="414"/>
      <c r="S143" s="414"/>
      <c r="T143" s="414"/>
      <c r="U143" s="414"/>
    </row>
    <row r="144" spans="5:21" ht="15.6">
      <c r="E144" s="1"/>
      <c r="F144" s="1"/>
      <c r="G144" s="1"/>
      <c r="H144" s="1"/>
      <c r="I144" s="1"/>
      <c r="J144" s="1"/>
      <c r="K144" s="1"/>
      <c r="P144" s="414"/>
      <c r="Q144" s="414"/>
      <c r="R144" s="414"/>
      <c r="S144" s="414"/>
      <c r="T144" s="414"/>
      <c r="U144" s="414"/>
    </row>
    <row r="145" spans="5:21" ht="15.6">
      <c r="E145" s="1"/>
      <c r="F145" s="1"/>
      <c r="G145" s="1"/>
      <c r="H145" s="1"/>
      <c r="I145" s="1"/>
      <c r="J145" s="1"/>
      <c r="K145" s="1"/>
      <c r="P145" s="414"/>
      <c r="Q145" s="414"/>
      <c r="R145" s="414"/>
      <c r="S145" s="414"/>
      <c r="T145" s="414"/>
      <c r="U145" s="414"/>
    </row>
    <row r="146" spans="5:21" ht="15.6">
      <c r="E146" s="1"/>
      <c r="F146" s="1"/>
      <c r="G146" s="1"/>
      <c r="H146" s="1"/>
      <c r="I146" s="1"/>
      <c r="J146" s="1"/>
      <c r="K146" s="1"/>
      <c r="P146" s="414"/>
      <c r="Q146" s="414"/>
      <c r="R146" s="414"/>
      <c r="S146" s="414"/>
      <c r="T146" s="414"/>
      <c r="U146" s="414"/>
    </row>
    <row r="147" spans="5:21" ht="15.6">
      <c r="E147" s="1"/>
      <c r="F147" s="1"/>
      <c r="G147" s="1"/>
      <c r="H147" s="1"/>
      <c r="I147" s="1"/>
      <c r="J147" s="1"/>
      <c r="K147" s="1"/>
      <c r="P147" s="414"/>
      <c r="Q147" s="414"/>
      <c r="R147" s="414"/>
      <c r="S147" s="414"/>
      <c r="T147" s="414"/>
      <c r="U147" s="414"/>
    </row>
    <row r="148" spans="5:21" ht="15.6">
      <c r="E148" s="1"/>
      <c r="F148" s="1"/>
      <c r="G148" s="1"/>
      <c r="H148" s="1"/>
      <c r="I148" s="1"/>
      <c r="J148" s="1"/>
      <c r="K148" s="1"/>
      <c r="P148" s="414"/>
      <c r="Q148" s="414"/>
      <c r="R148" s="414"/>
      <c r="S148" s="414"/>
      <c r="T148" s="414"/>
      <c r="U148" s="414"/>
    </row>
    <row r="149" spans="5:21" ht="15.6">
      <c r="E149" s="1"/>
      <c r="F149" s="1"/>
      <c r="G149" s="1"/>
      <c r="H149" s="1"/>
      <c r="I149" s="1"/>
      <c r="J149" s="1"/>
      <c r="K149" s="1"/>
      <c r="P149" s="414"/>
      <c r="Q149" s="414"/>
      <c r="R149" s="414"/>
      <c r="S149" s="414"/>
      <c r="T149" s="414"/>
      <c r="U149" s="414"/>
    </row>
    <row r="150" spans="5:21" ht="15.6">
      <c r="E150" s="1"/>
      <c r="F150" s="1"/>
      <c r="G150" s="1"/>
      <c r="H150" s="1"/>
      <c r="I150" s="1"/>
      <c r="J150" s="1"/>
      <c r="K150" s="1"/>
      <c r="P150" s="414"/>
      <c r="Q150" s="414"/>
      <c r="R150" s="414"/>
      <c r="S150" s="414"/>
      <c r="T150" s="414"/>
      <c r="U150" s="414"/>
    </row>
    <row r="151" spans="5:21" ht="15.6">
      <c r="E151" s="1"/>
      <c r="F151" s="1"/>
      <c r="G151" s="1"/>
      <c r="H151" s="1"/>
      <c r="I151" s="1"/>
      <c r="J151" s="1"/>
      <c r="K151" s="1"/>
      <c r="P151" s="414"/>
      <c r="Q151" s="414"/>
      <c r="R151" s="414"/>
      <c r="S151" s="414"/>
      <c r="T151" s="414"/>
      <c r="U151" s="414"/>
    </row>
    <row r="152" spans="5:21" ht="15.6">
      <c r="E152" s="1"/>
      <c r="F152" s="1"/>
      <c r="G152" s="1"/>
      <c r="H152" s="1"/>
      <c r="I152" s="1"/>
      <c r="J152" s="1"/>
      <c r="K152" s="1"/>
      <c r="P152" s="414"/>
      <c r="Q152" s="414"/>
      <c r="R152" s="414"/>
      <c r="S152" s="414"/>
      <c r="T152" s="414"/>
      <c r="U152" s="414"/>
    </row>
    <row r="153" spans="5:21" ht="15.6">
      <c r="E153" s="1"/>
      <c r="F153" s="1"/>
      <c r="G153" s="1"/>
      <c r="H153" s="1"/>
      <c r="I153" s="1"/>
      <c r="J153" s="1"/>
      <c r="K153" s="1"/>
      <c r="P153" s="414"/>
      <c r="Q153" s="414"/>
      <c r="R153" s="414"/>
      <c r="S153" s="414"/>
      <c r="T153" s="414"/>
      <c r="U153" s="414"/>
    </row>
    <row r="154" spans="5:21" ht="15.6">
      <c r="E154" s="1"/>
      <c r="F154" s="1"/>
      <c r="G154" s="1"/>
      <c r="H154" s="1"/>
      <c r="I154" s="1"/>
      <c r="J154" s="1"/>
      <c r="K154" s="1"/>
      <c r="P154" s="414"/>
      <c r="Q154" s="414"/>
      <c r="R154" s="414"/>
      <c r="S154" s="414"/>
      <c r="T154" s="414"/>
      <c r="U154" s="414"/>
    </row>
    <row r="155" spans="5:21" ht="15.6">
      <c r="E155" s="1"/>
      <c r="F155" s="1"/>
      <c r="G155" s="1"/>
      <c r="H155" s="1"/>
      <c r="I155" s="1"/>
      <c r="J155" s="1"/>
      <c r="K155" s="1"/>
      <c r="P155" s="414"/>
      <c r="Q155" s="414"/>
      <c r="R155" s="414"/>
      <c r="S155" s="414"/>
      <c r="T155" s="414"/>
      <c r="U155" s="414"/>
    </row>
    <row r="156" spans="5:21" ht="15.6">
      <c r="E156" s="1"/>
      <c r="F156" s="1"/>
      <c r="G156" s="1"/>
      <c r="H156" s="1"/>
      <c r="I156" s="1"/>
      <c r="J156" s="1"/>
      <c r="K156" s="1"/>
      <c r="P156" s="414"/>
      <c r="Q156" s="414"/>
      <c r="R156" s="414"/>
      <c r="S156" s="414"/>
      <c r="T156" s="414"/>
      <c r="U156" s="414"/>
    </row>
    <row r="157" spans="5:21" ht="15.6">
      <c r="E157" s="1"/>
      <c r="F157" s="1"/>
      <c r="G157" s="1"/>
      <c r="H157" s="1"/>
      <c r="I157" s="1"/>
      <c r="J157" s="1"/>
      <c r="K157" s="1"/>
      <c r="P157" s="414"/>
      <c r="Q157" s="414"/>
      <c r="R157" s="414"/>
      <c r="S157" s="414"/>
      <c r="T157" s="414"/>
      <c r="U157" s="414"/>
    </row>
    <row r="158" spans="5:21" ht="15.6">
      <c r="E158" s="1"/>
      <c r="F158" s="1"/>
      <c r="G158" s="1"/>
      <c r="H158" s="1"/>
      <c r="I158" s="1"/>
      <c r="J158" s="1"/>
      <c r="K158" s="1"/>
      <c r="P158" s="414"/>
      <c r="Q158" s="414"/>
      <c r="R158" s="414"/>
      <c r="S158" s="414"/>
      <c r="T158" s="414"/>
      <c r="U158" s="414"/>
    </row>
    <row r="159" spans="5:21" ht="15.6">
      <c r="E159" s="1"/>
      <c r="F159" s="1"/>
      <c r="G159" s="1"/>
      <c r="H159" s="1"/>
      <c r="I159" s="1"/>
      <c r="J159" s="1"/>
      <c r="K159" s="1"/>
      <c r="P159" s="414"/>
      <c r="Q159" s="414"/>
      <c r="R159" s="414"/>
      <c r="S159" s="414"/>
      <c r="T159" s="414"/>
      <c r="U159" s="414"/>
    </row>
    <row r="160" spans="5:21" ht="15.6">
      <c r="E160" s="1"/>
      <c r="F160" s="1"/>
      <c r="G160" s="1"/>
      <c r="H160" s="1"/>
      <c r="I160" s="1"/>
      <c r="J160" s="1"/>
      <c r="K160" s="1"/>
      <c r="P160" s="414"/>
      <c r="Q160" s="414"/>
      <c r="R160" s="414"/>
      <c r="S160" s="414"/>
      <c r="T160" s="414"/>
      <c r="U160" s="414"/>
    </row>
    <row r="161" spans="5:21" ht="15.6">
      <c r="E161" s="1"/>
      <c r="F161" s="1"/>
      <c r="G161" s="1"/>
      <c r="H161" s="1"/>
      <c r="I161" s="1"/>
      <c r="J161" s="1"/>
      <c r="K161" s="1"/>
      <c r="P161" s="414"/>
      <c r="Q161" s="414"/>
      <c r="R161" s="414"/>
      <c r="S161" s="414"/>
      <c r="T161" s="414"/>
      <c r="U161" s="414"/>
    </row>
    <row r="162" spans="5:21" ht="15.6">
      <c r="E162" s="1"/>
      <c r="F162" s="1"/>
      <c r="G162" s="1"/>
      <c r="H162" s="1"/>
      <c r="I162" s="1"/>
      <c r="J162" s="1"/>
      <c r="K162" s="1"/>
      <c r="P162" s="414"/>
      <c r="Q162" s="414"/>
      <c r="R162" s="414"/>
      <c r="S162" s="414"/>
      <c r="T162" s="414"/>
      <c r="U162" s="414"/>
    </row>
    <row r="163" spans="5:21" ht="15.6">
      <c r="E163" s="1"/>
      <c r="F163" s="1"/>
      <c r="G163" s="1"/>
      <c r="H163" s="1"/>
      <c r="I163" s="1"/>
      <c r="J163" s="1"/>
      <c r="K163" s="1"/>
      <c r="P163" s="414"/>
      <c r="Q163" s="414"/>
      <c r="R163" s="414"/>
      <c r="S163" s="414"/>
      <c r="T163" s="414"/>
      <c r="U163" s="414"/>
    </row>
    <row r="164" spans="5:21" ht="15.6">
      <c r="E164" s="1"/>
      <c r="F164" s="1"/>
      <c r="G164" s="1"/>
      <c r="H164" s="1"/>
      <c r="I164" s="1"/>
      <c r="J164" s="1"/>
      <c r="K164" s="1"/>
      <c r="P164" s="414"/>
      <c r="Q164" s="414"/>
      <c r="R164" s="414"/>
      <c r="S164" s="414"/>
      <c r="T164" s="414"/>
      <c r="U164" s="414"/>
    </row>
    <row r="165" spans="5:21" ht="15.6">
      <c r="E165" s="1"/>
      <c r="F165" s="1"/>
      <c r="G165" s="1"/>
      <c r="H165" s="1"/>
      <c r="I165" s="1"/>
      <c r="J165" s="1"/>
      <c r="K165" s="1"/>
      <c r="P165" s="414"/>
      <c r="Q165" s="414"/>
      <c r="R165" s="414"/>
      <c r="S165" s="414"/>
      <c r="T165" s="414"/>
      <c r="U165" s="414"/>
    </row>
    <row r="166" spans="5:21" ht="15.6">
      <c r="E166" s="1"/>
      <c r="F166" s="1"/>
      <c r="G166" s="1"/>
      <c r="H166" s="1"/>
      <c r="I166" s="1"/>
      <c r="J166" s="1"/>
      <c r="K166" s="1"/>
      <c r="P166" s="414"/>
      <c r="Q166" s="414"/>
      <c r="R166" s="414"/>
      <c r="S166" s="414"/>
      <c r="T166" s="414"/>
      <c r="U166" s="414"/>
    </row>
    <row r="167" spans="5:21" ht="15.6">
      <c r="E167" s="1"/>
      <c r="F167" s="1"/>
      <c r="G167" s="1"/>
      <c r="H167" s="1"/>
      <c r="I167" s="1"/>
      <c r="J167" s="1"/>
      <c r="K167" s="1"/>
      <c r="P167" s="414"/>
      <c r="Q167" s="414"/>
      <c r="R167" s="414"/>
      <c r="S167" s="414"/>
      <c r="T167" s="414"/>
      <c r="U167" s="414"/>
    </row>
    <row r="168" spans="5:21" ht="15.6">
      <c r="E168" s="1"/>
      <c r="F168" s="1"/>
      <c r="G168" s="1"/>
      <c r="H168" s="1"/>
      <c r="I168" s="1"/>
      <c r="J168" s="1"/>
      <c r="K168" s="1"/>
      <c r="P168" s="414"/>
      <c r="Q168" s="414"/>
      <c r="R168" s="414"/>
      <c r="S168" s="414"/>
      <c r="T168" s="414"/>
      <c r="U168" s="414"/>
    </row>
    <row r="169" spans="5:21" ht="15.6">
      <c r="E169" s="1"/>
      <c r="F169" s="1"/>
      <c r="G169" s="1"/>
      <c r="H169" s="1"/>
      <c r="I169" s="1"/>
      <c r="J169" s="1"/>
      <c r="K169" s="1"/>
      <c r="P169" s="414"/>
      <c r="Q169" s="414"/>
      <c r="R169" s="414"/>
      <c r="S169" s="414"/>
      <c r="T169" s="414"/>
      <c r="U169" s="414"/>
    </row>
    <row r="170" spans="5:21" ht="15.6">
      <c r="E170" s="1"/>
      <c r="F170" s="1"/>
      <c r="G170" s="1"/>
      <c r="H170" s="1"/>
      <c r="I170" s="1"/>
      <c r="J170" s="1"/>
      <c r="K170" s="1"/>
      <c r="P170" s="414"/>
      <c r="Q170" s="414"/>
      <c r="R170" s="414"/>
      <c r="S170" s="414"/>
      <c r="T170" s="414"/>
      <c r="U170" s="414"/>
    </row>
    <row r="171" spans="5:21" ht="15.6">
      <c r="E171" s="1"/>
      <c r="F171" s="1"/>
      <c r="G171" s="1"/>
      <c r="H171" s="1"/>
      <c r="I171" s="1"/>
      <c r="J171" s="1"/>
      <c r="K171" s="1"/>
      <c r="P171" s="414"/>
      <c r="Q171" s="414"/>
      <c r="R171" s="414"/>
      <c r="S171" s="414"/>
      <c r="T171" s="414"/>
      <c r="U171" s="414"/>
    </row>
    <row r="172" spans="5:21" ht="15.6">
      <c r="E172" s="1"/>
      <c r="F172" s="1"/>
      <c r="G172" s="1"/>
      <c r="H172" s="1"/>
      <c r="I172" s="1"/>
      <c r="J172" s="1"/>
      <c r="K172" s="1"/>
      <c r="P172" s="414"/>
      <c r="Q172" s="414"/>
      <c r="R172" s="414"/>
      <c r="S172" s="414"/>
      <c r="T172" s="414"/>
      <c r="U172" s="414"/>
    </row>
    <row r="173" spans="5:21" ht="15.6">
      <c r="E173" s="1"/>
      <c r="F173" s="1"/>
      <c r="G173" s="1"/>
      <c r="H173" s="1"/>
      <c r="I173" s="1"/>
      <c r="J173" s="1"/>
      <c r="K173" s="1"/>
      <c r="P173" s="414"/>
      <c r="Q173" s="414"/>
      <c r="R173" s="414"/>
      <c r="S173" s="414"/>
      <c r="T173" s="414"/>
      <c r="U173" s="414"/>
    </row>
    <row r="174" spans="5:21" ht="15.6">
      <c r="E174" s="1"/>
      <c r="F174" s="1"/>
      <c r="G174" s="1"/>
      <c r="H174" s="1"/>
      <c r="I174" s="1"/>
      <c r="J174" s="1"/>
      <c r="K174" s="1"/>
      <c r="P174" s="414"/>
      <c r="Q174" s="414"/>
      <c r="R174" s="414"/>
      <c r="S174" s="414"/>
      <c r="T174" s="414"/>
      <c r="U174" s="414"/>
    </row>
    <row r="175" spans="5:21" ht="15.6">
      <c r="E175" s="1"/>
      <c r="F175" s="1"/>
      <c r="G175" s="1"/>
      <c r="H175" s="1"/>
      <c r="I175" s="1"/>
      <c r="J175" s="1"/>
      <c r="K175" s="1"/>
      <c r="P175" s="414"/>
      <c r="Q175" s="414"/>
      <c r="R175" s="414"/>
      <c r="S175" s="414"/>
      <c r="T175" s="414"/>
      <c r="U175" s="414"/>
    </row>
    <row r="176" spans="5:21" ht="15.6">
      <c r="E176" s="1"/>
      <c r="F176" s="1"/>
      <c r="G176" s="1"/>
      <c r="H176" s="1"/>
      <c r="I176" s="1"/>
      <c r="J176" s="1"/>
      <c r="K176" s="1"/>
      <c r="P176" s="414"/>
      <c r="Q176" s="414"/>
      <c r="R176" s="414"/>
      <c r="S176" s="414"/>
      <c r="T176" s="414"/>
      <c r="U176" s="414"/>
    </row>
    <row r="177" spans="5:21" ht="15.6">
      <c r="E177" s="1"/>
      <c r="F177" s="1"/>
      <c r="G177" s="1"/>
      <c r="H177" s="1"/>
      <c r="I177" s="1"/>
      <c r="J177" s="1"/>
      <c r="K177" s="1"/>
      <c r="P177" s="414"/>
      <c r="Q177" s="414"/>
      <c r="R177" s="414"/>
      <c r="S177" s="414"/>
      <c r="T177" s="414"/>
      <c r="U177" s="414"/>
    </row>
    <row r="178" spans="5:21" ht="15.6">
      <c r="E178" s="1"/>
      <c r="F178" s="1"/>
      <c r="G178" s="1"/>
      <c r="H178" s="1"/>
      <c r="I178" s="1"/>
      <c r="J178" s="1"/>
      <c r="K178" s="1"/>
      <c r="P178" s="414"/>
      <c r="Q178" s="414"/>
      <c r="R178" s="414"/>
      <c r="S178" s="414"/>
      <c r="T178" s="414"/>
      <c r="U178" s="414"/>
    </row>
    <row r="179" spans="5:21" ht="15.6">
      <c r="E179" s="1"/>
      <c r="F179" s="1"/>
      <c r="G179" s="1"/>
      <c r="H179" s="1"/>
      <c r="I179" s="1"/>
      <c r="J179" s="1"/>
      <c r="K179" s="1"/>
      <c r="P179" s="414"/>
      <c r="Q179" s="414"/>
      <c r="R179" s="414"/>
      <c r="S179" s="414"/>
      <c r="T179" s="414"/>
      <c r="U179" s="414"/>
    </row>
    <row r="180" spans="5:21" ht="15.6">
      <c r="E180" s="1"/>
      <c r="F180" s="1"/>
      <c r="G180" s="1"/>
      <c r="H180" s="1"/>
      <c r="I180" s="1"/>
      <c r="J180" s="1"/>
      <c r="K180" s="1"/>
      <c r="P180" s="414"/>
      <c r="Q180" s="414"/>
      <c r="R180" s="414"/>
      <c r="S180" s="414"/>
      <c r="T180" s="414"/>
      <c r="U180" s="414"/>
    </row>
    <row r="181" spans="5:21" ht="15.6">
      <c r="E181" s="1"/>
      <c r="F181" s="1"/>
      <c r="G181" s="1"/>
      <c r="H181" s="1"/>
      <c r="I181" s="1"/>
      <c r="J181" s="1"/>
      <c r="K181" s="1"/>
      <c r="P181" s="414"/>
      <c r="Q181" s="414"/>
      <c r="R181" s="414"/>
      <c r="S181" s="414"/>
      <c r="T181" s="414"/>
      <c r="U181" s="414"/>
    </row>
    <row r="182" spans="5:21" ht="15.6">
      <c r="E182" s="1"/>
      <c r="F182" s="1"/>
      <c r="G182" s="1"/>
      <c r="H182" s="1"/>
      <c r="I182" s="1"/>
      <c r="J182" s="1"/>
      <c r="K182" s="1"/>
      <c r="P182" s="414"/>
      <c r="Q182" s="414"/>
      <c r="R182" s="414"/>
      <c r="S182" s="414"/>
      <c r="T182" s="414"/>
      <c r="U182" s="414"/>
    </row>
    <row r="183" spans="5:21" ht="15.6">
      <c r="E183" s="1"/>
      <c r="F183" s="1"/>
      <c r="G183" s="1"/>
      <c r="H183" s="1"/>
      <c r="I183" s="1"/>
      <c r="J183" s="1"/>
      <c r="K183" s="1"/>
      <c r="P183" s="414"/>
      <c r="Q183" s="414"/>
      <c r="R183" s="414"/>
      <c r="S183" s="414"/>
      <c r="T183" s="414"/>
      <c r="U183" s="414"/>
    </row>
    <row r="184" spans="5:21" ht="15.6">
      <c r="E184" s="1"/>
      <c r="F184" s="1"/>
      <c r="G184" s="1"/>
      <c r="H184" s="1"/>
      <c r="I184" s="1"/>
      <c r="J184" s="1"/>
      <c r="K184" s="1"/>
      <c r="P184" s="414"/>
      <c r="Q184" s="414"/>
      <c r="R184" s="414"/>
      <c r="S184" s="414"/>
      <c r="T184" s="414"/>
      <c r="U184" s="414"/>
    </row>
    <row r="185" spans="5:21" ht="15.6">
      <c r="E185" s="1"/>
      <c r="F185" s="1"/>
      <c r="G185" s="1"/>
      <c r="H185" s="1"/>
      <c r="I185" s="1"/>
      <c r="J185" s="1"/>
      <c r="K185" s="1"/>
      <c r="P185" s="414"/>
      <c r="Q185" s="414"/>
      <c r="R185" s="414"/>
      <c r="S185" s="414"/>
      <c r="T185" s="414"/>
      <c r="U185" s="414"/>
    </row>
    <row r="186" spans="5:21" ht="15.6">
      <c r="E186" s="1"/>
      <c r="F186" s="1"/>
      <c r="G186" s="1"/>
      <c r="H186" s="1"/>
      <c r="I186" s="1"/>
      <c r="J186" s="1"/>
      <c r="K186" s="1"/>
      <c r="P186" s="414"/>
      <c r="Q186" s="414"/>
      <c r="R186" s="414"/>
      <c r="S186" s="414"/>
      <c r="T186" s="414"/>
      <c r="U186" s="414"/>
    </row>
    <row r="187" spans="5:21" ht="15.6">
      <c r="E187" s="1"/>
      <c r="F187" s="1"/>
      <c r="G187" s="1"/>
      <c r="H187" s="1"/>
      <c r="I187" s="1"/>
      <c r="J187" s="1"/>
      <c r="K187" s="1"/>
      <c r="P187" s="414"/>
      <c r="Q187" s="414"/>
      <c r="R187" s="414"/>
      <c r="S187" s="414"/>
      <c r="T187" s="414"/>
      <c r="U187" s="414"/>
    </row>
    <row r="188" spans="5:21" ht="15.6">
      <c r="E188" s="1"/>
      <c r="F188" s="1"/>
      <c r="G188" s="1"/>
      <c r="H188" s="1"/>
      <c r="I188" s="1"/>
      <c r="J188" s="1"/>
      <c r="K188" s="1"/>
      <c r="P188" s="414"/>
      <c r="Q188" s="414"/>
      <c r="R188" s="414"/>
      <c r="S188" s="414"/>
      <c r="T188" s="414"/>
      <c r="U188" s="414"/>
    </row>
    <row r="189" spans="5:21" ht="15.6">
      <c r="E189" s="1"/>
      <c r="F189" s="1"/>
      <c r="G189" s="1"/>
      <c r="H189" s="1"/>
      <c r="I189" s="1"/>
      <c r="J189" s="1"/>
      <c r="K189" s="1"/>
      <c r="P189" s="414"/>
      <c r="Q189" s="414"/>
      <c r="R189" s="414"/>
      <c r="S189" s="414"/>
      <c r="T189" s="414"/>
      <c r="U189" s="414"/>
    </row>
    <row r="190" spans="5:21" ht="15.6">
      <c r="E190" s="1"/>
      <c r="F190" s="1"/>
      <c r="G190" s="1"/>
      <c r="H190" s="1"/>
      <c r="I190" s="1"/>
      <c r="J190" s="1"/>
      <c r="K190" s="1"/>
      <c r="P190" s="414"/>
      <c r="Q190" s="414"/>
      <c r="R190" s="414"/>
      <c r="S190" s="414"/>
      <c r="T190" s="414"/>
      <c r="U190" s="414"/>
    </row>
    <row r="191" spans="5:21" ht="15.6">
      <c r="E191" s="1"/>
      <c r="F191" s="1"/>
      <c r="G191" s="1"/>
      <c r="H191" s="1"/>
      <c r="I191" s="1"/>
      <c r="J191" s="1"/>
      <c r="K191" s="1"/>
      <c r="P191" s="414"/>
      <c r="Q191" s="414"/>
      <c r="R191" s="414"/>
      <c r="S191" s="414"/>
      <c r="T191" s="414"/>
      <c r="U191" s="414"/>
    </row>
    <row r="192" spans="5:21" ht="15.6">
      <c r="E192" s="1"/>
      <c r="F192" s="1"/>
      <c r="G192" s="1"/>
      <c r="H192" s="1"/>
      <c r="I192" s="1"/>
      <c r="J192" s="1"/>
      <c r="K192" s="1"/>
      <c r="P192" s="414"/>
      <c r="Q192" s="414"/>
      <c r="R192" s="414"/>
      <c r="S192" s="414"/>
      <c r="T192" s="414"/>
      <c r="U192" s="414"/>
    </row>
    <row r="193" spans="5:21" ht="15.6">
      <c r="E193" s="1"/>
      <c r="F193" s="1"/>
      <c r="G193" s="1"/>
      <c r="H193" s="1"/>
      <c r="I193" s="1"/>
      <c r="J193" s="1"/>
      <c r="K193" s="1"/>
      <c r="P193" s="414"/>
      <c r="Q193" s="414"/>
      <c r="R193" s="414"/>
      <c r="S193" s="414"/>
      <c r="T193" s="414"/>
      <c r="U193" s="414"/>
    </row>
    <row r="194" spans="5:21" ht="15.6">
      <c r="E194" s="1"/>
      <c r="F194" s="1"/>
      <c r="G194" s="1"/>
      <c r="H194" s="1"/>
      <c r="I194" s="1"/>
      <c r="J194" s="1"/>
      <c r="K194" s="1"/>
      <c r="P194" s="414"/>
      <c r="Q194" s="414"/>
      <c r="R194" s="414"/>
      <c r="S194" s="414"/>
      <c r="T194" s="414"/>
      <c r="U194" s="414"/>
    </row>
    <row r="195" spans="5:21" ht="15.6">
      <c r="E195" s="1"/>
      <c r="F195" s="1"/>
      <c r="G195" s="1"/>
      <c r="H195" s="1"/>
      <c r="I195" s="1"/>
      <c r="J195" s="1"/>
      <c r="K195" s="1"/>
      <c r="P195" s="414"/>
      <c r="Q195" s="414"/>
      <c r="R195" s="414"/>
      <c r="S195" s="414"/>
      <c r="T195" s="414"/>
      <c r="U195" s="414"/>
    </row>
    <row r="196" spans="5:21" ht="15.6">
      <c r="E196" s="1"/>
      <c r="F196" s="1"/>
      <c r="G196" s="1"/>
      <c r="H196" s="1"/>
      <c r="I196" s="1"/>
      <c r="J196" s="1"/>
      <c r="K196" s="1"/>
      <c r="P196" s="414"/>
      <c r="Q196" s="414"/>
      <c r="R196" s="414"/>
      <c r="S196" s="414"/>
      <c r="T196" s="414"/>
      <c r="U196" s="414"/>
    </row>
    <row r="197" spans="5:21" ht="15.6">
      <c r="E197" s="1"/>
      <c r="F197" s="1"/>
      <c r="G197" s="1"/>
      <c r="H197" s="1"/>
      <c r="I197" s="1"/>
      <c r="J197" s="1"/>
      <c r="K197" s="1"/>
      <c r="P197" s="414"/>
      <c r="Q197" s="414"/>
      <c r="R197" s="414"/>
      <c r="S197" s="414"/>
      <c r="T197" s="414"/>
      <c r="U197" s="414"/>
    </row>
    <row r="198" spans="5:21" ht="15.6">
      <c r="E198" s="1"/>
      <c r="F198" s="1"/>
      <c r="G198" s="1"/>
      <c r="H198" s="1"/>
      <c r="I198" s="1"/>
      <c r="J198" s="1"/>
      <c r="K198" s="1"/>
      <c r="P198" s="414"/>
      <c r="Q198" s="414"/>
      <c r="R198" s="414"/>
      <c r="S198" s="414"/>
      <c r="T198" s="414"/>
      <c r="U198" s="414"/>
    </row>
    <row r="199" spans="5:21" ht="15.6">
      <c r="E199" s="1"/>
      <c r="F199" s="1"/>
      <c r="G199" s="1"/>
      <c r="H199" s="1"/>
      <c r="I199" s="1"/>
      <c r="J199" s="1"/>
      <c r="K199" s="1"/>
      <c r="P199" s="414"/>
      <c r="Q199" s="414"/>
      <c r="R199" s="414"/>
      <c r="S199" s="414"/>
      <c r="T199" s="414"/>
      <c r="U199" s="414"/>
    </row>
    <row r="200" spans="5:21" ht="15.6">
      <c r="E200" s="1"/>
      <c r="F200" s="1"/>
      <c r="G200" s="1"/>
      <c r="H200" s="1"/>
      <c r="I200" s="1"/>
      <c r="J200" s="1"/>
      <c r="K200" s="1"/>
      <c r="P200" s="414"/>
      <c r="Q200" s="414"/>
      <c r="R200" s="414"/>
      <c r="S200" s="414"/>
      <c r="T200" s="414"/>
      <c r="U200" s="414"/>
    </row>
    <row r="201" spans="5:21" ht="15.6">
      <c r="E201" s="1"/>
      <c r="F201" s="1"/>
      <c r="G201" s="1"/>
      <c r="H201" s="1"/>
      <c r="I201" s="1"/>
      <c r="J201" s="1"/>
      <c r="K201" s="1"/>
      <c r="P201" s="414"/>
      <c r="Q201" s="414"/>
      <c r="R201" s="414"/>
      <c r="S201" s="414"/>
      <c r="T201" s="414"/>
      <c r="U201" s="414"/>
    </row>
    <row r="202" spans="5:21" ht="15.6">
      <c r="E202" s="1"/>
      <c r="F202" s="1"/>
      <c r="G202" s="1"/>
      <c r="H202" s="1"/>
      <c r="I202" s="1"/>
      <c r="J202" s="1"/>
      <c r="K202" s="1"/>
      <c r="P202" s="414"/>
      <c r="Q202" s="414"/>
      <c r="R202" s="414"/>
      <c r="S202" s="414"/>
      <c r="T202" s="414"/>
      <c r="U202" s="414"/>
    </row>
    <row r="203" spans="5:21" ht="15.6">
      <c r="E203" s="1"/>
      <c r="F203" s="1"/>
      <c r="G203" s="1"/>
      <c r="H203" s="1"/>
      <c r="I203" s="1"/>
      <c r="J203" s="1"/>
      <c r="K203" s="1"/>
      <c r="P203" s="414"/>
      <c r="Q203" s="414"/>
      <c r="R203" s="414"/>
      <c r="S203" s="414"/>
      <c r="T203" s="414"/>
      <c r="U203" s="414"/>
    </row>
    <row r="204" spans="5:21" ht="15.6">
      <c r="E204" s="1"/>
      <c r="F204" s="1"/>
      <c r="G204" s="1"/>
      <c r="H204" s="1"/>
      <c r="I204" s="1"/>
      <c r="J204" s="1"/>
      <c r="K204" s="1"/>
      <c r="P204" s="414"/>
      <c r="Q204" s="414"/>
      <c r="R204" s="414"/>
      <c r="S204" s="414"/>
      <c r="T204" s="414"/>
      <c r="U204" s="414"/>
    </row>
    <row r="205" spans="5:21" ht="15.6">
      <c r="E205" s="1"/>
      <c r="F205" s="1"/>
      <c r="G205" s="1"/>
      <c r="H205" s="1"/>
      <c r="I205" s="1"/>
      <c r="J205" s="1"/>
      <c r="K205" s="1"/>
      <c r="P205" s="414"/>
      <c r="Q205" s="414"/>
      <c r="R205" s="414"/>
      <c r="S205" s="414"/>
      <c r="T205" s="414"/>
      <c r="U205" s="414"/>
    </row>
    <row r="206" spans="5:21" ht="15.6">
      <c r="E206" s="1"/>
      <c r="F206" s="1"/>
      <c r="G206" s="1"/>
      <c r="H206" s="1"/>
      <c r="I206" s="1"/>
      <c r="J206" s="1"/>
      <c r="K206" s="1"/>
      <c r="P206" s="414"/>
      <c r="Q206" s="414"/>
      <c r="R206" s="414"/>
      <c r="S206" s="414"/>
      <c r="T206" s="414"/>
      <c r="U206" s="414"/>
    </row>
    <row r="207" spans="5:21" ht="15.6">
      <c r="E207" s="1"/>
      <c r="F207" s="1"/>
      <c r="G207" s="1"/>
      <c r="H207" s="1"/>
      <c r="I207" s="1"/>
      <c r="J207" s="1"/>
      <c r="K207" s="1"/>
      <c r="P207" s="414"/>
      <c r="Q207" s="414"/>
      <c r="R207" s="414"/>
      <c r="S207" s="414"/>
      <c r="T207" s="414"/>
      <c r="U207" s="414"/>
    </row>
    <row r="208" spans="5:21" ht="15.6">
      <c r="E208" s="1"/>
      <c r="F208" s="1"/>
      <c r="G208" s="1"/>
      <c r="H208" s="1"/>
      <c r="I208" s="1"/>
      <c r="J208" s="1"/>
      <c r="K208" s="1"/>
      <c r="P208" s="414"/>
      <c r="Q208" s="414"/>
      <c r="R208" s="414"/>
      <c r="S208" s="414"/>
      <c r="T208" s="414"/>
      <c r="U208" s="414"/>
    </row>
    <row r="209" spans="5:21" ht="15.6">
      <c r="E209" s="1"/>
      <c r="F209" s="1"/>
      <c r="G209" s="1"/>
      <c r="H209" s="1"/>
      <c r="I209" s="1"/>
      <c r="J209" s="1"/>
      <c r="K209" s="1"/>
      <c r="P209" s="414"/>
      <c r="Q209" s="414"/>
      <c r="R209" s="414"/>
      <c r="S209" s="414"/>
      <c r="T209" s="414"/>
      <c r="U209" s="414"/>
    </row>
    <row r="210" spans="5:21" ht="15.6">
      <c r="E210" s="1"/>
      <c r="F210" s="1"/>
      <c r="G210" s="1"/>
      <c r="H210" s="1"/>
      <c r="I210" s="1"/>
      <c r="J210" s="1"/>
      <c r="K210" s="1"/>
      <c r="P210" s="414"/>
      <c r="Q210" s="414"/>
      <c r="R210" s="414"/>
      <c r="S210" s="414"/>
      <c r="T210" s="414"/>
      <c r="U210" s="414"/>
    </row>
    <row r="211" spans="5:21" ht="15.6">
      <c r="E211" s="1"/>
      <c r="F211" s="1"/>
      <c r="G211" s="1"/>
      <c r="H211" s="1"/>
      <c r="I211" s="1"/>
      <c r="J211" s="1"/>
      <c r="K211" s="1"/>
      <c r="P211" s="414"/>
      <c r="Q211" s="414"/>
      <c r="R211" s="414"/>
      <c r="S211" s="414"/>
      <c r="T211" s="414"/>
      <c r="U211" s="414"/>
    </row>
    <row r="212" spans="5:21" ht="15.6">
      <c r="E212" s="1"/>
      <c r="F212" s="1"/>
      <c r="G212" s="1"/>
      <c r="H212" s="1"/>
      <c r="I212" s="1"/>
      <c r="J212" s="1"/>
      <c r="K212" s="1"/>
      <c r="P212" s="414"/>
      <c r="Q212" s="414"/>
      <c r="R212" s="414"/>
      <c r="S212" s="414"/>
      <c r="T212" s="414"/>
      <c r="U212" s="414"/>
    </row>
    <row r="213" spans="5:21" ht="15.6">
      <c r="E213" s="1"/>
      <c r="F213" s="1"/>
      <c r="G213" s="1"/>
      <c r="H213" s="1"/>
      <c r="I213" s="1"/>
      <c r="J213" s="1"/>
      <c r="K213" s="1"/>
      <c r="P213" s="414"/>
      <c r="Q213" s="414"/>
      <c r="R213" s="414"/>
      <c r="S213" s="414"/>
      <c r="T213" s="414"/>
      <c r="U213" s="414"/>
    </row>
    <row r="214" spans="5:21" ht="15.6">
      <c r="E214" s="1"/>
      <c r="F214" s="1"/>
      <c r="G214" s="1"/>
      <c r="H214" s="1"/>
      <c r="I214" s="1"/>
      <c r="J214" s="1"/>
      <c r="K214" s="1"/>
      <c r="P214" s="414"/>
      <c r="Q214" s="414"/>
      <c r="R214" s="414"/>
      <c r="S214" s="414"/>
      <c r="T214" s="414"/>
      <c r="U214" s="414"/>
    </row>
    <row r="215" spans="5:21" ht="15.6">
      <c r="E215" s="1"/>
      <c r="F215" s="1"/>
      <c r="G215" s="1"/>
      <c r="H215" s="1"/>
      <c r="I215" s="1"/>
      <c r="J215" s="1"/>
      <c r="K215" s="1"/>
      <c r="P215" s="414"/>
      <c r="Q215" s="414"/>
      <c r="R215" s="414"/>
      <c r="S215" s="414"/>
      <c r="T215" s="414"/>
      <c r="U215" s="414"/>
    </row>
    <row r="216" spans="5:21" ht="15.6">
      <c r="E216" s="1"/>
      <c r="F216" s="1"/>
      <c r="G216" s="1"/>
      <c r="H216" s="1"/>
      <c r="I216" s="1"/>
      <c r="J216" s="1"/>
      <c r="K216" s="1"/>
      <c r="P216" s="414"/>
      <c r="Q216" s="414"/>
      <c r="R216" s="414"/>
      <c r="S216" s="414"/>
      <c r="T216" s="414"/>
      <c r="U216" s="414"/>
    </row>
    <row r="217" spans="5:21" ht="15.6">
      <c r="E217" s="1"/>
      <c r="F217" s="1"/>
      <c r="G217" s="1"/>
      <c r="H217" s="1"/>
      <c r="I217" s="1"/>
      <c r="J217" s="1"/>
      <c r="K217" s="1"/>
      <c r="P217" s="414"/>
      <c r="Q217" s="414"/>
      <c r="R217" s="414"/>
      <c r="S217" s="414"/>
      <c r="T217" s="414"/>
      <c r="U217" s="414"/>
    </row>
    <row r="218" spans="5:21" ht="15.6">
      <c r="E218" s="1"/>
      <c r="F218" s="1"/>
      <c r="G218" s="1"/>
      <c r="H218" s="1"/>
      <c r="I218" s="1"/>
      <c r="J218" s="1"/>
      <c r="K218" s="1"/>
      <c r="P218" s="414"/>
      <c r="Q218" s="414"/>
      <c r="R218" s="414"/>
      <c r="S218" s="414"/>
      <c r="T218" s="414"/>
      <c r="U218" s="414"/>
    </row>
    <row r="219" spans="5:21" ht="15.6">
      <c r="E219" s="1"/>
      <c r="F219" s="1"/>
      <c r="G219" s="1"/>
      <c r="H219" s="1"/>
      <c r="I219" s="1"/>
      <c r="J219" s="1"/>
      <c r="K219" s="1"/>
      <c r="P219" s="414"/>
      <c r="Q219" s="414"/>
      <c r="R219" s="414"/>
      <c r="S219" s="414"/>
      <c r="T219" s="414"/>
      <c r="U219" s="414"/>
    </row>
    <row r="220" spans="5:21" ht="15.6">
      <c r="E220" s="1"/>
      <c r="F220" s="1"/>
      <c r="G220" s="1"/>
      <c r="H220" s="1"/>
      <c r="I220" s="1"/>
      <c r="J220" s="1"/>
      <c r="K220" s="1"/>
      <c r="P220" s="414"/>
      <c r="Q220" s="414"/>
      <c r="R220" s="414"/>
      <c r="S220" s="414"/>
      <c r="T220" s="414"/>
      <c r="U220" s="414"/>
    </row>
    <row r="221" spans="5:21" ht="15.6">
      <c r="E221" s="1"/>
      <c r="F221" s="1"/>
      <c r="G221" s="1"/>
      <c r="H221" s="1"/>
      <c r="I221" s="1"/>
      <c r="J221" s="1"/>
      <c r="K221" s="1"/>
      <c r="P221" s="414"/>
      <c r="Q221" s="414"/>
      <c r="R221" s="414"/>
      <c r="S221" s="414"/>
      <c r="T221" s="414"/>
      <c r="U221" s="414"/>
    </row>
    <row r="222" spans="5:21" ht="15.6">
      <c r="E222" s="1"/>
      <c r="F222" s="1"/>
      <c r="G222" s="1"/>
      <c r="H222" s="1"/>
      <c r="I222" s="1"/>
      <c r="J222" s="1"/>
      <c r="K222" s="1"/>
      <c r="P222" s="414"/>
      <c r="Q222" s="414"/>
      <c r="R222" s="414"/>
      <c r="S222" s="414"/>
      <c r="T222" s="414"/>
      <c r="U222" s="414"/>
    </row>
    <row r="223" spans="5:21" ht="15.6">
      <c r="E223" s="1"/>
      <c r="F223" s="1"/>
      <c r="G223" s="1"/>
      <c r="H223" s="1"/>
      <c r="I223" s="1"/>
      <c r="J223" s="1"/>
      <c r="K223" s="1"/>
      <c r="P223" s="414"/>
      <c r="Q223" s="414"/>
      <c r="R223" s="414"/>
      <c r="S223" s="414"/>
      <c r="T223" s="414"/>
      <c r="U223" s="414"/>
    </row>
    <row r="224" spans="5:21" ht="15.6">
      <c r="E224" s="1"/>
      <c r="F224" s="1"/>
      <c r="G224" s="1"/>
      <c r="H224" s="1"/>
      <c r="I224" s="1"/>
      <c r="J224" s="1"/>
      <c r="K224" s="1"/>
      <c r="P224" s="414"/>
      <c r="Q224" s="414"/>
      <c r="R224" s="414"/>
      <c r="S224" s="414"/>
      <c r="T224" s="414"/>
      <c r="U224" s="414"/>
    </row>
    <row r="225" spans="5:21" ht="15.6">
      <c r="E225" s="1"/>
      <c r="F225" s="1"/>
      <c r="G225" s="1"/>
      <c r="H225" s="1"/>
      <c r="I225" s="1"/>
      <c r="J225" s="1"/>
      <c r="K225" s="1"/>
      <c r="P225" s="414"/>
      <c r="Q225" s="414"/>
      <c r="R225" s="414"/>
      <c r="S225" s="414"/>
      <c r="T225" s="414"/>
      <c r="U225" s="414"/>
    </row>
    <row r="226" spans="5:21" ht="15.6">
      <c r="E226" s="1"/>
      <c r="F226" s="1"/>
      <c r="G226" s="1"/>
      <c r="H226" s="1"/>
      <c r="I226" s="1"/>
      <c r="J226" s="1"/>
      <c r="K226" s="1"/>
      <c r="P226" s="414"/>
      <c r="Q226" s="414"/>
      <c r="R226" s="414"/>
      <c r="S226" s="414"/>
      <c r="T226" s="414"/>
      <c r="U226" s="414"/>
    </row>
    <row r="227" spans="5:21" ht="15.6">
      <c r="E227" s="1"/>
      <c r="F227" s="1"/>
      <c r="G227" s="1"/>
      <c r="H227" s="1"/>
      <c r="I227" s="1"/>
      <c r="J227" s="1"/>
      <c r="K227" s="1"/>
      <c r="P227" s="414"/>
      <c r="Q227" s="414"/>
      <c r="R227" s="414"/>
      <c r="S227" s="414"/>
      <c r="T227" s="414"/>
      <c r="U227" s="414"/>
    </row>
    <row r="228" spans="5:21" ht="15.6">
      <c r="E228" s="1"/>
      <c r="F228" s="1"/>
      <c r="G228" s="1"/>
      <c r="H228" s="1"/>
      <c r="I228" s="1"/>
      <c r="J228" s="1"/>
      <c r="K228" s="1"/>
      <c r="P228" s="414"/>
      <c r="Q228" s="414"/>
      <c r="R228" s="414"/>
      <c r="S228" s="414"/>
      <c r="T228" s="414"/>
      <c r="U228" s="414"/>
    </row>
    <row r="229" spans="5:21" ht="15.6">
      <c r="E229" s="1"/>
      <c r="F229" s="1"/>
      <c r="G229" s="1"/>
      <c r="H229" s="1"/>
      <c r="I229" s="1"/>
      <c r="J229" s="1"/>
      <c r="K229" s="1"/>
      <c r="P229" s="414"/>
      <c r="Q229" s="414"/>
      <c r="R229" s="414"/>
      <c r="S229" s="414"/>
      <c r="T229" s="414"/>
      <c r="U229" s="414"/>
    </row>
    <row r="230" spans="5:21" ht="15.6">
      <c r="E230" s="1"/>
      <c r="F230" s="1"/>
      <c r="G230" s="1"/>
      <c r="H230" s="1"/>
      <c r="I230" s="1"/>
      <c r="J230" s="1"/>
      <c r="K230" s="1"/>
      <c r="P230" s="414"/>
      <c r="Q230" s="414"/>
      <c r="R230" s="414"/>
      <c r="S230" s="414"/>
      <c r="T230" s="414"/>
      <c r="U230" s="414"/>
    </row>
    <row r="231" spans="5:21" ht="15.6">
      <c r="E231" s="1"/>
      <c r="F231" s="1"/>
      <c r="G231" s="1"/>
      <c r="H231" s="1"/>
      <c r="I231" s="1"/>
      <c r="J231" s="1"/>
      <c r="K231" s="1"/>
      <c r="P231" s="414"/>
      <c r="Q231" s="414"/>
      <c r="R231" s="414"/>
      <c r="S231" s="414"/>
      <c r="T231" s="414"/>
      <c r="U231" s="414"/>
    </row>
    <row r="232" spans="5:21" ht="15.6">
      <c r="E232" s="1"/>
      <c r="F232" s="1"/>
      <c r="G232" s="1"/>
      <c r="H232" s="1"/>
      <c r="I232" s="1"/>
      <c r="J232" s="1"/>
      <c r="K232" s="1"/>
      <c r="P232" s="414"/>
      <c r="Q232" s="414"/>
      <c r="R232" s="414"/>
      <c r="S232" s="414"/>
      <c r="T232" s="414"/>
      <c r="U232" s="414"/>
    </row>
    <row r="233" spans="5:21" ht="15.6">
      <c r="E233" s="1"/>
      <c r="F233" s="1"/>
      <c r="G233" s="1"/>
      <c r="H233" s="1"/>
      <c r="I233" s="1"/>
      <c r="J233" s="1"/>
      <c r="K233" s="1"/>
      <c r="P233" s="414"/>
      <c r="Q233" s="414"/>
      <c r="R233" s="414"/>
      <c r="S233" s="414"/>
      <c r="T233" s="414"/>
      <c r="U233" s="414"/>
    </row>
    <row r="234" spans="5:21" ht="15.6">
      <c r="E234" s="1"/>
      <c r="F234" s="1"/>
      <c r="G234" s="1"/>
      <c r="H234" s="1"/>
      <c r="I234" s="1"/>
      <c r="J234" s="1"/>
      <c r="K234" s="1"/>
      <c r="P234" s="414"/>
      <c r="Q234" s="414"/>
      <c r="R234" s="414"/>
      <c r="S234" s="414"/>
      <c r="T234" s="414"/>
      <c r="U234" s="414"/>
    </row>
    <row r="235" spans="5:21" ht="15.6">
      <c r="E235" s="1"/>
      <c r="F235" s="1"/>
      <c r="G235" s="1"/>
      <c r="H235" s="1"/>
      <c r="I235" s="1"/>
      <c r="J235" s="1"/>
      <c r="K235" s="1"/>
      <c r="P235" s="414"/>
      <c r="Q235" s="414"/>
      <c r="R235" s="414"/>
      <c r="S235" s="414"/>
      <c r="T235" s="414"/>
      <c r="U235" s="414"/>
    </row>
    <row r="236" spans="5:21" ht="15.6">
      <c r="E236" s="1"/>
      <c r="F236" s="1"/>
      <c r="G236" s="1"/>
      <c r="H236" s="1"/>
      <c r="I236" s="1"/>
      <c r="J236" s="1"/>
      <c r="K236" s="1"/>
      <c r="P236" s="414"/>
      <c r="Q236" s="414"/>
      <c r="R236" s="414"/>
      <c r="S236" s="414"/>
      <c r="T236" s="414"/>
      <c r="U236" s="414"/>
    </row>
    <row r="237" spans="5:21" ht="15.6">
      <c r="E237" s="1"/>
      <c r="F237" s="1"/>
      <c r="G237" s="1"/>
      <c r="H237" s="1"/>
      <c r="I237" s="1"/>
      <c r="J237" s="1"/>
      <c r="K237" s="1"/>
      <c r="P237" s="414"/>
      <c r="Q237" s="414"/>
      <c r="R237" s="414"/>
      <c r="S237" s="414"/>
      <c r="T237" s="414"/>
      <c r="U237" s="414"/>
    </row>
    <row r="238" spans="5:21" ht="15.6">
      <c r="E238" s="1"/>
      <c r="F238" s="1"/>
      <c r="G238" s="1"/>
      <c r="H238" s="1"/>
      <c r="I238" s="1"/>
      <c r="J238" s="1"/>
      <c r="K238" s="1"/>
      <c r="P238" s="414"/>
      <c r="Q238" s="414"/>
      <c r="R238" s="414"/>
      <c r="S238" s="414"/>
      <c r="T238" s="414"/>
      <c r="U238" s="414"/>
    </row>
    <row r="239" spans="5:21" ht="15.6">
      <c r="E239" s="1"/>
      <c r="F239" s="1"/>
      <c r="G239" s="1"/>
      <c r="H239" s="1"/>
      <c r="I239" s="1"/>
      <c r="J239" s="1"/>
      <c r="K239" s="1"/>
      <c r="P239" s="414"/>
      <c r="Q239" s="414"/>
      <c r="R239" s="414"/>
      <c r="S239" s="414"/>
      <c r="T239" s="414"/>
      <c r="U239" s="414"/>
    </row>
    <row r="240" spans="5:21" ht="15.6">
      <c r="E240" s="1"/>
      <c r="F240" s="1"/>
      <c r="G240" s="1"/>
      <c r="H240" s="1"/>
      <c r="I240" s="1"/>
      <c r="J240" s="1"/>
      <c r="K240" s="1"/>
      <c r="P240" s="414"/>
      <c r="Q240" s="414"/>
      <c r="R240" s="414"/>
      <c r="S240" s="414"/>
      <c r="T240" s="414"/>
      <c r="U240" s="414"/>
    </row>
    <row r="241" spans="5:21" ht="15.6">
      <c r="E241" s="1"/>
      <c r="F241" s="1"/>
      <c r="G241" s="1"/>
      <c r="H241" s="1"/>
      <c r="I241" s="1"/>
      <c r="J241" s="1"/>
      <c r="K241" s="1"/>
      <c r="P241" s="414"/>
      <c r="Q241" s="414"/>
      <c r="R241" s="414"/>
      <c r="S241" s="414"/>
      <c r="T241" s="414"/>
      <c r="U241" s="414"/>
    </row>
    <row r="242" spans="5:21" ht="15.6">
      <c r="E242" s="1"/>
      <c r="F242" s="1"/>
      <c r="G242" s="1"/>
      <c r="H242" s="1"/>
      <c r="I242" s="1"/>
      <c r="J242" s="1"/>
      <c r="K242" s="1"/>
      <c r="P242" s="414"/>
      <c r="Q242" s="414"/>
      <c r="R242" s="414"/>
      <c r="S242" s="414"/>
      <c r="T242" s="414"/>
      <c r="U242" s="414"/>
    </row>
    <row r="243" spans="5:21" ht="15.6">
      <c r="E243" s="1"/>
      <c r="F243" s="1"/>
      <c r="G243" s="1"/>
      <c r="H243" s="1"/>
      <c r="I243" s="1"/>
      <c r="J243" s="1"/>
      <c r="K243" s="1"/>
      <c r="P243" s="414"/>
      <c r="Q243" s="414"/>
      <c r="R243" s="414"/>
      <c r="S243" s="414"/>
      <c r="T243" s="414"/>
      <c r="U243" s="414"/>
    </row>
    <row r="244" spans="5:21" ht="15.6">
      <c r="E244" s="1"/>
      <c r="F244" s="1"/>
      <c r="G244" s="1"/>
      <c r="H244" s="1"/>
      <c r="I244" s="1"/>
      <c r="J244" s="1"/>
      <c r="K244" s="1"/>
      <c r="P244" s="414"/>
      <c r="Q244" s="414"/>
      <c r="R244" s="414"/>
      <c r="S244" s="414"/>
      <c r="T244" s="414"/>
      <c r="U244" s="414"/>
    </row>
    <row r="245" spans="5:21" ht="15.6">
      <c r="E245" s="1"/>
      <c r="F245" s="1"/>
      <c r="G245" s="1"/>
      <c r="H245" s="1"/>
      <c r="I245" s="1"/>
      <c r="J245" s="1"/>
      <c r="K245" s="1"/>
      <c r="P245" s="414"/>
      <c r="Q245" s="414"/>
      <c r="R245" s="414"/>
      <c r="S245" s="414"/>
      <c r="T245" s="414"/>
      <c r="U245" s="414"/>
    </row>
    <row r="246" spans="5:21" ht="15.6">
      <c r="E246" s="1"/>
      <c r="F246" s="1"/>
      <c r="G246" s="1"/>
      <c r="H246" s="1"/>
      <c r="I246" s="1"/>
      <c r="J246" s="1"/>
      <c r="K246" s="1"/>
      <c r="P246" s="414"/>
      <c r="Q246" s="414"/>
      <c r="R246" s="414"/>
      <c r="S246" s="414"/>
      <c r="T246" s="414"/>
      <c r="U246" s="414"/>
    </row>
    <row r="247" spans="5:21" ht="15.6">
      <c r="E247" s="1"/>
      <c r="F247" s="1"/>
      <c r="G247" s="1"/>
      <c r="H247" s="1"/>
      <c r="I247" s="1"/>
      <c r="J247" s="1"/>
      <c r="K247" s="1"/>
      <c r="P247" s="414"/>
      <c r="Q247" s="414"/>
      <c r="R247" s="414"/>
      <c r="S247" s="414"/>
      <c r="T247" s="414"/>
      <c r="U247" s="414"/>
    </row>
    <row r="248" spans="5:21" ht="15.6">
      <c r="E248" s="1"/>
      <c r="F248" s="1"/>
      <c r="G248" s="1"/>
      <c r="H248" s="1"/>
      <c r="I248" s="1"/>
      <c r="J248" s="1"/>
      <c r="K248" s="1"/>
      <c r="P248" s="414"/>
      <c r="Q248" s="414"/>
      <c r="R248" s="414"/>
      <c r="S248" s="414"/>
      <c r="T248" s="414"/>
      <c r="U248" s="414"/>
    </row>
    <row r="249" spans="5:21" ht="15.6">
      <c r="E249" s="1"/>
      <c r="F249" s="1"/>
      <c r="G249" s="1"/>
      <c r="H249" s="1"/>
      <c r="I249" s="1"/>
      <c r="J249" s="1"/>
      <c r="K249" s="1"/>
      <c r="P249" s="414"/>
      <c r="Q249" s="414"/>
      <c r="R249" s="414"/>
      <c r="S249" s="414"/>
      <c r="T249" s="414"/>
      <c r="U249" s="414"/>
    </row>
    <row r="250" spans="5:21" ht="15.6">
      <c r="E250" s="1"/>
      <c r="F250" s="1"/>
      <c r="G250" s="1"/>
      <c r="H250" s="1"/>
      <c r="I250" s="1"/>
      <c r="J250" s="1"/>
      <c r="K250" s="1"/>
      <c r="P250" s="414"/>
      <c r="Q250" s="414"/>
      <c r="R250" s="414"/>
      <c r="S250" s="414"/>
      <c r="T250" s="414"/>
      <c r="U250" s="414"/>
    </row>
    <row r="251" spans="5:21" ht="15.6">
      <c r="E251" s="1"/>
      <c r="F251" s="1"/>
      <c r="G251" s="1"/>
      <c r="H251" s="1"/>
      <c r="I251" s="1"/>
      <c r="J251" s="1"/>
      <c r="K251" s="1"/>
      <c r="P251" s="414"/>
      <c r="Q251" s="414"/>
      <c r="R251" s="414"/>
      <c r="S251" s="414"/>
      <c r="T251" s="414"/>
      <c r="U251" s="414"/>
    </row>
    <row r="252" spans="5:21" ht="15.6">
      <c r="E252" s="1"/>
      <c r="F252" s="1"/>
      <c r="G252" s="1"/>
      <c r="H252" s="1"/>
      <c r="I252" s="1"/>
      <c r="J252" s="1"/>
      <c r="K252" s="1"/>
      <c r="P252" s="414"/>
      <c r="Q252" s="414"/>
      <c r="R252" s="414"/>
      <c r="S252" s="414"/>
      <c r="T252" s="414"/>
      <c r="U252" s="414"/>
    </row>
    <row r="253" spans="5:21" ht="15.6">
      <c r="E253" s="1"/>
      <c r="F253" s="1"/>
      <c r="G253" s="1"/>
      <c r="H253" s="1"/>
      <c r="I253" s="1"/>
      <c r="J253" s="1"/>
      <c r="K253" s="1"/>
      <c r="P253" s="414"/>
      <c r="Q253" s="414"/>
      <c r="R253" s="414"/>
      <c r="S253" s="414"/>
      <c r="T253" s="414"/>
      <c r="U253" s="414"/>
    </row>
    <row r="254" spans="5:21" ht="15.6">
      <c r="E254" s="1"/>
      <c r="F254" s="1"/>
      <c r="G254" s="1"/>
      <c r="H254" s="1"/>
      <c r="I254" s="1"/>
      <c r="J254" s="1"/>
      <c r="K254" s="1"/>
      <c r="P254" s="414"/>
      <c r="Q254" s="414"/>
      <c r="R254" s="414"/>
      <c r="S254" s="414"/>
      <c r="T254" s="414"/>
      <c r="U254" s="414"/>
    </row>
    <row r="255" spans="5:21" ht="15.6">
      <c r="E255" s="1"/>
      <c r="F255" s="1"/>
      <c r="G255" s="1"/>
      <c r="H255" s="1"/>
      <c r="I255" s="1"/>
      <c r="J255" s="1"/>
      <c r="K255" s="1"/>
      <c r="P255" s="414"/>
      <c r="Q255" s="414"/>
      <c r="R255" s="414"/>
      <c r="S255" s="414"/>
      <c r="T255" s="414"/>
      <c r="U255" s="414"/>
    </row>
    <row r="256" spans="5:21" ht="15.6">
      <c r="E256" s="1"/>
      <c r="F256" s="1"/>
      <c r="G256" s="1"/>
      <c r="H256" s="1"/>
      <c r="I256" s="1"/>
      <c r="J256" s="1"/>
      <c r="K256" s="1"/>
      <c r="P256" s="414"/>
      <c r="Q256" s="414"/>
      <c r="R256" s="414"/>
      <c r="S256" s="414"/>
      <c r="T256" s="414"/>
      <c r="U256" s="414"/>
    </row>
    <row r="257" spans="5:21" ht="15.6">
      <c r="E257" s="1"/>
      <c r="F257" s="1"/>
      <c r="G257" s="1"/>
      <c r="H257" s="1"/>
      <c r="I257" s="1"/>
      <c r="J257" s="1"/>
      <c r="K257" s="1"/>
      <c r="P257" s="414"/>
      <c r="Q257" s="414"/>
      <c r="R257" s="414"/>
      <c r="S257" s="414"/>
      <c r="T257" s="414"/>
      <c r="U257" s="414"/>
    </row>
    <row r="258" spans="5:21" ht="15.6">
      <c r="E258" s="1"/>
      <c r="F258" s="1"/>
      <c r="G258" s="1"/>
      <c r="H258" s="1"/>
      <c r="I258" s="1"/>
      <c r="J258" s="1"/>
      <c r="K258" s="1"/>
      <c r="P258" s="414"/>
      <c r="Q258" s="414"/>
      <c r="R258" s="414"/>
      <c r="S258" s="414"/>
      <c r="T258" s="414"/>
      <c r="U258" s="414"/>
    </row>
    <row r="259" spans="5:21" ht="15.6">
      <c r="E259" s="1"/>
      <c r="F259" s="1"/>
      <c r="G259" s="1"/>
      <c r="H259" s="1"/>
      <c r="I259" s="1"/>
      <c r="J259" s="1"/>
      <c r="K259" s="1"/>
      <c r="P259" s="414"/>
      <c r="Q259" s="414"/>
      <c r="R259" s="414"/>
      <c r="S259" s="414"/>
      <c r="T259" s="414"/>
      <c r="U259" s="414"/>
    </row>
    <row r="260" spans="5:21" ht="15.6">
      <c r="E260" s="1"/>
      <c r="F260" s="1"/>
      <c r="G260" s="1"/>
      <c r="H260" s="1"/>
      <c r="I260" s="1"/>
      <c r="J260" s="1"/>
      <c r="K260" s="1"/>
      <c r="P260" s="414"/>
      <c r="Q260" s="414"/>
      <c r="R260" s="414"/>
      <c r="S260" s="414"/>
      <c r="T260" s="414"/>
      <c r="U260" s="414"/>
    </row>
    <row r="261" spans="5:21" ht="15.6">
      <c r="E261" s="1"/>
      <c r="F261" s="1"/>
      <c r="G261" s="1"/>
      <c r="H261" s="1"/>
      <c r="I261" s="1"/>
      <c r="J261" s="1"/>
      <c r="K261" s="1"/>
      <c r="P261" s="414"/>
      <c r="Q261" s="414"/>
      <c r="R261" s="414"/>
      <c r="S261" s="414"/>
      <c r="T261" s="414"/>
      <c r="U261" s="414"/>
    </row>
    <row r="262" spans="5:21" ht="15.6">
      <c r="E262" s="1"/>
      <c r="F262" s="1"/>
      <c r="G262" s="1"/>
      <c r="H262" s="1"/>
      <c r="I262" s="1"/>
      <c r="J262" s="1"/>
      <c r="K262" s="1"/>
      <c r="P262" s="414"/>
      <c r="Q262" s="414"/>
      <c r="R262" s="414"/>
      <c r="S262" s="414"/>
      <c r="T262" s="414"/>
      <c r="U262" s="414"/>
    </row>
    <row r="263" spans="5:21" ht="15.6">
      <c r="E263" s="1"/>
      <c r="F263" s="1"/>
      <c r="G263" s="1"/>
      <c r="H263" s="1"/>
      <c r="I263" s="1"/>
      <c r="J263" s="1"/>
      <c r="K263" s="1"/>
      <c r="P263" s="414"/>
      <c r="Q263" s="414"/>
      <c r="R263" s="414"/>
      <c r="S263" s="414"/>
      <c r="T263" s="414"/>
      <c r="U263" s="414"/>
    </row>
    <row r="264" spans="5:21" ht="15.6">
      <c r="E264" s="1"/>
      <c r="F264" s="1"/>
      <c r="G264" s="1"/>
      <c r="H264" s="1"/>
      <c r="I264" s="1"/>
      <c r="J264" s="1"/>
      <c r="K264" s="1"/>
      <c r="P264" s="414"/>
      <c r="Q264" s="414"/>
      <c r="R264" s="414"/>
      <c r="S264" s="414"/>
      <c r="T264" s="414"/>
      <c r="U264" s="414"/>
    </row>
    <row r="265" spans="5:21" ht="15.6">
      <c r="E265" s="1"/>
      <c r="F265" s="1"/>
      <c r="G265" s="1"/>
      <c r="H265" s="1"/>
      <c r="I265" s="1"/>
      <c r="J265" s="1"/>
      <c r="K265" s="1"/>
      <c r="P265" s="414"/>
      <c r="Q265" s="414"/>
      <c r="R265" s="414"/>
      <c r="S265" s="414"/>
      <c r="T265" s="414"/>
      <c r="U265" s="414"/>
    </row>
    <row r="266" spans="5:21" ht="15.6">
      <c r="E266" s="1"/>
      <c r="F266" s="1"/>
      <c r="G266" s="1"/>
      <c r="H266" s="1"/>
      <c r="I266" s="1"/>
      <c r="J266" s="1"/>
      <c r="K266" s="1"/>
      <c r="P266" s="414"/>
      <c r="Q266" s="414"/>
      <c r="R266" s="414"/>
      <c r="S266" s="414"/>
      <c r="T266" s="414"/>
      <c r="U266" s="414"/>
    </row>
    <row r="267" spans="5:21" ht="15.6">
      <c r="E267" s="1"/>
      <c r="F267" s="1"/>
      <c r="G267" s="1"/>
      <c r="H267" s="1"/>
      <c r="I267" s="1"/>
      <c r="J267" s="1"/>
      <c r="K267" s="1"/>
      <c r="P267" s="414"/>
      <c r="Q267" s="414"/>
      <c r="R267" s="414"/>
      <c r="S267" s="414"/>
      <c r="T267" s="414"/>
      <c r="U267" s="414"/>
    </row>
    <row r="268" spans="5:21" ht="15.6">
      <c r="E268" s="1"/>
      <c r="F268" s="1"/>
      <c r="G268" s="1"/>
      <c r="H268" s="1"/>
      <c r="I268" s="1"/>
      <c r="J268" s="1"/>
      <c r="K268" s="1"/>
      <c r="P268" s="414"/>
      <c r="Q268" s="414"/>
      <c r="R268" s="414"/>
      <c r="S268" s="414"/>
      <c r="T268" s="414"/>
      <c r="U268" s="414"/>
    </row>
    <row r="269" spans="5:21" ht="15.6">
      <c r="E269" s="1"/>
      <c r="F269" s="1"/>
      <c r="G269" s="1"/>
      <c r="H269" s="1"/>
      <c r="I269" s="1"/>
      <c r="J269" s="1"/>
      <c r="K269" s="1"/>
      <c r="P269" s="414"/>
      <c r="Q269" s="414"/>
      <c r="R269" s="414"/>
      <c r="S269" s="414"/>
      <c r="T269" s="414"/>
      <c r="U269" s="414"/>
    </row>
    <row r="270" spans="5:21" ht="15.6">
      <c r="E270" s="1"/>
      <c r="F270" s="1"/>
      <c r="G270" s="1"/>
      <c r="H270" s="1"/>
      <c r="I270" s="1"/>
      <c r="J270" s="1"/>
      <c r="K270" s="1"/>
      <c r="P270" s="414"/>
      <c r="Q270" s="414"/>
      <c r="R270" s="414"/>
      <c r="S270" s="414"/>
      <c r="T270" s="414"/>
      <c r="U270" s="414"/>
    </row>
    <row r="271" spans="5:21" ht="15.6">
      <c r="E271" s="1"/>
      <c r="F271" s="1"/>
      <c r="G271" s="1"/>
      <c r="H271" s="1"/>
      <c r="I271" s="1"/>
      <c r="J271" s="1"/>
      <c r="K271" s="1"/>
      <c r="P271" s="414"/>
      <c r="Q271" s="414"/>
      <c r="R271" s="414"/>
      <c r="S271" s="414"/>
      <c r="T271" s="414"/>
      <c r="U271" s="414"/>
    </row>
    <row r="272" spans="5:21" ht="15.6">
      <c r="E272" s="1"/>
      <c r="F272" s="1"/>
      <c r="G272" s="1"/>
      <c r="H272" s="1"/>
      <c r="I272" s="1"/>
      <c r="J272" s="1"/>
      <c r="K272" s="1"/>
      <c r="P272" s="414"/>
      <c r="Q272" s="414"/>
      <c r="R272" s="414"/>
      <c r="S272" s="414"/>
      <c r="T272" s="414"/>
      <c r="U272" s="414"/>
    </row>
    <row r="273" spans="5:21" ht="15.6">
      <c r="E273" s="1"/>
      <c r="F273" s="1"/>
      <c r="G273" s="1"/>
      <c r="H273" s="1"/>
      <c r="I273" s="1"/>
      <c r="J273" s="1"/>
      <c r="K273" s="1"/>
      <c r="P273" s="414"/>
      <c r="Q273" s="414"/>
      <c r="R273" s="414"/>
      <c r="S273" s="414"/>
      <c r="T273" s="414"/>
      <c r="U273" s="414"/>
    </row>
    <row r="274" spans="5:21" ht="15.6">
      <c r="E274" s="1"/>
      <c r="F274" s="1"/>
      <c r="G274" s="1"/>
      <c r="H274" s="1"/>
      <c r="I274" s="1"/>
      <c r="J274" s="1"/>
      <c r="K274" s="1"/>
      <c r="P274" s="414"/>
      <c r="Q274" s="414"/>
      <c r="R274" s="414"/>
      <c r="S274" s="414"/>
      <c r="T274" s="414"/>
      <c r="U274" s="414"/>
    </row>
    <row r="275" spans="5:21" ht="15.6">
      <c r="E275" s="1"/>
      <c r="F275" s="1"/>
      <c r="G275" s="1"/>
      <c r="H275" s="1"/>
      <c r="I275" s="1"/>
      <c r="J275" s="1"/>
      <c r="K275" s="1"/>
      <c r="P275" s="414"/>
      <c r="Q275" s="414"/>
      <c r="R275" s="414"/>
      <c r="S275" s="414"/>
      <c r="T275" s="414"/>
      <c r="U275" s="414"/>
    </row>
    <row r="276" spans="5:21" ht="15.6">
      <c r="E276" s="1"/>
      <c r="F276" s="1"/>
      <c r="G276" s="1"/>
      <c r="H276" s="1"/>
      <c r="I276" s="1"/>
      <c r="J276" s="1"/>
      <c r="K276" s="1"/>
      <c r="P276" s="414"/>
      <c r="Q276" s="414"/>
      <c r="R276" s="414"/>
      <c r="S276" s="414"/>
      <c r="T276" s="414"/>
      <c r="U276" s="414"/>
    </row>
    <row r="277" spans="5:21" ht="15.6">
      <c r="E277" s="1"/>
      <c r="F277" s="1"/>
      <c r="G277" s="1"/>
      <c r="H277" s="1"/>
      <c r="I277" s="1"/>
      <c r="J277" s="1"/>
      <c r="K277" s="1"/>
      <c r="P277" s="414"/>
      <c r="Q277" s="414"/>
      <c r="R277" s="414"/>
      <c r="S277" s="414"/>
      <c r="T277" s="414"/>
      <c r="U277" s="414"/>
    </row>
    <row r="278" spans="5:21" ht="15.6">
      <c r="E278" s="1"/>
      <c r="F278" s="1"/>
      <c r="G278" s="1"/>
      <c r="H278" s="1"/>
      <c r="I278" s="1"/>
      <c r="J278" s="1"/>
      <c r="K278" s="1"/>
      <c r="P278" s="414"/>
      <c r="Q278" s="414"/>
      <c r="R278" s="414"/>
      <c r="S278" s="414"/>
      <c r="T278" s="414"/>
      <c r="U278" s="414"/>
    </row>
    <row r="279" spans="5:21" ht="15.6">
      <c r="E279" s="1"/>
      <c r="F279" s="1"/>
      <c r="G279" s="1"/>
      <c r="H279" s="1"/>
      <c r="I279" s="1"/>
      <c r="J279" s="1"/>
      <c r="K279" s="1"/>
      <c r="P279" s="414"/>
      <c r="Q279" s="414"/>
      <c r="R279" s="414"/>
      <c r="S279" s="414"/>
      <c r="T279" s="414"/>
      <c r="U279" s="414"/>
    </row>
    <row r="280" spans="5:21" ht="15.6">
      <c r="E280" s="1"/>
      <c r="F280" s="1"/>
      <c r="G280" s="1"/>
      <c r="H280" s="1"/>
      <c r="I280" s="1"/>
      <c r="J280" s="1"/>
      <c r="K280" s="1"/>
      <c r="P280" s="414"/>
      <c r="Q280" s="414"/>
      <c r="R280" s="414"/>
      <c r="S280" s="414"/>
      <c r="T280" s="414"/>
      <c r="U280" s="414"/>
    </row>
    <row r="281" spans="5:21" ht="15.6">
      <c r="E281" s="1"/>
      <c r="F281" s="1"/>
      <c r="G281" s="1"/>
      <c r="H281" s="1"/>
      <c r="I281" s="1"/>
      <c r="J281" s="1"/>
      <c r="K281" s="1"/>
      <c r="P281" s="414"/>
      <c r="Q281" s="414"/>
      <c r="R281" s="414"/>
      <c r="S281" s="414"/>
      <c r="T281" s="414"/>
      <c r="U281" s="414"/>
    </row>
    <row r="282" spans="5:21" ht="15.6">
      <c r="E282" s="1"/>
      <c r="F282" s="1"/>
      <c r="G282" s="1"/>
      <c r="H282" s="1"/>
      <c r="I282" s="1"/>
      <c r="J282" s="1"/>
      <c r="K282" s="1"/>
      <c r="P282" s="414"/>
      <c r="Q282" s="414"/>
      <c r="R282" s="414"/>
      <c r="S282" s="414"/>
      <c r="T282" s="414"/>
      <c r="U282" s="414"/>
    </row>
    <row r="283" spans="5:21" ht="15.6">
      <c r="E283" s="1"/>
      <c r="F283" s="1"/>
      <c r="G283" s="1"/>
      <c r="H283" s="1"/>
      <c r="I283" s="1"/>
      <c r="J283" s="1"/>
      <c r="K283" s="1"/>
      <c r="P283" s="414"/>
      <c r="Q283" s="414"/>
      <c r="R283" s="414"/>
      <c r="S283" s="414"/>
      <c r="T283" s="414"/>
      <c r="U283" s="414"/>
    </row>
    <row r="284" spans="5:21" ht="15.6">
      <c r="E284" s="1"/>
      <c r="F284" s="1"/>
      <c r="G284" s="1"/>
      <c r="H284" s="1"/>
      <c r="I284" s="1"/>
      <c r="J284" s="1"/>
      <c r="K284" s="1"/>
      <c r="P284" s="414"/>
      <c r="Q284" s="414"/>
      <c r="R284" s="414"/>
      <c r="S284" s="414"/>
      <c r="T284" s="414"/>
      <c r="U284" s="414"/>
    </row>
    <row r="285" spans="5:21" ht="15.6">
      <c r="E285" s="1"/>
      <c r="F285" s="1"/>
      <c r="G285" s="1"/>
      <c r="H285" s="1"/>
      <c r="I285" s="1"/>
      <c r="J285" s="1"/>
      <c r="K285" s="1"/>
      <c r="P285" s="414"/>
      <c r="Q285" s="414"/>
      <c r="R285" s="414"/>
      <c r="S285" s="414"/>
      <c r="T285" s="414"/>
      <c r="U285" s="414"/>
    </row>
    <row r="286" spans="5:21" ht="15.6">
      <c r="E286" s="1"/>
      <c r="F286" s="1"/>
      <c r="G286" s="1"/>
      <c r="H286" s="1"/>
      <c r="I286" s="1"/>
      <c r="J286" s="1"/>
      <c r="K286" s="1"/>
      <c r="P286" s="414"/>
      <c r="Q286" s="414"/>
      <c r="R286" s="414"/>
      <c r="S286" s="414"/>
      <c r="T286" s="414"/>
      <c r="U286" s="414"/>
    </row>
    <row r="287" spans="5:21" ht="15.6">
      <c r="E287" s="1"/>
      <c r="F287" s="1"/>
      <c r="G287" s="1"/>
      <c r="H287" s="1"/>
      <c r="I287" s="1"/>
      <c r="J287" s="1"/>
      <c r="K287" s="1"/>
      <c r="P287" s="414"/>
      <c r="Q287" s="414"/>
      <c r="R287" s="414"/>
      <c r="S287" s="414"/>
      <c r="T287" s="414"/>
      <c r="U287" s="414"/>
    </row>
    <row r="288" spans="5:21" ht="15.6">
      <c r="E288" s="1"/>
      <c r="F288" s="1"/>
      <c r="G288" s="1"/>
      <c r="H288" s="1"/>
      <c r="I288" s="1"/>
      <c r="J288" s="1"/>
      <c r="K288" s="1"/>
      <c r="P288" s="414"/>
      <c r="Q288" s="414"/>
      <c r="R288" s="414"/>
      <c r="S288" s="414"/>
      <c r="T288" s="414"/>
      <c r="U288" s="414"/>
    </row>
    <row r="289" spans="5:21" ht="15.6">
      <c r="E289" s="1"/>
      <c r="F289" s="1"/>
      <c r="G289" s="1"/>
      <c r="H289" s="1"/>
      <c r="I289" s="1"/>
      <c r="J289" s="1"/>
      <c r="K289" s="1"/>
      <c r="P289" s="414"/>
      <c r="Q289" s="414"/>
      <c r="R289" s="414"/>
      <c r="S289" s="414"/>
      <c r="T289" s="414"/>
      <c r="U289" s="414"/>
    </row>
    <row r="290" spans="5:21" ht="15.6">
      <c r="E290" s="1"/>
      <c r="F290" s="1"/>
      <c r="G290" s="1"/>
      <c r="H290" s="1"/>
      <c r="I290" s="1"/>
      <c r="J290" s="1"/>
      <c r="K290" s="1"/>
      <c r="P290" s="414"/>
      <c r="Q290" s="414"/>
      <c r="R290" s="414"/>
      <c r="S290" s="414"/>
      <c r="T290" s="414"/>
      <c r="U290" s="414"/>
    </row>
    <row r="291" spans="5:21" ht="15.6">
      <c r="E291" s="1"/>
      <c r="F291" s="1"/>
      <c r="G291" s="1"/>
      <c r="H291" s="1"/>
      <c r="I291" s="1"/>
      <c r="J291" s="1"/>
      <c r="K291" s="1"/>
      <c r="P291" s="414"/>
      <c r="Q291" s="414"/>
      <c r="R291" s="414"/>
      <c r="S291" s="414"/>
      <c r="T291" s="414"/>
      <c r="U291" s="414"/>
    </row>
    <row r="292" spans="5:21" ht="15.6">
      <c r="E292" s="1"/>
      <c r="F292" s="1"/>
      <c r="G292" s="1"/>
      <c r="H292" s="1"/>
      <c r="I292" s="1"/>
      <c r="J292" s="1"/>
      <c r="K292" s="1"/>
      <c r="P292" s="414"/>
      <c r="Q292" s="414"/>
      <c r="R292" s="414"/>
      <c r="S292" s="414"/>
      <c r="T292" s="414"/>
      <c r="U292" s="414"/>
    </row>
    <row r="293" spans="5:21" ht="15.6">
      <c r="E293" s="1"/>
      <c r="F293" s="1"/>
      <c r="G293" s="1"/>
      <c r="H293" s="1"/>
      <c r="I293" s="1"/>
      <c r="J293" s="1"/>
      <c r="K293" s="1"/>
      <c r="P293" s="414"/>
      <c r="Q293" s="414"/>
      <c r="R293" s="414"/>
      <c r="S293" s="414"/>
      <c r="T293" s="414"/>
      <c r="U293" s="414"/>
    </row>
    <row r="294" spans="5:21" ht="15.6">
      <c r="E294" s="1"/>
      <c r="F294" s="1"/>
      <c r="G294" s="1"/>
      <c r="H294" s="1"/>
      <c r="I294" s="1"/>
      <c r="J294" s="1"/>
      <c r="K294" s="1"/>
      <c r="P294" s="414"/>
      <c r="Q294" s="414"/>
      <c r="R294" s="414"/>
      <c r="S294" s="414"/>
      <c r="T294" s="414"/>
      <c r="U294" s="414"/>
    </row>
    <row r="295" spans="5:21" ht="15.6">
      <c r="E295" s="1"/>
      <c r="F295" s="1"/>
      <c r="G295" s="1"/>
      <c r="H295" s="1"/>
      <c r="I295" s="1"/>
      <c r="J295" s="1"/>
      <c r="K295" s="1"/>
      <c r="P295" s="414"/>
      <c r="Q295" s="414"/>
      <c r="R295" s="414"/>
      <c r="S295" s="414"/>
      <c r="T295" s="414"/>
      <c r="U295" s="414"/>
    </row>
    <row r="296" spans="5:21" ht="15.6">
      <c r="E296" s="1"/>
      <c r="F296" s="1"/>
      <c r="G296" s="1"/>
      <c r="H296" s="1"/>
      <c r="I296" s="1"/>
      <c r="J296" s="1"/>
      <c r="K296" s="1"/>
      <c r="P296" s="414"/>
      <c r="Q296" s="414"/>
      <c r="R296" s="414"/>
      <c r="S296" s="414"/>
      <c r="T296" s="414"/>
      <c r="U296" s="414"/>
    </row>
    <row r="297" spans="5:21" ht="15.6">
      <c r="E297" s="1"/>
      <c r="F297" s="1"/>
      <c r="G297" s="1"/>
      <c r="H297" s="1"/>
      <c r="I297" s="1"/>
      <c r="J297" s="1"/>
      <c r="K297" s="1"/>
      <c r="P297" s="414"/>
      <c r="Q297" s="414"/>
      <c r="R297" s="414"/>
      <c r="S297" s="414"/>
      <c r="T297" s="414"/>
      <c r="U297" s="414"/>
    </row>
    <row r="298" spans="5:21" ht="15.6">
      <c r="E298" s="1"/>
      <c r="F298" s="1"/>
      <c r="G298" s="1"/>
      <c r="H298" s="1"/>
      <c r="I298" s="1"/>
      <c r="J298" s="1"/>
      <c r="K298" s="1"/>
      <c r="P298" s="414"/>
      <c r="Q298" s="414"/>
      <c r="R298" s="414"/>
      <c r="S298" s="414"/>
      <c r="T298" s="414"/>
      <c r="U298" s="414"/>
    </row>
    <row r="299" spans="5:21" ht="15.6">
      <c r="E299" s="1"/>
      <c r="F299" s="1"/>
      <c r="G299" s="1"/>
      <c r="H299" s="1"/>
      <c r="I299" s="1"/>
      <c r="J299" s="1"/>
      <c r="K299" s="1"/>
      <c r="P299" s="414"/>
      <c r="Q299" s="414"/>
      <c r="R299" s="414"/>
      <c r="S299" s="414"/>
      <c r="T299" s="414"/>
      <c r="U299" s="414"/>
    </row>
    <row r="300" spans="5:21" ht="15.6">
      <c r="E300" s="1"/>
      <c r="F300" s="1"/>
      <c r="G300" s="1"/>
      <c r="H300" s="1"/>
      <c r="I300" s="1"/>
      <c r="J300" s="1"/>
      <c r="K300" s="1"/>
      <c r="P300" s="414"/>
      <c r="Q300" s="414"/>
      <c r="R300" s="414"/>
      <c r="S300" s="414"/>
      <c r="T300" s="414"/>
      <c r="U300" s="414"/>
    </row>
    <row r="301" spans="5:21" ht="15.6">
      <c r="E301" s="1"/>
      <c r="F301" s="1"/>
      <c r="G301" s="1"/>
      <c r="H301" s="1"/>
      <c r="I301" s="1"/>
      <c r="J301" s="1"/>
      <c r="K301" s="1"/>
      <c r="P301" s="414"/>
      <c r="Q301" s="414"/>
      <c r="R301" s="414"/>
      <c r="S301" s="414"/>
      <c r="T301" s="414"/>
      <c r="U301" s="414"/>
    </row>
    <row r="302" spans="5:21" ht="15.6">
      <c r="E302" s="1"/>
      <c r="F302" s="1"/>
      <c r="G302" s="1"/>
      <c r="H302" s="1"/>
      <c r="I302" s="1"/>
      <c r="J302" s="1"/>
      <c r="K302" s="1"/>
      <c r="P302" s="414"/>
      <c r="Q302" s="414"/>
      <c r="R302" s="414"/>
      <c r="S302" s="414"/>
      <c r="T302" s="414"/>
      <c r="U302" s="414"/>
    </row>
    <row r="303" spans="5:21" ht="15.6">
      <c r="E303" s="1"/>
      <c r="F303" s="1"/>
      <c r="G303" s="1"/>
      <c r="H303" s="1"/>
      <c r="I303" s="1"/>
      <c r="J303" s="1"/>
      <c r="K303" s="1"/>
      <c r="P303" s="414"/>
      <c r="Q303" s="414"/>
      <c r="R303" s="414"/>
      <c r="S303" s="414"/>
      <c r="T303" s="414"/>
      <c r="U303" s="414"/>
    </row>
    <row r="304" spans="5:21" ht="15.6">
      <c r="E304" s="1"/>
      <c r="F304" s="1"/>
      <c r="G304" s="1"/>
      <c r="H304" s="1"/>
      <c r="I304" s="1"/>
      <c r="J304" s="1"/>
      <c r="K304" s="1"/>
      <c r="P304" s="414"/>
      <c r="Q304" s="414"/>
      <c r="R304" s="414"/>
      <c r="S304" s="414"/>
      <c r="T304" s="414"/>
      <c r="U304" s="414"/>
    </row>
    <row r="305" spans="5:21" ht="15.6">
      <c r="E305" s="1"/>
      <c r="F305" s="1"/>
      <c r="G305" s="1"/>
      <c r="H305" s="1"/>
      <c r="I305" s="1"/>
      <c r="J305" s="1"/>
      <c r="K305" s="1"/>
      <c r="P305" s="414"/>
      <c r="Q305" s="414"/>
      <c r="R305" s="414"/>
      <c r="S305" s="414"/>
      <c r="T305" s="414"/>
      <c r="U305" s="414"/>
    </row>
    <row r="306" spans="5:21" ht="15.6">
      <c r="E306" s="1"/>
      <c r="F306" s="1"/>
      <c r="G306" s="1"/>
      <c r="H306" s="1"/>
      <c r="I306" s="1"/>
      <c r="J306" s="1"/>
      <c r="K306" s="1"/>
      <c r="P306" s="414"/>
      <c r="Q306" s="414"/>
      <c r="R306" s="414"/>
      <c r="S306" s="414"/>
      <c r="T306" s="414"/>
      <c r="U306" s="414"/>
    </row>
    <row r="307" spans="5:21" ht="15.6">
      <c r="E307" s="1"/>
      <c r="F307" s="1"/>
      <c r="G307" s="1"/>
      <c r="H307" s="1"/>
      <c r="I307" s="1"/>
      <c r="J307" s="1"/>
      <c r="K307" s="1"/>
      <c r="P307" s="414"/>
      <c r="Q307" s="414"/>
      <c r="R307" s="414"/>
      <c r="S307" s="414"/>
      <c r="T307" s="414"/>
      <c r="U307" s="414"/>
    </row>
    <row r="308" spans="5:21" ht="15.6">
      <c r="E308" s="1"/>
      <c r="F308" s="1"/>
      <c r="G308" s="1"/>
      <c r="H308" s="1"/>
      <c r="I308" s="1"/>
      <c r="J308" s="1"/>
      <c r="K308" s="1"/>
      <c r="P308" s="414"/>
      <c r="Q308" s="414"/>
      <c r="R308" s="414"/>
      <c r="S308" s="414"/>
      <c r="T308" s="414"/>
      <c r="U308" s="414"/>
    </row>
    <row r="309" spans="5:21" ht="15.6">
      <c r="E309" s="1"/>
      <c r="F309" s="1"/>
      <c r="G309" s="1"/>
      <c r="H309" s="1"/>
      <c r="I309" s="1"/>
      <c r="J309" s="1"/>
      <c r="K309" s="1"/>
      <c r="P309" s="414"/>
      <c r="Q309" s="414"/>
      <c r="R309" s="414"/>
      <c r="S309" s="414"/>
      <c r="T309" s="414"/>
      <c r="U309" s="414"/>
    </row>
    <row r="310" spans="5:21" ht="15.6">
      <c r="E310" s="1"/>
      <c r="F310" s="1"/>
      <c r="G310" s="1"/>
      <c r="H310" s="1"/>
      <c r="I310" s="1"/>
      <c r="J310" s="1"/>
      <c r="K310" s="1"/>
      <c r="P310" s="414"/>
      <c r="Q310" s="414"/>
      <c r="R310" s="414"/>
      <c r="S310" s="414"/>
      <c r="T310" s="414"/>
      <c r="U310" s="414"/>
    </row>
    <row r="311" spans="5:21" ht="15.6">
      <c r="E311" s="1"/>
      <c r="F311" s="1"/>
      <c r="G311" s="1"/>
      <c r="H311" s="1"/>
      <c r="I311" s="1"/>
      <c r="J311" s="1"/>
      <c r="K311" s="1"/>
      <c r="P311" s="414"/>
      <c r="Q311" s="414"/>
      <c r="R311" s="414"/>
      <c r="S311" s="414"/>
      <c r="T311" s="414"/>
      <c r="U311" s="414"/>
    </row>
    <row r="312" spans="5:21" ht="15.6">
      <c r="E312" s="1"/>
      <c r="F312" s="1"/>
      <c r="G312" s="1"/>
      <c r="H312" s="1"/>
      <c r="I312" s="1"/>
      <c r="J312" s="1"/>
      <c r="K312" s="1"/>
      <c r="P312" s="414"/>
      <c r="Q312" s="414"/>
      <c r="R312" s="414"/>
      <c r="S312" s="414"/>
      <c r="T312" s="414"/>
      <c r="U312" s="414"/>
    </row>
    <row r="313" spans="5:21" ht="15.6">
      <c r="E313" s="1"/>
      <c r="F313" s="1"/>
      <c r="G313" s="1"/>
      <c r="H313" s="1"/>
      <c r="I313" s="1"/>
      <c r="J313" s="1"/>
      <c r="K313" s="1"/>
      <c r="P313" s="414"/>
      <c r="Q313" s="414"/>
      <c r="R313" s="414"/>
      <c r="S313" s="414"/>
      <c r="T313" s="414"/>
      <c r="U313" s="414"/>
    </row>
    <row r="314" spans="5:21" ht="15.6">
      <c r="E314" s="1"/>
      <c r="F314" s="1"/>
      <c r="G314" s="1"/>
      <c r="H314" s="1"/>
      <c r="I314" s="1"/>
      <c r="J314" s="1"/>
      <c r="K314" s="1"/>
      <c r="P314" s="414"/>
      <c r="Q314" s="414"/>
      <c r="R314" s="414"/>
      <c r="S314" s="414"/>
      <c r="T314" s="414"/>
      <c r="U314" s="414"/>
    </row>
    <row r="315" spans="5:21" ht="15.6">
      <c r="E315" s="1"/>
      <c r="F315" s="1"/>
      <c r="G315" s="1"/>
      <c r="H315" s="1"/>
      <c r="I315" s="1"/>
      <c r="J315" s="1"/>
      <c r="K315" s="1"/>
      <c r="P315" s="414"/>
      <c r="Q315" s="414"/>
      <c r="R315" s="414"/>
      <c r="S315" s="414"/>
      <c r="T315" s="414"/>
      <c r="U315" s="414"/>
    </row>
    <row r="316" spans="5:21" ht="15.6">
      <c r="E316" s="1"/>
      <c r="F316" s="1"/>
      <c r="G316" s="1"/>
      <c r="H316" s="1"/>
      <c r="I316" s="1"/>
      <c r="J316" s="1"/>
      <c r="K316" s="1"/>
      <c r="P316" s="414"/>
      <c r="Q316" s="414"/>
      <c r="R316" s="414"/>
      <c r="S316" s="414"/>
      <c r="T316" s="414"/>
      <c r="U316" s="414"/>
    </row>
    <row r="317" spans="5:21" ht="15.6">
      <c r="E317" s="1"/>
      <c r="F317" s="1"/>
      <c r="G317" s="1"/>
      <c r="H317" s="1"/>
      <c r="I317" s="1"/>
      <c r="J317" s="1"/>
      <c r="K317" s="1"/>
      <c r="P317" s="414"/>
      <c r="Q317" s="414"/>
      <c r="R317" s="414"/>
      <c r="S317" s="414"/>
      <c r="T317" s="414"/>
      <c r="U317" s="414"/>
    </row>
    <row r="318" spans="5:21" ht="15.6">
      <c r="E318" s="1"/>
      <c r="F318" s="1"/>
      <c r="G318" s="1"/>
      <c r="H318" s="1"/>
      <c r="I318" s="1"/>
      <c r="J318" s="1"/>
      <c r="K318" s="1"/>
      <c r="P318" s="414"/>
      <c r="Q318" s="414"/>
      <c r="R318" s="414"/>
      <c r="S318" s="414"/>
      <c r="T318" s="414"/>
      <c r="U318" s="414"/>
    </row>
    <row r="319" spans="5:21" ht="15.6">
      <c r="E319" s="1"/>
      <c r="F319" s="1"/>
      <c r="G319" s="1"/>
      <c r="H319" s="1"/>
      <c r="I319" s="1"/>
      <c r="J319" s="1"/>
      <c r="K319" s="1"/>
      <c r="P319" s="414"/>
      <c r="Q319" s="414"/>
      <c r="R319" s="414"/>
      <c r="S319" s="414"/>
      <c r="T319" s="414"/>
      <c r="U319" s="414"/>
    </row>
    <row r="320" spans="5:21" ht="15.6">
      <c r="E320" s="1"/>
      <c r="F320" s="1"/>
      <c r="G320" s="1"/>
      <c r="H320" s="1"/>
      <c r="I320" s="1"/>
      <c r="J320" s="1"/>
      <c r="K320" s="1"/>
      <c r="P320" s="414"/>
      <c r="Q320" s="414"/>
      <c r="R320" s="414"/>
      <c r="S320" s="414"/>
      <c r="T320" s="414"/>
      <c r="U320" s="414"/>
    </row>
    <row r="321" spans="5:21" ht="15.6">
      <c r="E321" s="1"/>
      <c r="F321" s="1"/>
      <c r="G321" s="1"/>
      <c r="H321" s="1"/>
      <c r="I321" s="1"/>
      <c r="J321" s="1"/>
      <c r="K321" s="1"/>
      <c r="P321" s="414"/>
      <c r="Q321" s="414"/>
      <c r="R321" s="414"/>
      <c r="S321" s="414"/>
      <c r="T321" s="414"/>
      <c r="U321" s="414"/>
    </row>
    <row r="322" spans="5:21" ht="15.6">
      <c r="E322" s="1"/>
      <c r="F322" s="1"/>
      <c r="G322" s="1"/>
      <c r="H322" s="1"/>
      <c r="I322" s="1"/>
      <c r="J322" s="1"/>
      <c r="K322" s="1"/>
      <c r="P322" s="414"/>
      <c r="Q322" s="414"/>
      <c r="R322" s="414"/>
      <c r="S322" s="414"/>
      <c r="T322" s="414"/>
      <c r="U322" s="414"/>
    </row>
    <row r="323" spans="5:21" ht="15.6">
      <c r="E323" s="1"/>
      <c r="F323" s="1"/>
      <c r="G323" s="1"/>
      <c r="H323" s="1"/>
      <c r="I323" s="1"/>
      <c r="J323" s="1"/>
      <c r="K323" s="1"/>
      <c r="P323" s="414"/>
      <c r="Q323" s="414"/>
      <c r="R323" s="414"/>
      <c r="S323" s="414"/>
      <c r="T323" s="414"/>
      <c r="U323" s="414"/>
    </row>
    <row r="324" spans="5:21" ht="15.6">
      <c r="E324" s="1"/>
      <c r="F324" s="1"/>
      <c r="G324" s="1"/>
      <c r="H324" s="1"/>
      <c r="I324" s="1"/>
      <c r="J324" s="1"/>
      <c r="K324" s="1"/>
      <c r="P324" s="414"/>
      <c r="Q324" s="414"/>
      <c r="R324" s="414"/>
      <c r="S324" s="414"/>
      <c r="T324" s="414"/>
      <c r="U324" s="414"/>
    </row>
    <row r="325" spans="5:21" ht="15.6">
      <c r="E325" s="1"/>
      <c r="F325" s="1"/>
      <c r="G325" s="1"/>
      <c r="H325" s="1"/>
      <c r="I325" s="1"/>
      <c r="J325" s="1"/>
      <c r="K325" s="1"/>
      <c r="P325" s="414"/>
      <c r="Q325" s="414"/>
      <c r="R325" s="414"/>
      <c r="S325" s="414"/>
      <c r="T325" s="414"/>
      <c r="U325" s="414"/>
    </row>
    <row r="326" spans="5:21" ht="15.6">
      <c r="E326" s="1"/>
      <c r="F326" s="1"/>
      <c r="G326" s="1"/>
      <c r="H326" s="1"/>
      <c r="I326" s="1"/>
      <c r="J326" s="1"/>
      <c r="K326" s="1"/>
      <c r="P326" s="414"/>
      <c r="Q326" s="414"/>
      <c r="R326" s="414"/>
      <c r="S326" s="414"/>
      <c r="T326" s="414"/>
      <c r="U326" s="414"/>
    </row>
    <row r="327" spans="5:21" ht="15.6">
      <c r="E327" s="1"/>
      <c r="F327" s="1"/>
      <c r="G327" s="1"/>
      <c r="H327" s="1"/>
      <c r="I327" s="1"/>
      <c r="J327" s="1"/>
      <c r="K327" s="1"/>
      <c r="P327" s="414"/>
      <c r="Q327" s="414"/>
      <c r="R327" s="414"/>
      <c r="S327" s="414"/>
      <c r="T327" s="414"/>
      <c r="U327" s="414"/>
    </row>
    <row r="328" spans="5:21" ht="15.6">
      <c r="E328" s="1"/>
      <c r="F328" s="1"/>
      <c r="G328" s="1"/>
      <c r="H328" s="1"/>
      <c r="I328" s="1"/>
      <c r="J328" s="1"/>
      <c r="K328" s="1"/>
      <c r="P328" s="414"/>
      <c r="Q328" s="414"/>
      <c r="R328" s="414"/>
      <c r="S328" s="414"/>
      <c r="T328" s="414"/>
      <c r="U328" s="414"/>
    </row>
    <row r="329" spans="5:21" ht="15.6">
      <c r="E329" s="1"/>
      <c r="F329" s="1"/>
      <c r="G329" s="1"/>
      <c r="H329" s="1"/>
      <c r="I329" s="1"/>
      <c r="J329" s="1"/>
      <c r="K329" s="1"/>
      <c r="P329" s="414"/>
      <c r="Q329" s="414"/>
      <c r="R329" s="414"/>
      <c r="S329" s="414"/>
      <c r="T329" s="414"/>
      <c r="U329" s="414"/>
    </row>
    <row r="330" spans="5:21" ht="15.6">
      <c r="E330" s="1"/>
      <c r="F330" s="1"/>
      <c r="G330" s="1"/>
      <c r="H330" s="1"/>
      <c r="I330" s="1"/>
      <c r="J330" s="1"/>
      <c r="K330" s="1"/>
      <c r="P330" s="414"/>
      <c r="Q330" s="414"/>
      <c r="R330" s="414"/>
      <c r="S330" s="414"/>
      <c r="T330" s="414"/>
      <c r="U330" s="414"/>
    </row>
    <row r="331" spans="5:21" ht="15.6">
      <c r="E331" s="1"/>
      <c r="F331" s="1"/>
      <c r="G331" s="1"/>
      <c r="H331" s="1"/>
      <c r="I331" s="1"/>
      <c r="J331" s="1"/>
      <c r="K331" s="1"/>
      <c r="P331" s="414"/>
      <c r="Q331" s="414"/>
      <c r="R331" s="414"/>
      <c r="S331" s="414"/>
      <c r="T331" s="414"/>
      <c r="U331" s="414"/>
    </row>
    <row r="332" spans="5:21" ht="15.6">
      <c r="E332" s="1"/>
      <c r="F332" s="1"/>
      <c r="G332" s="1"/>
      <c r="H332" s="1"/>
      <c r="I332" s="1"/>
      <c r="J332" s="1"/>
      <c r="K332" s="1"/>
      <c r="P332" s="414"/>
      <c r="Q332" s="414"/>
      <c r="R332" s="414"/>
      <c r="S332" s="414"/>
      <c r="T332" s="414"/>
      <c r="U332" s="414"/>
    </row>
    <row r="333" spans="5:21" ht="15.6">
      <c r="E333" s="1"/>
      <c r="F333" s="1"/>
      <c r="G333" s="1"/>
      <c r="H333" s="1"/>
      <c r="I333" s="1"/>
      <c r="J333" s="1"/>
      <c r="K333" s="1"/>
      <c r="P333" s="414"/>
      <c r="Q333" s="414"/>
      <c r="R333" s="414"/>
      <c r="S333" s="414"/>
      <c r="T333" s="414"/>
      <c r="U333" s="414"/>
    </row>
    <row r="334" spans="5:21" ht="15.6">
      <c r="E334" s="1"/>
      <c r="F334" s="1"/>
      <c r="G334" s="1"/>
      <c r="H334" s="1"/>
      <c r="I334" s="1"/>
      <c r="J334" s="1"/>
      <c r="K334" s="1"/>
      <c r="P334" s="414"/>
      <c r="Q334" s="414"/>
      <c r="R334" s="414"/>
      <c r="S334" s="414"/>
      <c r="T334" s="414"/>
      <c r="U334" s="414"/>
    </row>
    <row r="335" spans="5:21" ht="15.6">
      <c r="E335" s="1"/>
      <c r="F335" s="1"/>
      <c r="G335" s="1"/>
      <c r="H335" s="1"/>
      <c r="I335" s="1"/>
      <c r="J335" s="1"/>
      <c r="K335" s="1"/>
      <c r="P335" s="414"/>
      <c r="Q335" s="414"/>
      <c r="R335" s="414"/>
      <c r="S335" s="414"/>
      <c r="T335" s="414"/>
      <c r="U335" s="414"/>
    </row>
    <row r="336" spans="5:21" ht="15.6">
      <c r="E336" s="1"/>
      <c r="F336" s="1"/>
      <c r="G336" s="1"/>
      <c r="H336" s="1"/>
      <c r="I336" s="1"/>
      <c r="J336" s="1"/>
      <c r="K336" s="1"/>
      <c r="P336" s="414"/>
      <c r="Q336" s="414"/>
      <c r="R336" s="414"/>
      <c r="S336" s="414"/>
      <c r="T336" s="414"/>
      <c r="U336" s="414"/>
    </row>
    <row r="337" spans="5:21" ht="15.6">
      <c r="E337" s="1"/>
      <c r="F337" s="1"/>
      <c r="G337" s="1"/>
      <c r="H337" s="1"/>
      <c r="I337" s="1"/>
      <c r="J337" s="1"/>
      <c r="K337" s="1"/>
      <c r="P337" s="414"/>
      <c r="Q337" s="414"/>
      <c r="R337" s="414"/>
      <c r="S337" s="414"/>
      <c r="T337" s="414"/>
      <c r="U337" s="414"/>
    </row>
    <row r="338" spans="5:21" ht="15.6">
      <c r="E338" s="1"/>
      <c r="F338" s="1"/>
      <c r="G338" s="1"/>
      <c r="H338" s="1"/>
      <c r="I338" s="1"/>
      <c r="J338" s="1"/>
      <c r="K338" s="1"/>
      <c r="P338" s="414"/>
      <c r="Q338" s="414"/>
      <c r="R338" s="414"/>
      <c r="S338" s="414"/>
      <c r="T338" s="414"/>
      <c r="U338" s="414"/>
    </row>
    <row r="339" spans="5:21" ht="15.6">
      <c r="E339" s="1"/>
      <c r="F339" s="1"/>
      <c r="G339" s="1"/>
      <c r="H339" s="1"/>
      <c r="I339" s="1"/>
      <c r="J339" s="1"/>
      <c r="K339" s="1"/>
      <c r="P339" s="414"/>
      <c r="Q339" s="414"/>
      <c r="R339" s="414"/>
      <c r="S339" s="414"/>
      <c r="T339" s="414"/>
      <c r="U339" s="414"/>
    </row>
    <row r="340" spans="5:21" ht="15.6">
      <c r="E340" s="1"/>
      <c r="F340" s="1"/>
      <c r="G340" s="1"/>
      <c r="H340" s="1"/>
      <c r="I340" s="1"/>
      <c r="J340" s="1"/>
      <c r="K340" s="1"/>
      <c r="P340" s="414"/>
      <c r="Q340" s="414"/>
      <c r="R340" s="414"/>
      <c r="S340" s="414"/>
      <c r="T340" s="414"/>
      <c r="U340" s="414"/>
    </row>
    <row r="341" spans="5:21" ht="15.6">
      <c r="E341" s="1"/>
      <c r="F341" s="1"/>
      <c r="G341" s="1"/>
      <c r="H341" s="1"/>
      <c r="I341" s="1"/>
      <c r="J341" s="1"/>
      <c r="K341" s="1"/>
      <c r="P341" s="414"/>
      <c r="Q341" s="414"/>
      <c r="R341" s="414"/>
      <c r="S341" s="414"/>
      <c r="T341" s="414"/>
      <c r="U341" s="414"/>
    </row>
    <row r="342" spans="5:21" ht="15.6">
      <c r="E342" s="1"/>
      <c r="F342" s="1"/>
      <c r="G342" s="1"/>
      <c r="H342" s="1"/>
      <c r="I342" s="1"/>
      <c r="J342" s="1"/>
      <c r="K342" s="1"/>
      <c r="P342" s="414"/>
      <c r="Q342" s="414"/>
      <c r="R342" s="414"/>
      <c r="S342" s="414"/>
      <c r="T342" s="414"/>
      <c r="U342" s="414"/>
    </row>
    <row r="343" spans="5:21" ht="15.6">
      <c r="E343" s="1"/>
      <c r="F343" s="1"/>
      <c r="G343" s="1"/>
      <c r="H343" s="1"/>
      <c r="I343" s="1"/>
      <c r="J343" s="1"/>
      <c r="K343" s="1"/>
      <c r="P343" s="414"/>
      <c r="Q343" s="414"/>
      <c r="R343" s="414"/>
      <c r="S343" s="414"/>
      <c r="T343" s="414"/>
      <c r="U343" s="414"/>
    </row>
    <row r="344" spans="5:21" ht="15.6">
      <c r="E344" s="1"/>
      <c r="F344" s="1"/>
      <c r="G344" s="1"/>
      <c r="H344" s="1"/>
      <c r="I344" s="1"/>
      <c r="J344" s="1"/>
      <c r="K344" s="1"/>
      <c r="P344" s="414"/>
      <c r="Q344" s="414"/>
      <c r="R344" s="414"/>
      <c r="S344" s="414"/>
      <c r="T344" s="414"/>
      <c r="U344" s="414"/>
    </row>
    <row r="345" spans="5:21" ht="15.6">
      <c r="E345" s="1"/>
      <c r="F345" s="1"/>
      <c r="G345" s="1"/>
      <c r="H345" s="1"/>
      <c r="I345" s="1"/>
      <c r="J345" s="1"/>
      <c r="K345" s="1"/>
      <c r="P345" s="414"/>
      <c r="Q345" s="414"/>
      <c r="R345" s="414"/>
      <c r="S345" s="414"/>
      <c r="T345" s="414"/>
      <c r="U345" s="414"/>
    </row>
    <row r="346" spans="5:21" ht="15.6">
      <c r="E346" s="1"/>
      <c r="F346" s="1"/>
      <c r="G346" s="1"/>
      <c r="H346" s="1"/>
      <c r="I346" s="1"/>
      <c r="J346" s="1"/>
      <c r="K346" s="1"/>
      <c r="P346" s="414"/>
      <c r="Q346" s="414"/>
      <c r="R346" s="414"/>
      <c r="S346" s="414"/>
      <c r="T346" s="414"/>
      <c r="U346" s="414"/>
    </row>
    <row r="347" spans="5:21" ht="15.6">
      <c r="E347" s="1"/>
      <c r="F347" s="1"/>
      <c r="G347" s="1"/>
      <c r="H347" s="1"/>
      <c r="I347" s="1"/>
      <c r="J347" s="1"/>
      <c r="K347" s="1"/>
      <c r="P347" s="414"/>
      <c r="Q347" s="414"/>
      <c r="R347" s="414"/>
      <c r="S347" s="414"/>
      <c r="T347" s="414"/>
      <c r="U347" s="414"/>
    </row>
    <row r="348" spans="5:21" ht="15.6">
      <c r="E348" s="1"/>
      <c r="F348" s="1"/>
      <c r="G348" s="1"/>
      <c r="H348" s="1"/>
      <c r="I348" s="1"/>
      <c r="J348" s="1"/>
      <c r="K348" s="1"/>
      <c r="P348" s="414"/>
      <c r="Q348" s="414"/>
      <c r="R348" s="414"/>
      <c r="S348" s="414"/>
      <c r="T348" s="414"/>
      <c r="U348" s="414"/>
    </row>
    <row r="349" spans="5:21" ht="15.6">
      <c r="E349" s="1"/>
      <c r="F349" s="1"/>
      <c r="G349" s="1"/>
      <c r="H349" s="1"/>
      <c r="I349" s="1"/>
      <c r="J349" s="1"/>
      <c r="K349" s="1"/>
      <c r="P349" s="414"/>
      <c r="Q349" s="414"/>
      <c r="R349" s="414"/>
      <c r="S349" s="414"/>
      <c r="T349" s="414"/>
      <c r="U349" s="414"/>
    </row>
    <row r="350" spans="5:21" ht="15.6">
      <c r="E350" s="1"/>
      <c r="F350" s="1"/>
      <c r="G350" s="1"/>
      <c r="H350" s="1"/>
      <c r="I350" s="1"/>
      <c r="J350" s="1"/>
      <c r="K350" s="1"/>
      <c r="P350" s="414"/>
      <c r="Q350" s="414"/>
      <c r="R350" s="414"/>
      <c r="S350" s="414"/>
      <c r="T350" s="414"/>
      <c r="U350" s="414"/>
    </row>
    <row r="351" spans="5:21" ht="15.6">
      <c r="E351" s="1"/>
      <c r="F351" s="1"/>
      <c r="G351" s="1"/>
      <c r="H351" s="1"/>
      <c r="I351" s="1"/>
      <c r="J351" s="1"/>
      <c r="K351" s="1"/>
      <c r="P351" s="414"/>
      <c r="Q351" s="414"/>
      <c r="R351" s="414"/>
      <c r="S351" s="414"/>
      <c r="T351" s="414"/>
      <c r="U351" s="414"/>
    </row>
    <row r="352" spans="5:21" ht="15.6">
      <c r="E352" s="1"/>
      <c r="F352" s="1"/>
      <c r="G352" s="1"/>
      <c r="H352" s="1"/>
      <c r="I352" s="1"/>
      <c r="J352" s="1"/>
      <c r="K352" s="1"/>
      <c r="P352" s="414"/>
      <c r="Q352" s="414"/>
      <c r="R352" s="414"/>
      <c r="S352" s="414"/>
      <c r="T352" s="414"/>
      <c r="U352" s="414"/>
    </row>
    <row r="353" spans="5:21" ht="15.6">
      <c r="E353" s="1"/>
      <c r="F353" s="1"/>
      <c r="G353" s="1"/>
      <c r="H353" s="1"/>
      <c r="I353" s="1"/>
      <c r="J353" s="1"/>
      <c r="K353" s="1"/>
      <c r="P353" s="414"/>
      <c r="Q353" s="414"/>
      <c r="R353" s="414"/>
      <c r="S353" s="414"/>
      <c r="T353" s="414"/>
      <c r="U353" s="414"/>
    </row>
    <row r="354" spans="5:21" ht="15.6">
      <c r="E354" s="1"/>
      <c r="F354" s="1"/>
      <c r="G354" s="1"/>
      <c r="H354" s="1"/>
      <c r="I354" s="1"/>
      <c r="J354" s="1"/>
      <c r="K354" s="1"/>
      <c r="P354" s="414"/>
      <c r="Q354" s="414"/>
      <c r="R354" s="414"/>
      <c r="S354" s="414"/>
      <c r="T354" s="414"/>
      <c r="U354" s="414"/>
    </row>
    <row r="355" spans="5:21" ht="15.6">
      <c r="E355" s="1"/>
      <c r="F355" s="1"/>
      <c r="G355" s="1"/>
      <c r="H355" s="1"/>
      <c r="I355" s="1"/>
      <c r="J355" s="1"/>
      <c r="K355" s="1"/>
      <c r="P355" s="414"/>
      <c r="Q355" s="414"/>
      <c r="R355" s="414"/>
      <c r="S355" s="414"/>
      <c r="T355" s="414"/>
      <c r="U355" s="414"/>
    </row>
    <row r="356" spans="5:21" ht="15.6">
      <c r="E356" s="1"/>
      <c r="F356" s="1"/>
      <c r="G356" s="1"/>
      <c r="H356" s="1"/>
      <c r="I356" s="1"/>
      <c r="J356" s="1"/>
      <c r="K356" s="1"/>
      <c r="P356" s="414"/>
      <c r="Q356" s="414"/>
      <c r="R356" s="414"/>
      <c r="S356" s="414"/>
      <c r="T356" s="414"/>
      <c r="U356" s="414"/>
    </row>
    <row r="357" spans="5:21" ht="15.6">
      <c r="E357" s="1"/>
      <c r="F357" s="1"/>
      <c r="G357" s="1"/>
      <c r="H357" s="1"/>
      <c r="I357" s="1"/>
      <c r="J357" s="1"/>
      <c r="K357" s="1"/>
      <c r="P357" s="414"/>
      <c r="Q357" s="414"/>
      <c r="R357" s="414"/>
      <c r="S357" s="414"/>
      <c r="T357" s="414"/>
      <c r="U357" s="414"/>
    </row>
    <row r="358" spans="5:21" ht="15.6">
      <c r="E358" s="1"/>
      <c r="F358" s="1"/>
      <c r="G358" s="1"/>
      <c r="H358" s="1"/>
      <c r="I358" s="1"/>
      <c r="J358" s="1"/>
      <c r="K358" s="1"/>
      <c r="P358" s="414"/>
      <c r="Q358" s="414"/>
      <c r="R358" s="414"/>
      <c r="S358" s="414"/>
      <c r="T358" s="414"/>
      <c r="U358" s="414"/>
    </row>
    <row r="359" spans="5:21" ht="15.6">
      <c r="E359" s="1"/>
      <c r="F359" s="1"/>
      <c r="G359" s="1"/>
      <c r="H359" s="1"/>
      <c r="I359" s="1"/>
      <c r="J359" s="1"/>
      <c r="K359" s="1"/>
      <c r="P359" s="414"/>
      <c r="Q359" s="414"/>
      <c r="R359" s="414"/>
      <c r="S359" s="414"/>
      <c r="T359" s="414"/>
      <c r="U359" s="414"/>
    </row>
    <row r="360" spans="5:21" ht="15.6">
      <c r="E360" s="1"/>
      <c r="F360" s="1"/>
      <c r="G360" s="1"/>
      <c r="H360" s="1"/>
      <c r="I360" s="1"/>
      <c r="J360" s="1"/>
      <c r="K360" s="1"/>
      <c r="P360" s="414"/>
      <c r="Q360" s="414"/>
      <c r="R360" s="414"/>
      <c r="S360" s="414"/>
      <c r="T360" s="414"/>
      <c r="U360" s="414"/>
    </row>
    <row r="361" spans="5:21" ht="15.6">
      <c r="E361" s="1"/>
      <c r="F361" s="1"/>
      <c r="G361" s="1"/>
      <c r="H361" s="1"/>
      <c r="I361" s="1"/>
      <c r="J361" s="1"/>
      <c r="K361" s="1"/>
      <c r="P361" s="414"/>
      <c r="Q361" s="414"/>
      <c r="R361" s="414"/>
      <c r="S361" s="414"/>
      <c r="T361" s="414"/>
      <c r="U361" s="414"/>
    </row>
    <row r="362" spans="5:21" ht="15.6">
      <c r="E362" s="1"/>
      <c r="F362" s="1"/>
      <c r="G362" s="1"/>
      <c r="H362" s="1"/>
      <c r="I362" s="1"/>
      <c r="J362" s="1"/>
      <c r="K362" s="1"/>
      <c r="P362" s="414"/>
      <c r="Q362" s="414"/>
      <c r="R362" s="414"/>
      <c r="S362" s="414"/>
      <c r="T362" s="414"/>
      <c r="U362" s="414"/>
    </row>
    <row r="363" spans="5:21" ht="15.6">
      <c r="E363" s="1"/>
      <c r="F363" s="1"/>
      <c r="G363" s="1"/>
      <c r="H363" s="1"/>
      <c r="I363" s="1"/>
      <c r="J363" s="1"/>
      <c r="K363" s="1"/>
      <c r="P363" s="414"/>
      <c r="Q363" s="414"/>
      <c r="R363" s="414"/>
      <c r="S363" s="414"/>
      <c r="T363" s="414"/>
      <c r="U363" s="414"/>
    </row>
    <row r="364" spans="5:21" ht="15.6">
      <c r="E364" s="1"/>
      <c r="F364" s="1"/>
      <c r="G364" s="1"/>
      <c r="H364" s="1"/>
      <c r="I364" s="1"/>
      <c r="J364" s="1"/>
      <c r="K364" s="1"/>
      <c r="P364" s="414"/>
      <c r="Q364" s="414"/>
      <c r="R364" s="414"/>
      <c r="S364" s="414"/>
      <c r="T364" s="414"/>
      <c r="U364" s="414"/>
    </row>
    <row r="365" spans="5:21" ht="15.6">
      <c r="E365" s="1"/>
      <c r="F365" s="1"/>
      <c r="G365" s="1"/>
      <c r="H365" s="1"/>
      <c r="I365" s="1"/>
      <c r="J365" s="1"/>
      <c r="K365" s="1"/>
      <c r="P365" s="414"/>
      <c r="Q365" s="414"/>
      <c r="R365" s="414"/>
      <c r="S365" s="414"/>
      <c r="T365" s="414"/>
      <c r="U365" s="414"/>
    </row>
    <row r="366" spans="5:21" ht="15.6">
      <c r="E366" s="1"/>
      <c r="F366" s="1"/>
      <c r="G366" s="1"/>
      <c r="H366" s="1"/>
      <c r="I366" s="1"/>
      <c r="J366" s="1"/>
      <c r="K366" s="1"/>
      <c r="P366" s="414"/>
      <c r="Q366" s="414"/>
      <c r="R366" s="414"/>
      <c r="S366" s="414"/>
      <c r="T366" s="414"/>
      <c r="U366" s="414"/>
    </row>
    <row r="367" spans="5:21" ht="15.6">
      <c r="E367" s="1"/>
      <c r="F367" s="1"/>
      <c r="G367" s="1"/>
      <c r="H367" s="1"/>
      <c r="I367" s="1"/>
      <c r="J367" s="1"/>
      <c r="K367" s="1"/>
      <c r="P367" s="414"/>
      <c r="Q367" s="414"/>
      <c r="R367" s="414"/>
      <c r="S367" s="414"/>
      <c r="T367" s="414"/>
      <c r="U367" s="414"/>
    </row>
    <row r="368" spans="5:21" ht="15.6">
      <c r="E368" s="1"/>
      <c r="F368" s="1"/>
      <c r="G368" s="1"/>
      <c r="H368" s="1"/>
      <c r="I368" s="1"/>
      <c r="J368" s="1"/>
      <c r="K368" s="1"/>
      <c r="P368" s="414"/>
      <c r="Q368" s="414"/>
      <c r="R368" s="414"/>
      <c r="S368" s="414"/>
      <c r="T368" s="414"/>
      <c r="U368" s="414"/>
    </row>
    <row r="369" spans="5:21" ht="15.6">
      <c r="E369" s="1"/>
      <c r="F369" s="1"/>
      <c r="G369" s="1"/>
      <c r="H369" s="1"/>
      <c r="I369" s="1"/>
      <c r="J369" s="1"/>
      <c r="K369" s="1"/>
      <c r="P369" s="414"/>
      <c r="Q369" s="414"/>
      <c r="R369" s="414"/>
      <c r="S369" s="414"/>
      <c r="T369" s="414"/>
      <c r="U369" s="414"/>
    </row>
    <row r="370" spans="5:21" ht="15.6">
      <c r="E370" s="1"/>
      <c r="F370" s="1"/>
      <c r="G370" s="1"/>
      <c r="H370" s="1"/>
      <c r="I370" s="1"/>
      <c r="J370" s="1"/>
      <c r="K370" s="1"/>
      <c r="P370" s="414"/>
      <c r="Q370" s="414"/>
      <c r="R370" s="414"/>
      <c r="S370" s="414"/>
      <c r="T370" s="414"/>
      <c r="U370" s="414"/>
    </row>
    <row r="371" spans="5:21" ht="15.6">
      <c r="E371" s="1"/>
      <c r="F371" s="1"/>
      <c r="G371" s="1"/>
      <c r="H371" s="1"/>
      <c r="I371" s="1"/>
      <c r="J371" s="1"/>
      <c r="K371" s="1"/>
      <c r="P371" s="414"/>
      <c r="Q371" s="414"/>
      <c r="R371" s="414"/>
      <c r="S371" s="414"/>
      <c r="T371" s="414"/>
      <c r="U371" s="414"/>
    </row>
    <row r="372" spans="5:21" ht="15.6">
      <c r="E372" s="1"/>
      <c r="F372" s="1"/>
      <c r="G372" s="1"/>
      <c r="H372" s="1"/>
      <c r="I372" s="1"/>
      <c r="J372" s="1"/>
      <c r="K372" s="1"/>
      <c r="P372" s="414"/>
      <c r="Q372" s="414"/>
      <c r="R372" s="414"/>
      <c r="S372" s="414"/>
      <c r="T372" s="414"/>
      <c r="U372" s="414"/>
    </row>
    <row r="373" spans="5:21" ht="15.6">
      <c r="E373" s="1"/>
      <c r="F373" s="1"/>
      <c r="G373" s="1"/>
      <c r="H373" s="1"/>
      <c r="I373" s="1"/>
      <c r="J373" s="1"/>
      <c r="K373" s="1"/>
      <c r="P373" s="414"/>
      <c r="Q373" s="414"/>
      <c r="R373" s="414"/>
      <c r="S373" s="414"/>
      <c r="T373" s="414"/>
      <c r="U373" s="414"/>
    </row>
    <row r="374" spans="5:21" ht="15.6">
      <c r="E374" s="1"/>
      <c r="F374" s="1"/>
      <c r="G374" s="1"/>
      <c r="H374" s="1"/>
      <c r="I374" s="1"/>
      <c r="J374" s="1"/>
      <c r="K374" s="1"/>
      <c r="P374" s="414"/>
      <c r="Q374" s="414"/>
      <c r="R374" s="414"/>
      <c r="S374" s="414"/>
      <c r="T374" s="414"/>
      <c r="U374" s="414"/>
    </row>
    <row r="375" spans="5:21" ht="15.6">
      <c r="E375" s="1"/>
      <c r="F375" s="1"/>
      <c r="G375" s="1"/>
      <c r="H375" s="1"/>
      <c r="I375" s="1"/>
      <c r="J375" s="1"/>
      <c r="K375" s="1"/>
      <c r="P375" s="414"/>
      <c r="Q375" s="414"/>
      <c r="R375" s="414"/>
      <c r="S375" s="414"/>
      <c r="T375" s="414"/>
      <c r="U375" s="414"/>
    </row>
    <row r="376" spans="5:21" ht="15.6">
      <c r="E376" s="1"/>
      <c r="F376" s="1"/>
      <c r="G376" s="1"/>
      <c r="H376" s="1"/>
      <c r="I376" s="1"/>
      <c r="J376" s="1"/>
      <c r="K376" s="1"/>
      <c r="P376" s="414"/>
      <c r="Q376" s="414"/>
      <c r="R376" s="414"/>
      <c r="S376" s="414"/>
      <c r="T376" s="414"/>
      <c r="U376" s="414"/>
    </row>
    <row r="377" spans="5:21" ht="15.6">
      <c r="E377" s="1"/>
      <c r="F377" s="1"/>
      <c r="G377" s="1"/>
      <c r="H377" s="1"/>
      <c r="I377" s="1"/>
      <c r="J377" s="1"/>
      <c r="K377" s="1"/>
      <c r="P377" s="414"/>
      <c r="Q377" s="414"/>
      <c r="R377" s="414"/>
      <c r="S377" s="414"/>
      <c r="T377" s="414"/>
      <c r="U377" s="414"/>
    </row>
    <row r="378" spans="5:21" ht="15.6">
      <c r="E378" s="1"/>
      <c r="F378" s="1"/>
      <c r="G378" s="1"/>
      <c r="H378" s="1"/>
      <c r="I378" s="1"/>
      <c r="J378" s="1"/>
      <c r="K378" s="1"/>
      <c r="P378" s="414"/>
      <c r="Q378" s="414"/>
      <c r="R378" s="414"/>
      <c r="S378" s="414"/>
      <c r="T378" s="414"/>
      <c r="U378" s="414"/>
    </row>
    <row r="379" spans="5:21" ht="15.6">
      <c r="E379" s="1"/>
      <c r="F379" s="1"/>
      <c r="G379" s="1"/>
      <c r="H379" s="1"/>
      <c r="I379" s="1"/>
      <c r="J379" s="1"/>
      <c r="K379" s="1"/>
      <c r="P379" s="414"/>
      <c r="Q379" s="414"/>
      <c r="R379" s="414"/>
      <c r="S379" s="414"/>
      <c r="T379" s="414"/>
      <c r="U379" s="414"/>
    </row>
    <row r="380" spans="5:21" ht="15.6">
      <c r="E380" s="1"/>
      <c r="F380" s="1"/>
      <c r="G380" s="1"/>
      <c r="H380" s="1"/>
      <c r="I380" s="1"/>
      <c r="J380" s="1"/>
      <c r="K380" s="1"/>
      <c r="P380" s="414"/>
      <c r="Q380" s="414"/>
      <c r="R380" s="414"/>
      <c r="S380" s="414"/>
      <c r="T380" s="414"/>
      <c r="U380" s="414"/>
    </row>
    <row r="381" spans="5:21" ht="15.6">
      <c r="E381" s="1"/>
      <c r="F381" s="1"/>
      <c r="G381" s="1"/>
      <c r="H381" s="1"/>
      <c r="I381" s="1"/>
      <c r="J381" s="1"/>
      <c r="K381" s="1"/>
      <c r="P381" s="414"/>
      <c r="Q381" s="414"/>
      <c r="R381" s="414"/>
      <c r="S381" s="414"/>
      <c r="T381" s="414"/>
      <c r="U381" s="414"/>
    </row>
    <row r="382" spans="5:21" ht="15.6">
      <c r="E382" s="1"/>
      <c r="F382" s="1"/>
      <c r="G382" s="1"/>
      <c r="H382" s="1"/>
      <c r="I382" s="1"/>
      <c r="J382" s="1"/>
      <c r="K382" s="1"/>
      <c r="P382" s="414"/>
      <c r="Q382" s="414"/>
      <c r="R382" s="414"/>
      <c r="S382" s="414"/>
      <c r="T382" s="414"/>
      <c r="U382" s="414"/>
    </row>
    <row r="383" spans="5:21" ht="15.6">
      <c r="E383" s="1"/>
      <c r="F383" s="1"/>
      <c r="G383" s="1"/>
      <c r="H383" s="1"/>
      <c r="I383" s="1"/>
      <c r="J383" s="1"/>
      <c r="K383" s="1"/>
      <c r="P383" s="414"/>
      <c r="Q383" s="414"/>
      <c r="R383" s="414"/>
      <c r="S383" s="414"/>
      <c r="T383" s="414"/>
      <c r="U383" s="414"/>
    </row>
    <row r="384" spans="5:21" ht="15.6">
      <c r="E384" s="1"/>
      <c r="F384" s="1"/>
      <c r="G384" s="1"/>
      <c r="H384" s="1"/>
      <c r="I384" s="1"/>
      <c r="J384" s="1"/>
      <c r="K384" s="1"/>
      <c r="P384" s="414"/>
      <c r="Q384" s="414"/>
      <c r="R384" s="414"/>
      <c r="S384" s="414"/>
      <c r="T384" s="414"/>
      <c r="U384" s="414"/>
    </row>
    <row r="385" spans="5:21" ht="15.6">
      <c r="E385" s="1"/>
      <c r="F385" s="1"/>
      <c r="G385" s="1"/>
      <c r="H385" s="1"/>
      <c r="I385" s="1"/>
      <c r="J385" s="1"/>
      <c r="K385" s="1"/>
      <c r="P385" s="414"/>
      <c r="Q385" s="414"/>
      <c r="R385" s="414"/>
      <c r="S385" s="414"/>
      <c r="T385" s="414"/>
      <c r="U385" s="414"/>
    </row>
    <row r="386" spans="5:21" ht="15.6">
      <c r="E386" s="1"/>
      <c r="F386" s="1"/>
      <c r="G386" s="1"/>
      <c r="H386" s="1"/>
      <c r="I386" s="1"/>
      <c r="J386" s="1"/>
      <c r="K386" s="1"/>
      <c r="P386" s="414"/>
      <c r="Q386" s="414"/>
      <c r="R386" s="414"/>
      <c r="S386" s="414"/>
      <c r="T386" s="414"/>
      <c r="U386" s="414"/>
    </row>
    <row r="387" spans="5:21" ht="15.6">
      <c r="E387" s="1"/>
      <c r="F387" s="1"/>
      <c r="G387" s="1"/>
      <c r="H387" s="1"/>
      <c r="I387" s="1"/>
      <c r="J387" s="1"/>
      <c r="K387" s="1"/>
      <c r="P387" s="414"/>
      <c r="Q387" s="414"/>
      <c r="R387" s="414"/>
      <c r="S387" s="414"/>
      <c r="T387" s="414"/>
      <c r="U387" s="414"/>
    </row>
    <row r="388" spans="5:21" ht="15.6">
      <c r="E388" s="1"/>
      <c r="F388" s="1"/>
      <c r="G388" s="1"/>
      <c r="H388" s="1"/>
      <c r="I388" s="1"/>
      <c r="J388" s="1"/>
      <c r="K388" s="1"/>
      <c r="P388" s="414"/>
      <c r="Q388" s="414"/>
      <c r="R388" s="414"/>
      <c r="S388" s="414"/>
      <c r="T388" s="414"/>
      <c r="U388" s="414"/>
    </row>
    <row r="389" spans="5:21" ht="15.6">
      <c r="E389" s="1"/>
      <c r="F389" s="1"/>
      <c r="G389" s="1"/>
      <c r="H389" s="1"/>
      <c r="I389" s="1"/>
      <c r="J389" s="1"/>
      <c r="K389" s="1"/>
      <c r="P389" s="414"/>
      <c r="Q389" s="414"/>
      <c r="R389" s="414"/>
      <c r="S389" s="414"/>
      <c r="T389" s="414"/>
      <c r="U389" s="414"/>
    </row>
    <row r="390" spans="5:21" ht="15.6">
      <c r="E390" s="1"/>
      <c r="F390" s="1"/>
      <c r="G390" s="1"/>
      <c r="H390" s="1"/>
      <c r="I390" s="1"/>
      <c r="J390" s="1"/>
      <c r="K390" s="1"/>
      <c r="P390" s="414"/>
      <c r="Q390" s="414"/>
      <c r="R390" s="414"/>
      <c r="S390" s="414"/>
      <c r="T390" s="414"/>
      <c r="U390" s="414"/>
    </row>
    <row r="391" spans="5:21" ht="15.6">
      <c r="E391" s="1"/>
      <c r="F391" s="1"/>
      <c r="G391" s="1"/>
      <c r="H391" s="1"/>
      <c r="I391" s="1"/>
      <c r="J391" s="1"/>
      <c r="K391" s="1"/>
      <c r="P391" s="414"/>
      <c r="Q391" s="414"/>
      <c r="R391" s="414"/>
      <c r="S391" s="414"/>
      <c r="T391" s="414"/>
      <c r="U391" s="414"/>
    </row>
    <row r="392" spans="5:21" ht="15.6">
      <c r="E392" s="1"/>
      <c r="F392" s="1"/>
      <c r="G392" s="1"/>
      <c r="H392" s="1"/>
      <c r="I392" s="1"/>
      <c r="J392" s="1"/>
      <c r="K392" s="1"/>
      <c r="P392" s="414"/>
      <c r="Q392" s="414"/>
      <c r="R392" s="414"/>
      <c r="S392" s="414"/>
      <c r="T392" s="414"/>
      <c r="U392" s="414"/>
    </row>
    <row r="393" spans="5:21" ht="15.6">
      <c r="E393" s="1"/>
      <c r="F393" s="1"/>
      <c r="G393" s="1"/>
      <c r="H393" s="1"/>
      <c r="I393" s="1"/>
      <c r="J393" s="1"/>
      <c r="K393" s="1"/>
      <c r="P393" s="414"/>
      <c r="Q393" s="414"/>
      <c r="R393" s="414"/>
      <c r="S393" s="414"/>
      <c r="T393" s="414"/>
      <c r="U393" s="414"/>
    </row>
    <row r="394" spans="5:21" ht="15.6">
      <c r="E394" s="1"/>
      <c r="F394" s="1"/>
      <c r="G394" s="1"/>
      <c r="H394" s="1"/>
      <c r="I394" s="1"/>
      <c r="J394" s="1"/>
      <c r="K394" s="1"/>
      <c r="P394" s="414"/>
      <c r="Q394" s="414"/>
      <c r="R394" s="414"/>
      <c r="S394" s="414"/>
      <c r="T394" s="414"/>
      <c r="U394" s="414"/>
    </row>
    <row r="395" spans="5:21" ht="15.6">
      <c r="E395" s="1"/>
      <c r="F395" s="1"/>
      <c r="G395" s="1"/>
      <c r="H395" s="1"/>
      <c r="I395" s="1"/>
      <c r="J395" s="1"/>
      <c r="K395" s="1"/>
      <c r="P395" s="414"/>
      <c r="Q395" s="414"/>
      <c r="R395" s="414"/>
      <c r="S395" s="414"/>
      <c r="T395" s="414"/>
      <c r="U395" s="414"/>
    </row>
    <row r="396" spans="5:21" ht="15.6">
      <c r="E396" s="1"/>
      <c r="F396" s="1"/>
      <c r="G396" s="1"/>
      <c r="H396" s="1"/>
      <c r="I396" s="1"/>
      <c r="J396" s="1"/>
      <c r="K396" s="1"/>
      <c r="P396" s="414"/>
      <c r="Q396" s="414"/>
      <c r="R396" s="414"/>
      <c r="S396" s="414"/>
      <c r="T396" s="414"/>
      <c r="U396" s="414"/>
    </row>
    <row r="397" spans="5:21" ht="15.6">
      <c r="E397" s="1"/>
      <c r="F397" s="1"/>
      <c r="G397" s="1"/>
      <c r="H397" s="1"/>
      <c r="I397" s="1"/>
      <c r="J397" s="1"/>
      <c r="K397" s="1"/>
      <c r="P397" s="414"/>
      <c r="Q397" s="414"/>
      <c r="R397" s="414"/>
      <c r="S397" s="414"/>
      <c r="T397" s="414"/>
      <c r="U397" s="414"/>
    </row>
    <row r="398" spans="5:21" ht="15.6">
      <c r="E398" s="1"/>
      <c r="F398" s="1"/>
      <c r="G398" s="1"/>
      <c r="H398" s="1"/>
      <c r="I398" s="1"/>
      <c r="J398" s="1"/>
      <c r="K398" s="1"/>
      <c r="P398" s="414"/>
      <c r="Q398" s="414"/>
      <c r="R398" s="414"/>
      <c r="S398" s="414"/>
      <c r="T398" s="414"/>
      <c r="U398" s="414"/>
    </row>
    <row r="399" spans="5:21" ht="15.6">
      <c r="E399" s="1"/>
      <c r="F399" s="1"/>
      <c r="G399" s="1"/>
      <c r="H399" s="1"/>
      <c r="I399" s="1"/>
      <c r="J399" s="1"/>
      <c r="K399" s="1"/>
      <c r="P399" s="414"/>
      <c r="Q399" s="414"/>
      <c r="R399" s="414"/>
      <c r="S399" s="414"/>
      <c r="T399" s="414"/>
      <c r="U399" s="414"/>
    </row>
    <row r="400" spans="5:21" ht="15.6">
      <c r="E400" s="1"/>
      <c r="F400" s="1"/>
      <c r="G400" s="1"/>
      <c r="H400" s="1"/>
      <c r="I400" s="1"/>
      <c r="J400" s="1"/>
      <c r="K400" s="1"/>
      <c r="P400" s="414"/>
      <c r="Q400" s="414"/>
      <c r="R400" s="414"/>
      <c r="S400" s="414"/>
      <c r="T400" s="414"/>
      <c r="U400" s="414"/>
    </row>
    <row r="401" spans="5:21" ht="15.6">
      <c r="E401" s="1"/>
      <c r="F401" s="1"/>
      <c r="G401" s="1"/>
      <c r="H401" s="1"/>
      <c r="I401" s="1"/>
      <c r="J401" s="1"/>
      <c r="K401" s="1"/>
      <c r="P401" s="414"/>
      <c r="Q401" s="414"/>
      <c r="R401" s="414"/>
      <c r="S401" s="414"/>
      <c r="T401" s="414"/>
      <c r="U401" s="414"/>
    </row>
    <row r="402" spans="5:21" ht="15.6">
      <c r="E402" s="1"/>
      <c r="F402" s="1"/>
      <c r="G402" s="1"/>
      <c r="H402" s="1"/>
      <c r="I402" s="1"/>
      <c r="J402" s="1"/>
      <c r="K402" s="1"/>
      <c r="P402" s="414"/>
      <c r="Q402" s="414"/>
      <c r="R402" s="414"/>
      <c r="S402" s="414"/>
      <c r="T402" s="414"/>
      <c r="U402" s="414"/>
    </row>
    <row r="403" spans="5:21" ht="15.6">
      <c r="E403" s="1"/>
      <c r="F403" s="1"/>
      <c r="G403" s="1"/>
      <c r="H403" s="1"/>
      <c r="I403" s="1"/>
      <c r="J403" s="1"/>
      <c r="K403" s="1"/>
      <c r="P403" s="414"/>
      <c r="Q403" s="414"/>
      <c r="R403" s="414"/>
      <c r="S403" s="414"/>
      <c r="T403" s="414"/>
      <c r="U403" s="414"/>
    </row>
    <row r="404" spans="5:21" ht="15.6">
      <c r="E404" s="1"/>
      <c r="F404" s="1"/>
      <c r="G404" s="1"/>
      <c r="H404" s="1"/>
      <c r="I404" s="1"/>
      <c r="J404" s="1"/>
      <c r="K404" s="1"/>
      <c r="P404" s="414"/>
      <c r="Q404" s="414"/>
      <c r="R404" s="414"/>
      <c r="S404" s="414"/>
      <c r="T404" s="414"/>
      <c r="U404" s="414"/>
    </row>
    <row r="405" spans="5:21" ht="15.6">
      <c r="E405" s="1"/>
      <c r="F405" s="1"/>
      <c r="G405" s="1"/>
      <c r="H405" s="1"/>
      <c r="I405" s="1"/>
      <c r="J405" s="1"/>
      <c r="K405" s="1"/>
      <c r="P405" s="414"/>
      <c r="Q405" s="414"/>
      <c r="R405" s="414"/>
      <c r="S405" s="414"/>
      <c r="T405" s="414"/>
      <c r="U405" s="414"/>
    </row>
    <row r="406" spans="5:21" ht="15.6">
      <c r="E406" s="1"/>
      <c r="F406" s="1"/>
      <c r="G406" s="1"/>
      <c r="H406" s="1"/>
      <c r="I406" s="1"/>
      <c r="J406" s="1"/>
      <c r="K406" s="1"/>
      <c r="P406" s="414"/>
      <c r="Q406" s="414"/>
      <c r="R406" s="414"/>
      <c r="S406" s="414"/>
      <c r="T406" s="414"/>
      <c r="U406" s="414"/>
    </row>
    <row r="407" spans="5:21" ht="15.6">
      <c r="E407" s="1"/>
      <c r="F407" s="1"/>
      <c r="G407" s="1"/>
      <c r="H407" s="1"/>
      <c r="I407" s="1"/>
      <c r="J407" s="1"/>
      <c r="K407" s="1"/>
      <c r="P407" s="414"/>
      <c r="Q407" s="414"/>
      <c r="R407" s="414"/>
      <c r="S407" s="414"/>
      <c r="T407" s="414"/>
      <c r="U407" s="414"/>
    </row>
    <row r="408" spans="5:21" ht="15.6">
      <c r="E408" s="1"/>
      <c r="F408" s="1"/>
      <c r="G408" s="1"/>
      <c r="H408" s="1"/>
      <c r="I408" s="1"/>
      <c r="J408" s="1"/>
      <c r="K408" s="1"/>
      <c r="P408" s="414"/>
      <c r="Q408" s="414"/>
      <c r="R408" s="414"/>
      <c r="S408" s="414"/>
      <c r="T408" s="414"/>
      <c r="U408" s="414"/>
    </row>
    <row r="409" spans="5:21" ht="15.6">
      <c r="E409" s="1"/>
      <c r="F409" s="1"/>
      <c r="G409" s="1"/>
      <c r="H409" s="1"/>
      <c r="I409" s="1"/>
      <c r="J409" s="1"/>
      <c r="K409" s="1"/>
      <c r="P409" s="414"/>
      <c r="Q409" s="414"/>
      <c r="R409" s="414"/>
      <c r="S409" s="414"/>
      <c r="T409" s="414"/>
      <c r="U409" s="414"/>
    </row>
    <row r="410" spans="5:21" ht="15.6">
      <c r="E410" s="1"/>
      <c r="F410" s="1"/>
      <c r="G410" s="1"/>
      <c r="H410" s="1"/>
      <c r="I410" s="1"/>
      <c r="J410" s="1"/>
      <c r="K410" s="1"/>
      <c r="P410" s="414"/>
      <c r="Q410" s="414"/>
      <c r="R410" s="414"/>
      <c r="S410" s="414"/>
      <c r="T410" s="414"/>
      <c r="U410" s="414"/>
    </row>
    <row r="411" spans="5:21" ht="15.6">
      <c r="E411" s="1"/>
      <c r="F411" s="1"/>
      <c r="G411" s="1"/>
      <c r="H411" s="1"/>
      <c r="I411" s="1"/>
      <c r="J411" s="1"/>
      <c r="K411" s="1"/>
      <c r="P411" s="414"/>
      <c r="Q411" s="414"/>
      <c r="R411" s="414"/>
      <c r="S411" s="414"/>
      <c r="T411" s="414"/>
      <c r="U411" s="414"/>
    </row>
    <row r="412" spans="5:21" ht="15.6">
      <c r="E412" s="1"/>
      <c r="F412" s="1"/>
      <c r="G412" s="1"/>
      <c r="H412" s="1"/>
      <c r="I412" s="1"/>
      <c r="J412" s="1"/>
      <c r="K412" s="1"/>
      <c r="P412" s="414"/>
      <c r="Q412" s="414"/>
      <c r="R412" s="414"/>
      <c r="S412" s="414"/>
      <c r="T412" s="414"/>
      <c r="U412" s="414"/>
    </row>
    <row r="413" spans="5:21" ht="15.6">
      <c r="E413" s="1"/>
      <c r="F413" s="1"/>
      <c r="G413" s="1"/>
      <c r="H413" s="1"/>
      <c r="I413" s="1"/>
      <c r="J413" s="1"/>
      <c r="K413" s="1"/>
      <c r="P413" s="414"/>
      <c r="Q413" s="414"/>
      <c r="R413" s="414"/>
      <c r="S413" s="414"/>
      <c r="T413" s="414"/>
      <c r="U413" s="414"/>
    </row>
    <row r="414" spans="5:21" ht="15.6">
      <c r="E414" s="1"/>
      <c r="F414" s="1"/>
      <c r="G414" s="1"/>
      <c r="H414" s="1"/>
      <c r="I414" s="1"/>
      <c r="J414" s="1"/>
      <c r="K414" s="1"/>
      <c r="P414" s="414"/>
      <c r="Q414" s="414"/>
      <c r="R414" s="414"/>
      <c r="S414" s="414"/>
      <c r="T414" s="414"/>
      <c r="U414" s="414"/>
    </row>
    <row r="415" spans="5:21" ht="15.6">
      <c r="E415" s="1"/>
      <c r="F415" s="1"/>
      <c r="G415" s="1"/>
      <c r="H415" s="1"/>
      <c r="I415" s="1"/>
      <c r="J415" s="1"/>
      <c r="K415" s="1"/>
      <c r="P415" s="414"/>
      <c r="Q415" s="414"/>
      <c r="R415" s="414"/>
      <c r="S415" s="414"/>
      <c r="T415" s="414"/>
      <c r="U415" s="414"/>
    </row>
    <row r="416" spans="5:21" ht="15.6">
      <c r="E416" s="1"/>
      <c r="F416" s="1"/>
      <c r="G416" s="1"/>
      <c r="H416" s="1"/>
      <c r="I416" s="1"/>
      <c r="J416" s="1"/>
      <c r="K416" s="1"/>
      <c r="P416" s="414"/>
      <c r="Q416" s="414"/>
      <c r="R416" s="414"/>
      <c r="S416" s="414"/>
      <c r="T416" s="414"/>
      <c r="U416" s="414"/>
    </row>
    <row r="417" spans="5:21" ht="15.6">
      <c r="E417" s="1"/>
      <c r="F417" s="1"/>
      <c r="G417" s="1"/>
      <c r="H417" s="1"/>
      <c r="I417" s="1"/>
      <c r="J417" s="1"/>
      <c r="K417" s="1"/>
      <c r="P417" s="414"/>
      <c r="Q417" s="414"/>
      <c r="R417" s="414"/>
      <c r="S417" s="414"/>
      <c r="T417" s="414"/>
      <c r="U417" s="414"/>
    </row>
    <row r="418" spans="5:21" ht="15.6">
      <c r="E418" s="1"/>
      <c r="F418" s="1"/>
      <c r="G418" s="1"/>
      <c r="H418" s="1"/>
      <c r="I418" s="1"/>
      <c r="J418" s="1"/>
      <c r="K418" s="1"/>
      <c r="P418" s="414"/>
      <c r="Q418" s="414"/>
      <c r="R418" s="414"/>
      <c r="S418" s="414"/>
      <c r="T418" s="414"/>
      <c r="U418" s="414"/>
    </row>
    <row r="419" spans="5:21" ht="15.6">
      <c r="E419" s="1"/>
      <c r="F419" s="1"/>
      <c r="G419" s="1"/>
      <c r="H419" s="1"/>
      <c r="I419" s="1"/>
      <c r="J419" s="1"/>
      <c r="K419" s="1"/>
      <c r="P419" s="414"/>
      <c r="Q419" s="414"/>
      <c r="R419" s="414"/>
      <c r="S419" s="414"/>
      <c r="T419" s="414"/>
      <c r="U419" s="414"/>
    </row>
    <row r="420" spans="5:21" ht="15.6">
      <c r="E420" s="1"/>
      <c r="F420" s="1"/>
      <c r="G420" s="1"/>
      <c r="H420" s="1"/>
      <c r="I420" s="1"/>
      <c r="J420" s="1"/>
      <c r="K420" s="1"/>
      <c r="P420" s="414"/>
      <c r="Q420" s="414"/>
      <c r="R420" s="414"/>
      <c r="S420" s="414"/>
      <c r="T420" s="414"/>
      <c r="U420" s="414"/>
    </row>
    <row r="421" spans="5:21" ht="15.6">
      <c r="E421" s="1"/>
      <c r="F421" s="1"/>
      <c r="G421" s="1"/>
      <c r="H421" s="1"/>
      <c r="I421" s="1"/>
      <c r="J421" s="1"/>
      <c r="K421" s="1"/>
      <c r="P421" s="414"/>
      <c r="Q421" s="414"/>
      <c r="R421" s="414"/>
      <c r="S421" s="414"/>
      <c r="T421" s="414"/>
      <c r="U421" s="414"/>
    </row>
    <row r="422" spans="5:21" ht="15.6">
      <c r="E422" s="1"/>
      <c r="F422" s="1"/>
      <c r="G422" s="1"/>
      <c r="H422" s="1"/>
      <c r="I422" s="1"/>
      <c r="J422" s="1"/>
      <c r="K422" s="1"/>
      <c r="P422" s="414"/>
      <c r="Q422" s="414"/>
      <c r="R422" s="414"/>
      <c r="S422" s="414"/>
      <c r="T422" s="414"/>
      <c r="U422" s="414"/>
    </row>
    <row r="423" spans="5:21" ht="15.6">
      <c r="E423" s="1"/>
      <c r="F423" s="1"/>
      <c r="G423" s="1"/>
      <c r="H423" s="1"/>
      <c r="I423" s="1"/>
      <c r="J423" s="1"/>
      <c r="K423" s="1"/>
      <c r="P423" s="414"/>
      <c r="Q423" s="414"/>
      <c r="R423" s="414"/>
      <c r="S423" s="414"/>
      <c r="T423" s="414"/>
      <c r="U423" s="414"/>
    </row>
    <row r="424" spans="5:21" ht="15.6">
      <c r="E424" s="1"/>
      <c r="F424" s="1"/>
      <c r="G424" s="1"/>
      <c r="H424" s="1"/>
      <c r="I424" s="1"/>
      <c r="J424" s="1"/>
      <c r="K424" s="1"/>
      <c r="P424" s="414"/>
      <c r="Q424" s="414"/>
      <c r="R424" s="414"/>
      <c r="S424" s="414"/>
      <c r="T424" s="414"/>
      <c r="U424" s="414"/>
    </row>
    <row r="425" spans="5:21" ht="15.6">
      <c r="E425" s="1"/>
      <c r="F425" s="1"/>
      <c r="G425" s="1"/>
      <c r="H425" s="1"/>
      <c r="I425" s="1"/>
      <c r="J425" s="1"/>
      <c r="K425" s="1"/>
      <c r="P425" s="414"/>
      <c r="Q425" s="414"/>
      <c r="R425" s="414"/>
      <c r="S425" s="414"/>
      <c r="T425" s="414"/>
      <c r="U425" s="414"/>
    </row>
    <row r="426" spans="5:21" ht="15.6">
      <c r="E426" s="1"/>
      <c r="F426" s="1"/>
      <c r="G426" s="1"/>
      <c r="H426" s="1"/>
      <c r="I426" s="1"/>
      <c r="J426" s="1"/>
      <c r="K426" s="1"/>
      <c r="P426" s="414"/>
      <c r="Q426" s="414"/>
      <c r="R426" s="414"/>
      <c r="S426" s="414"/>
      <c r="T426" s="414"/>
      <c r="U426" s="414"/>
    </row>
    <row r="427" spans="5:21" ht="15.6">
      <c r="E427" s="1"/>
      <c r="F427" s="1"/>
      <c r="G427" s="1"/>
      <c r="H427" s="1"/>
      <c r="I427" s="1"/>
      <c r="J427" s="1"/>
      <c r="K427" s="1"/>
      <c r="P427" s="414"/>
      <c r="Q427" s="414"/>
      <c r="R427" s="414"/>
      <c r="S427" s="414"/>
      <c r="T427" s="414"/>
      <c r="U427" s="414"/>
    </row>
    <row r="428" spans="5:21" ht="15.6">
      <c r="E428" s="1"/>
      <c r="F428" s="1"/>
      <c r="G428" s="1"/>
      <c r="H428" s="1"/>
      <c r="I428" s="1"/>
      <c r="J428" s="1"/>
      <c r="K428" s="1"/>
      <c r="P428" s="414"/>
      <c r="Q428" s="414"/>
      <c r="R428" s="414"/>
      <c r="S428" s="414"/>
      <c r="T428" s="414"/>
      <c r="U428" s="414"/>
    </row>
    <row r="429" spans="5:21" ht="15.6">
      <c r="E429" s="1"/>
      <c r="F429" s="1"/>
      <c r="G429" s="1"/>
      <c r="H429" s="1"/>
      <c r="I429" s="1"/>
      <c r="J429" s="1"/>
      <c r="K429" s="1"/>
      <c r="P429" s="414"/>
      <c r="Q429" s="414"/>
      <c r="R429" s="414"/>
      <c r="S429" s="414"/>
      <c r="T429" s="414"/>
      <c r="U429" s="414"/>
    </row>
    <row r="430" spans="5:21" ht="15.6">
      <c r="E430" s="1"/>
      <c r="F430" s="1"/>
      <c r="G430" s="1"/>
      <c r="H430" s="1"/>
      <c r="I430" s="1"/>
      <c r="J430" s="1"/>
      <c r="K430" s="1"/>
      <c r="P430" s="414"/>
      <c r="Q430" s="414"/>
      <c r="R430" s="414"/>
      <c r="S430" s="414"/>
      <c r="T430" s="414"/>
      <c r="U430" s="414"/>
    </row>
    <row r="431" spans="5:21" ht="15.6">
      <c r="E431" s="1"/>
      <c r="F431" s="1"/>
      <c r="G431" s="1"/>
      <c r="H431" s="1"/>
      <c r="I431" s="1"/>
      <c r="J431" s="1"/>
      <c r="K431" s="1"/>
      <c r="P431" s="414"/>
      <c r="Q431" s="414"/>
      <c r="R431" s="414"/>
      <c r="S431" s="414"/>
      <c r="T431" s="414"/>
      <c r="U431" s="414"/>
    </row>
    <row r="432" spans="5:21" ht="15.6">
      <c r="E432" s="1"/>
      <c r="F432" s="1"/>
      <c r="G432" s="1"/>
      <c r="H432" s="1"/>
      <c r="I432" s="1"/>
      <c r="J432" s="1"/>
      <c r="K432" s="1"/>
      <c r="P432" s="414"/>
      <c r="Q432" s="414"/>
      <c r="R432" s="414"/>
      <c r="S432" s="414"/>
      <c r="T432" s="414"/>
      <c r="U432" s="414"/>
    </row>
    <row r="433" spans="5:21" ht="15.6">
      <c r="E433" s="1"/>
      <c r="F433" s="1"/>
      <c r="G433" s="1"/>
      <c r="H433" s="1"/>
      <c r="I433" s="1"/>
      <c r="J433" s="1"/>
      <c r="K433" s="1"/>
      <c r="P433" s="414"/>
      <c r="Q433" s="414"/>
      <c r="R433" s="414"/>
      <c r="S433" s="414"/>
      <c r="T433" s="414"/>
      <c r="U433" s="414"/>
    </row>
    <row r="434" spans="5:21" ht="15.6">
      <c r="E434" s="1"/>
      <c r="F434" s="1"/>
      <c r="G434" s="1"/>
      <c r="H434" s="1"/>
      <c r="I434" s="1"/>
      <c r="J434" s="1"/>
      <c r="K434" s="1"/>
      <c r="P434" s="414"/>
      <c r="Q434" s="414"/>
      <c r="R434" s="414"/>
      <c r="S434" s="414"/>
      <c r="T434" s="414"/>
      <c r="U434" s="414"/>
    </row>
    <row r="435" spans="5:21" ht="15.6">
      <c r="E435" s="1"/>
      <c r="F435" s="1"/>
      <c r="G435" s="1"/>
      <c r="H435" s="1"/>
      <c r="I435" s="1"/>
      <c r="J435" s="1"/>
      <c r="K435" s="1"/>
      <c r="P435" s="414"/>
      <c r="Q435" s="414"/>
      <c r="R435" s="414"/>
      <c r="S435" s="414"/>
      <c r="T435" s="414"/>
      <c r="U435" s="414"/>
    </row>
    <row r="436" spans="5:21" ht="15.6">
      <c r="E436" s="1"/>
      <c r="F436" s="1"/>
      <c r="G436" s="1"/>
      <c r="H436" s="1"/>
      <c r="I436" s="1"/>
      <c r="J436" s="1"/>
      <c r="K436" s="1"/>
      <c r="P436" s="414"/>
      <c r="Q436" s="414"/>
      <c r="R436" s="414"/>
      <c r="S436" s="414"/>
      <c r="T436" s="414"/>
      <c r="U436" s="414"/>
    </row>
    <row r="437" spans="5:21" ht="15.6">
      <c r="E437" s="1"/>
      <c r="F437" s="1"/>
      <c r="G437" s="1"/>
      <c r="H437" s="1"/>
      <c r="I437" s="1"/>
      <c r="J437" s="1"/>
      <c r="K437" s="1"/>
      <c r="P437" s="414"/>
      <c r="Q437" s="414"/>
      <c r="R437" s="414"/>
      <c r="S437" s="414"/>
      <c r="T437" s="414"/>
      <c r="U437" s="414"/>
    </row>
    <row r="438" spans="5:21" ht="15.6">
      <c r="E438" s="1"/>
      <c r="F438" s="1"/>
      <c r="G438" s="1"/>
      <c r="H438" s="1"/>
      <c r="I438" s="1"/>
      <c r="J438" s="1"/>
      <c r="K438" s="1"/>
      <c r="P438" s="414"/>
      <c r="Q438" s="414"/>
      <c r="R438" s="414"/>
      <c r="S438" s="414"/>
      <c r="T438" s="414"/>
      <c r="U438" s="414"/>
    </row>
    <row r="439" spans="5:21" ht="15.6">
      <c r="E439" s="1"/>
      <c r="F439" s="1"/>
      <c r="G439" s="1"/>
      <c r="H439" s="1"/>
      <c r="I439" s="1"/>
      <c r="J439" s="1"/>
      <c r="K439" s="1"/>
      <c r="P439" s="414"/>
      <c r="Q439" s="414"/>
      <c r="R439" s="414"/>
      <c r="S439" s="414"/>
      <c r="T439" s="414"/>
      <c r="U439" s="414"/>
    </row>
    <row r="440" spans="5:21" ht="15.6">
      <c r="E440" s="1"/>
      <c r="F440" s="1"/>
      <c r="G440" s="1"/>
      <c r="H440" s="1"/>
      <c r="I440" s="1"/>
      <c r="J440" s="1"/>
      <c r="K440" s="1"/>
      <c r="P440" s="414"/>
      <c r="Q440" s="414"/>
      <c r="R440" s="414"/>
      <c r="S440" s="414"/>
      <c r="T440" s="414"/>
      <c r="U440" s="414"/>
    </row>
    <row r="441" spans="5:21" ht="15.6">
      <c r="E441" s="1"/>
      <c r="F441" s="1"/>
      <c r="G441" s="1"/>
      <c r="H441" s="1"/>
      <c r="I441" s="1"/>
      <c r="J441" s="1"/>
      <c r="K441" s="1"/>
      <c r="P441" s="414"/>
      <c r="Q441" s="414"/>
      <c r="R441" s="414"/>
      <c r="S441" s="414"/>
      <c r="T441" s="414"/>
      <c r="U441" s="414"/>
    </row>
    <row r="442" spans="5:21" ht="15.6">
      <c r="E442" s="1"/>
      <c r="F442" s="1"/>
      <c r="G442" s="1"/>
      <c r="H442" s="1"/>
      <c r="I442" s="1"/>
      <c r="J442" s="1"/>
      <c r="K442" s="1"/>
      <c r="P442" s="414"/>
      <c r="Q442" s="414"/>
      <c r="R442" s="414"/>
      <c r="S442" s="414"/>
      <c r="T442" s="414"/>
      <c r="U442" s="414"/>
    </row>
    <row r="443" spans="5:21" ht="15.6">
      <c r="E443" s="1"/>
      <c r="F443" s="1"/>
      <c r="G443" s="1"/>
      <c r="H443" s="1"/>
      <c r="I443" s="1"/>
      <c r="J443" s="1"/>
      <c r="K443" s="1"/>
      <c r="P443" s="414"/>
      <c r="Q443" s="414"/>
      <c r="R443" s="414"/>
      <c r="S443" s="414"/>
      <c r="T443" s="414"/>
      <c r="U443" s="414"/>
    </row>
    <row r="444" spans="5:21" ht="15.6">
      <c r="E444" s="1"/>
      <c r="F444" s="1"/>
      <c r="G444" s="1"/>
      <c r="H444" s="1"/>
      <c r="I444" s="1"/>
      <c r="J444" s="1"/>
      <c r="K444" s="1"/>
      <c r="P444" s="414"/>
      <c r="Q444" s="414"/>
      <c r="R444" s="414"/>
      <c r="S444" s="414"/>
      <c r="T444" s="414"/>
      <c r="U444" s="414"/>
    </row>
    <row r="445" spans="5:21" ht="15.6">
      <c r="E445" s="1"/>
      <c r="F445" s="1"/>
      <c r="G445" s="1"/>
      <c r="H445" s="1"/>
      <c r="I445" s="1"/>
      <c r="J445" s="1"/>
      <c r="K445" s="1"/>
      <c r="P445" s="414"/>
      <c r="Q445" s="414"/>
      <c r="R445" s="414"/>
      <c r="S445" s="414"/>
      <c r="T445" s="414"/>
      <c r="U445" s="414"/>
    </row>
    <row r="446" spans="5:21" ht="15.6">
      <c r="E446" s="1"/>
      <c r="F446" s="1"/>
      <c r="G446" s="1"/>
      <c r="H446" s="1"/>
      <c r="I446" s="1"/>
      <c r="J446" s="1"/>
      <c r="K446" s="1"/>
      <c r="P446" s="414"/>
      <c r="Q446" s="414"/>
      <c r="R446" s="414"/>
      <c r="S446" s="414"/>
      <c r="T446" s="414"/>
      <c r="U446" s="414"/>
    </row>
    <row r="447" spans="5:21" ht="15.6">
      <c r="E447" s="1"/>
      <c r="F447" s="1"/>
      <c r="G447" s="1"/>
      <c r="H447" s="1"/>
      <c r="I447" s="1"/>
      <c r="J447" s="1"/>
      <c r="K447" s="1"/>
      <c r="P447" s="414"/>
      <c r="Q447" s="414"/>
      <c r="R447" s="414"/>
      <c r="S447" s="414"/>
      <c r="T447" s="414"/>
      <c r="U447" s="414"/>
    </row>
    <row r="448" spans="5:21" ht="15.6">
      <c r="E448" s="1"/>
      <c r="F448" s="1"/>
      <c r="G448" s="1"/>
      <c r="H448" s="1"/>
      <c r="I448" s="1"/>
      <c r="J448" s="1"/>
      <c r="K448" s="1"/>
      <c r="P448" s="414"/>
      <c r="Q448" s="414"/>
      <c r="R448" s="414"/>
      <c r="S448" s="414"/>
      <c r="T448" s="414"/>
      <c r="U448" s="414"/>
    </row>
    <row r="449" spans="5:21" ht="15.6">
      <c r="E449" s="1"/>
      <c r="F449" s="1"/>
      <c r="G449" s="1"/>
      <c r="H449" s="1"/>
      <c r="I449" s="1"/>
      <c r="J449" s="1"/>
      <c r="K449" s="1"/>
      <c r="P449" s="414"/>
      <c r="Q449" s="414"/>
      <c r="R449" s="414"/>
      <c r="S449" s="414"/>
      <c r="T449" s="414"/>
      <c r="U449" s="414"/>
    </row>
    <row r="450" spans="5:21" ht="15.6">
      <c r="E450" s="1"/>
      <c r="F450" s="1"/>
      <c r="G450" s="1"/>
      <c r="H450" s="1"/>
      <c r="I450" s="1"/>
      <c r="J450" s="1"/>
      <c r="K450" s="1"/>
      <c r="P450" s="414"/>
      <c r="Q450" s="414"/>
      <c r="R450" s="414"/>
      <c r="S450" s="414"/>
      <c r="T450" s="414"/>
      <c r="U450" s="414"/>
    </row>
    <row r="451" spans="5:21" ht="15.6">
      <c r="E451" s="1"/>
      <c r="F451" s="1"/>
      <c r="G451" s="1"/>
      <c r="H451" s="1"/>
      <c r="I451" s="1"/>
      <c r="J451" s="1"/>
      <c r="K451" s="1"/>
      <c r="P451" s="414"/>
      <c r="Q451" s="414"/>
      <c r="R451" s="414"/>
      <c r="S451" s="414"/>
      <c r="T451" s="414"/>
      <c r="U451" s="414"/>
    </row>
    <row r="452" spans="5:21" ht="15.6">
      <c r="E452" s="1"/>
      <c r="F452" s="1"/>
      <c r="G452" s="1"/>
      <c r="H452" s="1"/>
      <c r="I452" s="1"/>
      <c r="J452" s="1"/>
      <c r="K452" s="1"/>
      <c r="P452" s="414"/>
      <c r="Q452" s="414"/>
      <c r="R452" s="414"/>
      <c r="S452" s="414"/>
      <c r="T452" s="414"/>
      <c r="U452" s="414"/>
    </row>
    <row r="453" spans="5:21" ht="15.6">
      <c r="E453" s="1"/>
      <c r="F453" s="1"/>
      <c r="G453" s="1"/>
      <c r="H453" s="1"/>
      <c r="I453" s="1"/>
      <c r="J453" s="1"/>
      <c r="K453" s="1"/>
      <c r="P453" s="414"/>
      <c r="Q453" s="414"/>
      <c r="R453" s="414"/>
      <c r="S453" s="414"/>
      <c r="T453" s="414"/>
      <c r="U453" s="414"/>
    </row>
    <row r="454" spans="5:21" ht="15.6">
      <c r="E454" s="1"/>
      <c r="F454" s="1"/>
      <c r="G454" s="1"/>
      <c r="H454" s="1"/>
      <c r="I454" s="1"/>
      <c r="J454" s="1"/>
      <c r="K454" s="1"/>
      <c r="P454" s="414"/>
      <c r="Q454" s="414"/>
      <c r="R454" s="414"/>
      <c r="S454" s="414"/>
      <c r="T454" s="414"/>
      <c r="U454" s="414"/>
    </row>
    <row r="455" spans="5:21" ht="15.6">
      <c r="E455" s="1"/>
      <c r="F455" s="1"/>
      <c r="G455" s="1"/>
      <c r="H455" s="1"/>
      <c r="I455" s="1"/>
      <c r="J455" s="1"/>
      <c r="K455" s="1"/>
      <c r="P455" s="414"/>
      <c r="Q455" s="414"/>
      <c r="R455" s="414"/>
      <c r="S455" s="414"/>
      <c r="T455" s="414"/>
      <c r="U455" s="414"/>
    </row>
    <row r="456" spans="5:21" ht="15.6">
      <c r="E456" s="1"/>
      <c r="F456" s="1"/>
      <c r="G456" s="1"/>
      <c r="H456" s="1"/>
      <c r="I456" s="1"/>
      <c r="J456" s="1"/>
      <c r="K456" s="1"/>
      <c r="P456" s="414"/>
      <c r="Q456" s="414"/>
      <c r="R456" s="414"/>
      <c r="S456" s="414"/>
      <c r="T456" s="414"/>
      <c r="U456" s="414"/>
    </row>
    <row r="457" spans="5:21" ht="15.6">
      <c r="E457" s="1"/>
      <c r="F457" s="1"/>
      <c r="G457" s="1"/>
      <c r="H457" s="1"/>
      <c r="I457" s="1"/>
      <c r="J457" s="1"/>
      <c r="K457" s="1"/>
      <c r="P457" s="414"/>
      <c r="Q457" s="414"/>
      <c r="R457" s="414"/>
      <c r="S457" s="414"/>
      <c r="T457" s="414"/>
      <c r="U457" s="414"/>
    </row>
    <row r="458" spans="5:21" ht="15.6">
      <c r="E458" s="1"/>
      <c r="F458" s="1"/>
      <c r="G458" s="1"/>
      <c r="H458" s="1"/>
      <c r="I458" s="1"/>
      <c r="J458" s="1"/>
      <c r="K458" s="1"/>
      <c r="P458" s="414"/>
      <c r="Q458" s="414"/>
      <c r="R458" s="414"/>
      <c r="S458" s="414"/>
      <c r="T458" s="414"/>
      <c r="U458" s="414"/>
    </row>
    <row r="459" spans="5:21" ht="15.6">
      <c r="E459" s="1"/>
      <c r="F459" s="1"/>
      <c r="G459" s="1"/>
      <c r="H459" s="1"/>
      <c r="I459" s="1"/>
      <c r="J459" s="1"/>
      <c r="K459" s="1"/>
      <c r="P459" s="414"/>
      <c r="Q459" s="414"/>
      <c r="R459" s="414"/>
      <c r="S459" s="414"/>
      <c r="T459" s="414"/>
      <c r="U459" s="414"/>
    </row>
    <row r="460" spans="5:21" ht="15.6">
      <c r="E460" s="1"/>
      <c r="F460" s="1"/>
      <c r="G460" s="1"/>
      <c r="H460" s="1"/>
      <c r="I460" s="1"/>
      <c r="J460" s="1"/>
      <c r="K460" s="1"/>
      <c r="P460" s="414"/>
      <c r="Q460" s="414"/>
      <c r="R460" s="414"/>
      <c r="S460" s="414"/>
      <c r="T460" s="414"/>
      <c r="U460" s="414"/>
    </row>
    <row r="461" spans="5:21" ht="15.6">
      <c r="E461" s="1"/>
      <c r="F461" s="1"/>
      <c r="G461" s="1"/>
      <c r="H461" s="1"/>
      <c r="I461" s="1"/>
      <c r="J461" s="1"/>
      <c r="K461" s="1"/>
      <c r="P461" s="414"/>
      <c r="Q461" s="414"/>
      <c r="R461" s="414"/>
      <c r="S461" s="414"/>
      <c r="T461" s="414"/>
      <c r="U461" s="414"/>
    </row>
    <row r="462" spans="5:21" ht="15.6">
      <c r="E462" s="1"/>
      <c r="F462" s="1"/>
      <c r="G462" s="1"/>
      <c r="H462" s="1"/>
      <c r="I462" s="1"/>
      <c r="J462" s="1"/>
      <c r="K462" s="1"/>
      <c r="P462" s="414"/>
      <c r="Q462" s="414"/>
      <c r="R462" s="414"/>
      <c r="S462" s="414"/>
      <c r="T462" s="414"/>
      <c r="U462" s="414"/>
    </row>
    <row r="463" spans="5:21" ht="15.6">
      <c r="E463" s="1"/>
      <c r="F463" s="1"/>
      <c r="G463" s="1"/>
      <c r="H463" s="1"/>
      <c r="I463" s="1"/>
      <c r="J463" s="1"/>
      <c r="K463" s="1"/>
      <c r="P463" s="414"/>
      <c r="Q463" s="414"/>
      <c r="R463" s="414"/>
      <c r="S463" s="414"/>
      <c r="T463" s="414"/>
      <c r="U463" s="414"/>
    </row>
    <row r="464" spans="5:21" ht="15.6">
      <c r="E464" s="1"/>
      <c r="F464" s="1"/>
      <c r="G464" s="1"/>
      <c r="H464" s="1"/>
      <c r="I464" s="1"/>
      <c r="J464" s="1"/>
      <c r="K464" s="1"/>
      <c r="P464" s="414"/>
      <c r="Q464" s="414"/>
      <c r="R464" s="414"/>
      <c r="S464" s="414"/>
      <c r="T464" s="414"/>
      <c r="U464" s="414"/>
    </row>
    <row r="465" spans="5:21" ht="15.6">
      <c r="E465" s="1"/>
      <c r="F465" s="1"/>
      <c r="G465" s="1"/>
      <c r="H465" s="1"/>
      <c r="I465" s="1"/>
      <c r="J465" s="1"/>
      <c r="K465" s="1"/>
      <c r="P465" s="414"/>
      <c r="Q465" s="414"/>
      <c r="R465" s="414"/>
      <c r="S465" s="414"/>
      <c r="T465" s="414"/>
      <c r="U465" s="414"/>
    </row>
    <row r="466" spans="5:21" ht="15.6">
      <c r="E466" s="1"/>
      <c r="F466" s="1"/>
      <c r="G466" s="1"/>
      <c r="H466" s="1"/>
      <c r="I466" s="1"/>
      <c r="J466" s="1"/>
      <c r="K466" s="1"/>
      <c r="P466" s="414"/>
      <c r="Q466" s="414"/>
      <c r="R466" s="414"/>
      <c r="S466" s="414"/>
      <c r="T466" s="414"/>
      <c r="U466" s="414"/>
    </row>
    <row r="467" spans="5:21" ht="15.6">
      <c r="E467" s="1"/>
      <c r="F467" s="1"/>
      <c r="G467" s="1"/>
      <c r="H467" s="1"/>
      <c r="I467" s="1"/>
      <c r="J467" s="1"/>
      <c r="K467" s="1"/>
      <c r="P467" s="414"/>
      <c r="Q467" s="414"/>
      <c r="R467" s="414"/>
      <c r="S467" s="414"/>
      <c r="T467" s="414"/>
      <c r="U467" s="414"/>
    </row>
    <row r="468" spans="5:21" ht="15.6">
      <c r="E468" s="1"/>
      <c r="F468" s="1"/>
      <c r="G468" s="1"/>
      <c r="H468" s="1"/>
      <c r="I468" s="1"/>
      <c r="J468" s="1"/>
      <c r="K468" s="1"/>
      <c r="P468" s="414"/>
      <c r="Q468" s="414"/>
      <c r="R468" s="414"/>
      <c r="S468" s="414"/>
      <c r="T468" s="414"/>
      <c r="U468" s="414"/>
    </row>
    <row r="469" spans="5:21" ht="15.6">
      <c r="E469" s="1"/>
      <c r="F469" s="1"/>
      <c r="G469" s="1"/>
      <c r="H469" s="1"/>
      <c r="I469" s="1"/>
      <c r="J469" s="1"/>
      <c r="K469" s="1"/>
      <c r="P469" s="414"/>
      <c r="Q469" s="414"/>
      <c r="R469" s="414"/>
      <c r="S469" s="414"/>
      <c r="T469" s="414"/>
      <c r="U469" s="414"/>
    </row>
    <row r="470" spans="5:21" ht="15.6">
      <c r="E470" s="1"/>
      <c r="F470" s="1"/>
      <c r="G470" s="1"/>
      <c r="H470" s="1"/>
      <c r="I470" s="1"/>
      <c r="J470" s="1"/>
      <c r="K470" s="1"/>
      <c r="P470" s="414"/>
      <c r="Q470" s="414"/>
      <c r="R470" s="414"/>
      <c r="S470" s="414"/>
      <c r="T470" s="414"/>
      <c r="U470" s="414"/>
    </row>
    <row r="471" spans="5:21" ht="15.6">
      <c r="E471" s="1"/>
      <c r="F471" s="1"/>
      <c r="G471" s="1"/>
      <c r="H471" s="1"/>
      <c r="I471" s="1"/>
      <c r="J471" s="1"/>
      <c r="K471" s="1"/>
      <c r="P471" s="414"/>
      <c r="Q471" s="414"/>
      <c r="R471" s="414"/>
      <c r="S471" s="414"/>
      <c r="T471" s="414"/>
      <c r="U471" s="414"/>
    </row>
    <row r="472" spans="5:21" ht="15.6">
      <c r="E472" s="1"/>
      <c r="F472" s="1"/>
      <c r="G472" s="1"/>
      <c r="H472" s="1"/>
      <c r="I472" s="1"/>
      <c r="J472" s="1"/>
      <c r="K472" s="1"/>
      <c r="P472" s="414"/>
      <c r="Q472" s="414"/>
      <c r="R472" s="414"/>
      <c r="S472" s="414"/>
      <c r="T472" s="414"/>
      <c r="U472" s="414"/>
    </row>
    <row r="473" spans="5:21" ht="15.6">
      <c r="E473" s="1"/>
      <c r="F473" s="1"/>
      <c r="G473" s="1"/>
      <c r="H473" s="1"/>
      <c r="I473" s="1"/>
      <c r="J473" s="1"/>
      <c r="K473" s="1"/>
      <c r="P473" s="414"/>
      <c r="Q473" s="414"/>
      <c r="R473" s="414"/>
      <c r="S473" s="414"/>
      <c r="T473" s="414"/>
      <c r="U473" s="414"/>
    </row>
    <row r="474" spans="5:21" ht="15.6">
      <c r="E474" s="1"/>
      <c r="F474" s="1"/>
      <c r="G474" s="1"/>
      <c r="H474" s="1"/>
      <c r="I474" s="1"/>
      <c r="J474" s="1"/>
      <c r="K474" s="1"/>
      <c r="P474" s="414"/>
      <c r="Q474" s="414"/>
      <c r="R474" s="414"/>
      <c r="S474" s="414"/>
      <c r="T474" s="414"/>
      <c r="U474" s="414"/>
    </row>
    <row r="475" spans="5:21" ht="15.6">
      <c r="E475" s="1"/>
      <c r="F475" s="1"/>
      <c r="G475" s="1"/>
      <c r="H475" s="1"/>
      <c r="I475" s="1"/>
      <c r="J475" s="1"/>
      <c r="K475" s="1"/>
      <c r="P475" s="414"/>
      <c r="Q475" s="414"/>
      <c r="R475" s="414"/>
      <c r="S475" s="414"/>
      <c r="T475" s="414"/>
      <c r="U475" s="414"/>
    </row>
    <row r="476" spans="5:21" ht="15.6">
      <c r="E476" s="1"/>
      <c r="F476" s="1"/>
      <c r="G476" s="1"/>
      <c r="H476" s="1"/>
      <c r="I476" s="1"/>
      <c r="J476" s="1"/>
      <c r="K476" s="1"/>
      <c r="P476" s="414"/>
      <c r="Q476" s="414"/>
      <c r="R476" s="414"/>
      <c r="S476" s="414"/>
      <c r="T476" s="414"/>
      <c r="U476" s="414"/>
    </row>
    <row r="477" spans="5:21" ht="15.6">
      <c r="E477" s="1"/>
      <c r="F477" s="1"/>
      <c r="G477" s="1"/>
      <c r="H477" s="1"/>
      <c r="I477" s="1"/>
      <c r="J477" s="1"/>
      <c r="K477" s="1"/>
      <c r="P477" s="414"/>
      <c r="Q477" s="414"/>
      <c r="R477" s="414"/>
      <c r="S477" s="414"/>
      <c r="T477" s="414"/>
      <c r="U477" s="414"/>
    </row>
    <row r="478" spans="5:21" ht="15.6">
      <c r="E478" s="1"/>
      <c r="F478" s="1"/>
      <c r="G478" s="1"/>
      <c r="H478" s="1"/>
      <c r="I478" s="1"/>
      <c r="J478" s="1"/>
      <c r="K478" s="1"/>
      <c r="P478" s="414"/>
      <c r="Q478" s="414"/>
      <c r="R478" s="414"/>
      <c r="S478" s="414"/>
      <c r="T478" s="414"/>
      <c r="U478" s="414"/>
    </row>
    <row r="479" spans="5:21" ht="15.6">
      <c r="E479" s="1"/>
      <c r="F479" s="1"/>
      <c r="G479" s="1"/>
      <c r="H479" s="1"/>
      <c r="I479" s="1"/>
      <c r="J479" s="1"/>
      <c r="K479" s="1"/>
      <c r="P479" s="414"/>
      <c r="Q479" s="414"/>
      <c r="R479" s="414"/>
      <c r="S479" s="414"/>
      <c r="T479" s="414"/>
      <c r="U479" s="414"/>
    </row>
    <row r="480" spans="5:21" ht="15.6">
      <c r="E480" s="1"/>
      <c r="F480" s="1"/>
      <c r="G480" s="1"/>
      <c r="H480" s="1"/>
      <c r="I480" s="1"/>
      <c r="J480" s="1"/>
      <c r="K480" s="1"/>
      <c r="P480" s="414"/>
      <c r="Q480" s="414"/>
      <c r="R480" s="414"/>
      <c r="S480" s="414"/>
      <c r="T480" s="414"/>
      <c r="U480" s="414"/>
    </row>
    <row r="481" spans="5:21" ht="15.6">
      <c r="E481" s="1"/>
      <c r="F481" s="1"/>
      <c r="G481" s="1"/>
      <c r="H481" s="1"/>
      <c r="I481" s="1"/>
      <c r="J481" s="1"/>
      <c r="K481" s="1"/>
      <c r="P481" s="414"/>
      <c r="Q481" s="414"/>
      <c r="R481" s="414"/>
      <c r="S481" s="414"/>
      <c r="T481" s="414"/>
      <c r="U481" s="414"/>
    </row>
    <row r="482" spans="5:21" ht="15.6">
      <c r="E482" s="1"/>
      <c r="F482" s="1"/>
      <c r="G482" s="1"/>
      <c r="H482" s="1"/>
      <c r="I482" s="1"/>
      <c r="J482" s="1"/>
      <c r="K482" s="1"/>
      <c r="P482" s="414"/>
      <c r="Q482" s="414"/>
      <c r="R482" s="414"/>
      <c r="S482" s="414"/>
      <c r="T482" s="414"/>
      <c r="U482" s="414"/>
    </row>
    <row r="483" spans="5:21" ht="15.6">
      <c r="E483" s="1"/>
      <c r="F483" s="1"/>
      <c r="G483" s="1"/>
      <c r="H483" s="1"/>
      <c r="I483" s="1"/>
      <c r="J483" s="1"/>
      <c r="K483" s="1"/>
      <c r="P483" s="414"/>
      <c r="Q483" s="414"/>
      <c r="R483" s="414"/>
      <c r="S483" s="414"/>
      <c r="T483" s="414"/>
      <c r="U483" s="414"/>
    </row>
    <row r="484" spans="5:21" ht="15.6">
      <c r="E484" s="1"/>
      <c r="F484" s="1"/>
      <c r="G484" s="1"/>
      <c r="H484" s="1"/>
      <c r="I484" s="1"/>
      <c r="J484" s="1"/>
      <c r="K484" s="1"/>
      <c r="P484" s="414"/>
      <c r="Q484" s="414"/>
      <c r="R484" s="414"/>
      <c r="S484" s="414"/>
      <c r="T484" s="414"/>
      <c r="U484" s="414"/>
    </row>
    <row r="485" spans="5:21" ht="15.6">
      <c r="E485" s="1"/>
      <c r="F485" s="1"/>
      <c r="G485" s="1"/>
      <c r="H485" s="1"/>
      <c r="I485" s="1"/>
      <c r="J485" s="1"/>
      <c r="K485" s="1"/>
      <c r="P485" s="414"/>
      <c r="Q485" s="414"/>
      <c r="R485" s="414"/>
      <c r="S485" s="414"/>
      <c r="T485" s="414"/>
      <c r="U485" s="414"/>
    </row>
    <row r="486" spans="5:21" ht="15.6">
      <c r="E486" s="1"/>
      <c r="F486" s="1"/>
      <c r="G486" s="1"/>
      <c r="H486" s="1"/>
      <c r="I486" s="1"/>
      <c r="J486" s="1"/>
      <c r="K486" s="1"/>
      <c r="P486" s="414"/>
      <c r="Q486" s="414"/>
      <c r="R486" s="414"/>
      <c r="S486" s="414"/>
      <c r="T486" s="414"/>
      <c r="U486" s="414"/>
    </row>
    <row r="487" spans="5:21" ht="15.6">
      <c r="E487" s="1"/>
      <c r="F487" s="1"/>
      <c r="G487" s="1"/>
      <c r="H487" s="1"/>
      <c r="I487" s="1"/>
      <c r="J487" s="1"/>
      <c r="K487" s="1"/>
      <c r="P487" s="414"/>
      <c r="Q487" s="414"/>
      <c r="R487" s="414"/>
      <c r="S487" s="414"/>
      <c r="T487" s="414"/>
      <c r="U487" s="414"/>
    </row>
    <row r="488" spans="5:21" ht="15.6">
      <c r="E488" s="1"/>
      <c r="F488" s="1"/>
      <c r="G488" s="1"/>
      <c r="H488" s="1"/>
      <c r="I488" s="1"/>
      <c r="J488" s="1"/>
      <c r="K488" s="1"/>
      <c r="P488" s="414"/>
      <c r="Q488" s="414"/>
      <c r="R488" s="414"/>
      <c r="S488" s="414"/>
      <c r="T488" s="414"/>
      <c r="U488" s="414"/>
    </row>
    <row r="489" spans="5:21" ht="15.6">
      <c r="E489" s="1"/>
      <c r="F489" s="1"/>
      <c r="G489" s="1"/>
      <c r="H489" s="1"/>
      <c r="I489" s="1"/>
      <c r="J489" s="1"/>
      <c r="K489" s="1"/>
      <c r="P489" s="414"/>
      <c r="Q489" s="414"/>
      <c r="R489" s="414"/>
      <c r="S489" s="414"/>
      <c r="T489" s="414"/>
      <c r="U489" s="414"/>
    </row>
    <row r="490" spans="5:21" ht="15.6">
      <c r="E490" s="1"/>
      <c r="F490" s="1"/>
      <c r="G490" s="1"/>
      <c r="H490" s="1"/>
      <c r="I490" s="1"/>
      <c r="J490" s="1"/>
      <c r="K490" s="1"/>
      <c r="P490" s="414"/>
      <c r="Q490" s="414"/>
      <c r="R490" s="414"/>
      <c r="S490" s="414"/>
      <c r="T490" s="414"/>
      <c r="U490" s="414"/>
    </row>
    <row r="491" spans="5:21" ht="15.6">
      <c r="E491" s="1"/>
      <c r="F491" s="1"/>
      <c r="G491" s="1"/>
      <c r="H491" s="1"/>
      <c r="I491" s="1"/>
      <c r="J491" s="1"/>
      <c r="K491" s="1"/>
      <c r="P491" s="414"/>
      <c r="Q491" s="414"/>
      <c r="R491" s="414"/>
      <c r="S491" s="414"/>
      <c r="T491" s="414"/>
      <c r="U491" s="414"/>
    </row>
    <row r="492" spans="5:21" ht="15.6">
      <c r="E492" s="1"/>
      <c r="F492" s="1"/>
      <c r="G492" s="1"/>
      <c r="H492" s="1"/>
      <c r="I492" s="1"/>
      <c r="J492" s="1"/>
      <c r="K492" s="1"/>
      <c r="P492" s="414"/>
      <c r="Q492" s="414"/>
      <c r="R492" s="414"/>
      <c r="S492" s="414"/>
      <c r="T492" s="414"/>
      <c r="U492" s="414"/>
    </row>
    <row r="493" spans="5:21" ht="15.6">
      <c r="E493" s="1"/>
      <c r="F493" s="1"/>
      <c r="G493" s="1"/>
      <c r="H493" s="1"/>
      <c r="I493" s="1"/>
      <c r="J493" s="1"/>
      <c r="K493" s="1"/>
      <c r="P493" s="414"/>
      <c r="Q493" s="414"/>
      <c r="R493" s="414"/>
      <c r="S493" s="414"/>
      <c r="T493" s="414"/>
      <c r="U493" s="414"/>
    </row>
    <row r="494" spans="5:21" ht="15.6">
      <c r="E494" s="1"/>
      <c r="F494" s="1"/>
      <c r="G494" s="1"/>
      <c r="H494" s="1"/>
      <c r="I494" s="1"/>
      <c r="J494" s="1"/>
      <c r="K494" s="1"/>
      <c r="P494" s="414"/>
      <c r="Q494" s="414"/>
      <c r="R494" s="414"/>
      <c r="S494" s="414"/>
      <c r="T494" s="414"/>
      <c r="U494" s="414"/>
    </row>
    <row r="495" spans="5:21" ht="15.6">
      <c r="E495" s="1"/>
      <c r="F495" s="1"/>
      <c r="G495" s="1"/>
      <c r="H495" s="1"/>
      <c r="I495" s="1"/>
      <c r="J495" s="1"/>
      <c r="K495" s="1"/>
      <c r="P495" s="414"/>
      <c r="Q495" s="414"/>
      <c r="R495" s="414"/>
      <c r="S495" s="414"/>
      <c r="T495" s="414"/>
      <c r="U495" s="414"/>
    </row>
    <row r="496" spans="5:21" ht="15.6">
      <c r="E496" s="1"/>
      <c r="F496" s="1"/>
      <c r="G496" s="1"/>
      <c r="H496" s="1"/>
      <c r="I496" s="1"/>
      <c r="J496" s="1"/>
      <c r="K496" s="1"/>
      <c r="P496" s="414"/>
      <c r="Q496" s="414"/>
      <c r="R496" s="414"/>
      <c r="S496" s="414"/>
      <c r="T496" s="414"/>
      <c r="U496" s="414"/>
    </row>
    <row r="497" spans="5:21" ht="15.6">
      <c r="E497" s="1"/>
      <c r="F497" s="1"/>
      <c r="G497" s="1"/>
      <c r="H497" s="1"/>
      <c r="I497" s="1"/>
      <c r="J497" s="1"/>
      <c r="K497" s="1"/>
      <c r="P497" s="414"/>
      <c r="Q497" s="414"/>
      <c r="R497" s="414"/>
      <c r="S497" s="414"/>
      <c r="T497" s="414"/>
      <c r="U497" s="414"/>
    </row>
    <row r="498" spans="5:21" ht="15.6">
      <c r="E498" s="1"/>
      <c r="F498" s="1"/>
      <c r="G498" s="1"/>
      <c r="H498" s="1"/>
      <c r="I498" s="1"/>
      <c r="J498" s="1"/>
      <c r="K498" s="1"/>
      <c r="P498" s="414"/>
      <c r="Q498" s="414"/>
      <c r="R498" s="414"/>
      <c r="S498" s="414"/>
      <c r="T498" s="414"/>
      <c r="U498" s="414"/>
    </row>
    <row r="499" spans="5:21" ht="15.6">
      <c r="E499" s="1"/>
      <c r="F499" s="1"/>
      <c r="G499" s="1"/>
      <c r="H499" s="1"/>
      <c r="I499" s="1"/>
      <c r="J499" s="1"/>
      <c r="K499" s="1"/>
      <c r="P499" s="414"/>
      <c r="Q499" s="414"/>
      <c r="R499" s="414"/>
      <c r="S499" s="414"/>
      <c r="T499" s="414"/>
      <c r="U499" s="414"/>
    </row>
    <row r="500" spans="5:21" ht="15.6">
      <c r="E500" s="1"/>
      <c r="F500" s="1"/>
      <c r="G500" s="1"/>
      <c r="H500" s="1"/>
      <c r="I500" s="1"/>
      <c r="J500" s="1"/>
      <c r="K500" s="1"/>
      <c r="P500" s="414"/>
      <c r="Q500" s="414"/>
      <c r="R500" s="414"/>
      <c r="S500" s="414"/>
      <c r="T500" s="414"/>
      <c r="U500" s="414"/>
    </row>
    <row r="501" spans="5:21" ht="15.6">
      <c r="E501" s="1"/>
      <c r="F501" s="1"/>
      <c r="G501" s="1"/>
      <c r="H501" s="1"/>
      <c r="I501" s="1"/>
      <c r="J501" s="1"/>
      <c r="K501" s="1"/>
      <c r="P501" s="414"/>
      <c r="Q501" s="414"/>
      <c r="R501" s="414"/>
      <c r="S501" s="414"/>
      <c r="T501" s="414"/>
      <c r="U501" s="414"/>
    </row>
    <row r="502" spans="5:21" ht="15.6">
      <c r="E502" s="1"/>
      <c r="F502" s="1"/>
      <c r="G502" s="1"/>
      <c r="H502" s="1"/>
      <c r="I502" s="1"/>
      <c r="J502" s="1"/>
      <c r="K502" s="1"/>
      <c r="P502" s="414"/>
      <c r="Q502" s="414"/>
      <c r="R502" s="414"/>
      <c r="S502" s="414"/>
      <c r="T502" s="414"/>
      <c r="U502" s="414"/>
    </row>
    <row r="503" spans="5:21" ht="15.6">
      <c r="E503" s="1"/>
      <c r="F503" s="1"/>
      <c r="G503" s="1"/>
      <c r="H503" s="1"/>
      <c r="I503" s="1"/>
      <c r="J503" s="1"/>
      <c r="K503" s="1"/>
      <c r="P503" s="414"/>
      <c r="Q503" s="414"/>
      <c r="R503" s="414"/>
      <c r="S503" s="414"/>
      <c r="T503" s="414"/>
      <c r="U503" s="414"/>
    </row>
    <row r="504" spans="5:21" ht="15.6">
      <c r="E504" s="1"/>
      <c r="F504" s="1"/>
      <c r="G504" s="1"/>
      <c r="H504" s="1"/>
      <c r="I504" s="1"/>
      <c r="J504" s="1"/>
      <c r="K504" s="1"/>
      <c r="P504" s="414"/>
      <c r="Q504" s="414"/>
      <c r="R504" s="414"/>
      <c r="S504" s="414"/>
      <c r="T504" s="414"/>
      <c r="U504" s="414"/>
    </row>
    <row r="505" spans="5:21" ht="15.6">
      <c r="E505" s="1"/>
      <c r="F505" s="1"/>
      <c r="G505" s="1"/>
      <c r="H505" s="1"/>
      <c r="I505" s="1"/>
      <c r="J505" s="1"/>
      <c r="K505" s="1"/>
      <c r="P505" s="414"/>
      <c r="Q505" s="414"/>
      <c r="R505" s="414"/>
      <c r="S505" s="414"/>
      <c r="T505" s="414"/>
      <c r="U505" s="414"/>
    </row>
    <row r="506" spans="5:21" ht="15.6">
      <c r="E506" s="1"/>
      <c r="F506" s="1"/>
      <c r="G506" s="1"/>
      <c r="H506" s="1"/>
      <c r="I506" s="1"/>
      <c r="J506" s="1"/>
      <c r="K506" s="1"/>
      <c r="P506" s="414"/>
      <c r="Q506" s="414"/>
      <c r="R506" s="414"/>
      <c r="S506" s="414"/>
      <c r="T506" s="414"/>
      <c r="U506" s="414"/>
    </row>
    <row r="507" spans="5:21" ht="15.6">
      <c r="E507" s="1"/>
      <c r="F507" s="1"/>
      <c r="G507" s="1"/>
      <c r="H507" s="1"/>
      <c r="I507" s="1"/>
      <c r="J507" s="1"/>
      <c r="K507" s="1"/>
      <c r="P507" s="414"/>
      <c r="Q507" s="414"/>
      <c r="R507" s="414"/>
      <c r="S507" s="414"/>
      <c r="T507" s="414"/>
      <c r="U507" s="414"/>
    </row>
    <row r="508" spans="5:21" ht="15.6">
      <c r="E508" s="1"/>
      <c r="F508" s="1"/>
      <c r="G508" s="1"/>
      <c r="H508" s="1"/>
      <c r="I508" s="1"/>
      <c r="J508" s="1"/>
      <c r="K508" s="1"/>
      <c r="P508" s="414"/>
      <c r="Q508" s="414"/>
      <c r="R508" s="414"/>
      <c r="S508" s="414"/>
      <c r="T508" s="414"/>
      <c r="U508" s="414"/>
    </row>
    <row r="509" spans="5:21" ht="15.6">
      <c r="E509" s="1"/>
      <c r="F509" s="1"/>
      <c r="G509" s="1"/>
      <c r="H509" s="1"/>
      <c r="I509" s="1"/>
      <c r="J509" s="1"/>
      <c r="K509" s="1"/>
      <c r="P509" s="414"/>
      <c r="Q509" s="414"/>
      <c r="R509" s="414"/>
      <c r="S509" s="414"/>
      <c r="T509" s="414"/>
      <c r="U509" s="414"/>
    </row>
    <row r="510" spans="5:21" ht="15.6">
      <c r="E510" s="1"/>
      <c r="F510" s="1"/>
      <c r="G510" s="1"/>
      <c r="H510" s="1"/>
      <c r="I510" s="1"/>
      <c r="J510" s="1"/>
      <c r="K510" s="1"/>
      <c r="P510" s="414"/>
      <c r="Q510" s="414"/>
      <c r="R510" s="414"/>
      <c r="S510" s="414"/>
      <c r="T510" s="414"/>
      <c r="U510" s="414"/>
    </row>
    <row r="511" spans="5:21" ht="15.6">
      <c r="E511" s="1"/>
      <c r="F511" s="1"/>
      <c r="G511" s="1"/>
      <c r="H511" s="1"/>
      <c r="I511" s="1"/>
      <c r="J511" s="1"/>
      <c r="K511" s="1"/>
      <c r="P511" s="414"/>
      <c r="Q511" s="414"/>
      <c r="R511" s="414"/>
      <c r="S511" s="414"/>
      <c r="T511" s="414"/>
      <c r="U511" s="414"/>
    </row>
    <row r="512" spans="5:21" ht="15.6">
      <c r="E512" s="1"/>
      <c r="F512" s="1"/>
      <c r="G512" s="1"/>
      <c r="H512" s="1"/>
      <c r="I512" s="1"/>
      <c r="J512" s="1"/>
      <c r="K512" s="1"/>
      <c r="P512" s="414"/>
      <c r="Q512" s="414"/>
      <c r="R512" s="414"/>
      <c r="S512" s="414"/>
      <c r="T512" s="414"/>
      <c r="U512" s="414"/>
    </row>
    <row r="513" spans="5:21" ht="15.6">
      <c r="E513" s="1"/>
      <c r="F513" s="1"/>
      <c r="G513" s="1"/>
      <c r="H513" s="1"/>
      <c r="I513" s="1"/>
      <c r="J513" s="1"/>
      <c r="K513" s="1"/>
      <c r="P513" s="414"/>
      <c r="Q513" s="414"/>
      <c r="R513" s="414"/>
      <c r="S513" s="414"/>
      <c r="T513" s="414"/>
      <c r="U513" s="414"/>
    </row>
    <row r="514" spans="5:21" ht="15.6">
      <c r="E514" s="1"/>
      <c r="F514" s="1"/>
      <c r="G514" s="1"/>
      <c r="H514" s="1"/>
      <c r="I514" s="1"/>
      <c r="J514" s="1"/>
      <c r="K514" s="1"/>
      <c r="P514" s="414"/>
      <c r="Q514" s="414"/>
      <c r="R514" s="414"/>
      <c r="S514" s="414"/>
      <c r="T514" s="414"/>
      <c r="U514" s="414"/>
    </row>
    <row r="515" spans="5:21" ht="15.6">
      <c r="E515" s="1"/>
      <c r="F515" s="1"/>
      <c r="G515" s="1"/>
      <c r="H515" s="1"/>
      <c r="I515" s="1"/>
      <c r="J515" s="1"/>
      <c r="K515" s="1"/>
      <c r="P515" s="414"/>
      <c r="Q515" s="414"/>
      <c r="R515" s="414"/>
      <c r="S515" s="414"/>
      <c r="T515" s="414"/>
      <c r="U515" s="414"/>
    </row>
    <row r="516" spans="5:21" ht="15.6">
      <c r="E516" s="1"/>
      <c r="F516" s="1"/>
      <c r="G516" s="1"/>
      <c r="H516" s="1"/>
      <c r="I516" s="1"/>
      <c r="J516" s="1"/>
      <c r="K516" s="1"/>
      <c r="P516" s="414"/>
      <c r="Q516" s="414"/>
      <c r="R516" s="414"/>
      <c r="S516" s="414"/>
      <c r="T516" s="414"/>
      <c r="U516" s="414"/>
    </row>
    <row r="517" spans="5:21" ht="15.6">
      <c r="E517" s="1"/>
      <c r="F517" s="1"/>
      <c r="G517" s="1"/>
      <c r="H517" s="1"/>
      <c r="I517" s="1"/>
      <c r="J517" s="1"/>
      <c r="K517" s="1"/>
      <c r="P517" s="414"/>
      <c r="Q517" s="414"/>
      <c r="R517" s="414"/>
      <c r="S517" s="414"/>
      <c r="T517" s="414"/>
      <c r="U517" s="414"/>
    </row>
    <row r="518" spans="5:21" ht="15.6">
      <c r="E518" s="1"/>
      <c r="F518" s="1"/>
      <c r="G518" s="1"/>
      <c r="H518" s="1"/>
      <c r="I518" s="1"/>
      <c r="J518" s="1"/>
      <c r="K518" s="1"/>
      <c r="P518" s="414"/>
      <c r="Q518" s="414"/>
      <c r="R518" s="414"/>
      <c r="S518" s="414"/>
      <c r="T518" s="414"/>
      <c r="U518" s="414"/>
    </row>
    <row r="519" spans="5:21" ht="15.6">
      <c r="E519" s="1"/>
      <c r="F519" s="1"/>
      <c r="G519" s="1"/>
      <c r="H519" s="1"/>
      <c r="I519" s="1"/>
      <c r="J519" s="1"/>
      <c r="K519" s="1"/>
      <c r="P519" s="414"/>
      <c r="Q519" s="414"/>
      <c r="R519" s="414"/>
      <c r="S519" s="414"/>
      <c r="T519" s="414"/>
      <c r="U519" s="414"/>
    </row>
    <row r="520" spans="5:21" ht="15.6">
      <c r="E520" s="1"/>
      <c r="F520" s="1"/>
      <c r="G520" s="1"/>
      <c r="H520" s="1"/>
      <c r="I520" s="1"/>
      <c r="J520" s="1"/>
      <c r="K520" s="1"/>
      <c r="P520" s="414"/>
      <c r="Q520" s="414"/>
      <c r="R520" s="414"/>
      <c r="S520" s="414"/>
      <c r="T520" s="414"/>
      <c r="U520" s="414"/>
    </row>
    <row r="521" spans="5:21" ht="15.6">
      <c r="E521" s="1"/>
      <c r="F521" s="1"/>
      <c r="G521" s="1"/>
      <c r="H521" s="1"/>
      <c r="I521" s="1"/>
      <c r="J521" s="1"/>
      <c r="K521" s="1"/>
      <c r="P521" s="414"/>
      <c r="Q521" s="414"/>
      <c r="R521" s="414"/>
      <c r="S521" s="414"/>
      <c r="T521" s="414"/>
      <c r="U521" s="414"/>
    </row>
    <row r="522" spans="5:21" ht="15.6">
      <c r="E522" s="1"/>
      <c r="F522" s="1"/>
      <c r="G522" s="1"/>
      <c r="H522" s="1"/>
      <c r="I522" s="1"/>
      <c r="J522" s="1"/>
      <c r="K522" s="1"/>
      <c r="P522" s="414"/>
      <c r="Q522" s="414"/>
      <c r="R522" s="414"/>
      <c r="S522" s="414"/>
      <c r="T522" s="414"/>
      <c r="U522" s="414"/>
    </row>
    <row r="523" spans="5:21" ht="15.6">
      <c r="E523" s="1"/>
      <c r="F523" s="1"/>
      <c r="G523" s="1"/>
      <c r="H523" s="1"/>
      <c r="I523" s="1"/>
      <c r="J523" s="1"/>
      <c r="K523" s="1"/>
      <c r="P523" s="414"/>
      <c r="Q523" s="414"/>
      <c r="R523" s="414"/>
      <c r="S523" s="414"/>
      <c r="T523" s="414"/>
      <c r="U523" s="414"/>
    </row>
    <row r="524" spans="5:21" ht="15.6">
      <c r="E524" s="1"/>
      <c r="F524" s="1"/>
      <c r="G524" s="1"/>
      <c r="H524" s="1"/>
      <c r="I524" s="1"/>
      <c r="J524" s="1"/>
      <c r="K524" s="1"/>
      <c r="P524" s="414"/>
      <c r="Q524" s="414"/>
      <c r="R524" s="414"/>
      <c r="S524" s="414"/>
      <c r="T524" s="414"/>
      <c r="U524" s="414"/>
    </row>
    <row r="525" spans="5:21" ht="15.6">
      <c r="E525" s="1"/>
      <c r="F525" s="1"/>
      <c r="G525" s="1"/>
      <c r="H525" s="1"/>
      <c r="I525" s="1"/>
      <c r="J525" s="1"/>
      <c r="K525" s="1"/>
      <c r="P525" s="414"/>
      <c r="Q525" s="414"/>
      <c r="R525" s="414"/>
      <c r="S525" s="414"/>
      <c r="T525" s="414"/>
      <c r="U525" s="414"/>
    </row>
    <row r="526" spans="5:21" ht="15.6">
      <c r="E526" s="1"/>
      <c r="F526" s="1"/>
      <c r="G526" s="1"/>
      <c r="H526" s="1"/>
      <c r="I526" s="1"/>
      <c r="J526" s="1"/>
      <c r="K526" s="1"/>
      <c r="P526" s="414"/>
      <c r="Q526" s="414"/>
      <c r="R526" s="414"/>
      <c r="S526" s="414"/>
      <c r="T526" s="414"/>
      <c r="U526" s="414"/>
    </row>
    <row r="527" spans="5:21" ht="15.6">
      <c r="E527" s="1"/>
      <c r="F527" s="1"/>
      <c r="G527" s="1"/>
      <c r="H527" s="1"/>
      <c r="I527" s="1"/>
      <c r="J527" s="1"/>
      <c r="K527" s="1"/>
      <c r="P527" s="414"/>
      <c r="Q527" s="414"/>
      <c r="R527" s="414"/>
      <c r="S527" s="414"/>
      <c r="T527" s="414"/>
      <c r="U527" s="414"/>
    </row>
    <row r="528" spans="5:21" ht="15.6">
      <c r="E528" s="1"/>
      <c r="F528" s="1"/>
      <c r="G528" s="1"/>
      <c r="H528" s="1"/>
      <c r="I528" s="1"/>
      <c r="J528" s="1"/>
      <c r="K528" s="1"/>
      <c r="P528" s="414"/>
      <c r="Q528" s="414"/>
      <c r="R528" s="414"/>
      <c r="S528" s="414"/>
      <c r="T528" s="414"/>
      <c r="U528" s="414"/>
    </row>
    <row r="529" spans="5:21" ht="15.6">
      <c r="E529" s="1"/>
      <c r="F529" s="1"/>
      <c r="G529" s="1"/>
      <c r="H529" s="1"/>
      <c r="I529" s="1"/>
      <c r="J529" s="1"/>
      <c r="K529" s="1"/>
      <c r="P529" s="414"/>
      <c r="Q529" s="414"/>
      <c r="R529" s="414"/>
      <c r="S529" s="414"/>
      <c r="T529" s="414"/>
      <c r="U529" s="414"/>
    </row>
    <row r="530" spans="5:21" ht="15.6">
      <c r="E530" s="1"/>
      <c r="F530" s="1"/>
      <c r="G530" s="1"/>
      <c r="H530" s="1"/>
      <c r="I530" s="1"/>
      <c r="J530" s="1"/>
      <c r="K530" s="1"/>
      <c r="P530" s="414"/>
      <c r="Q530" s="414"/>
      <c r="R530" s="414"/>
      <c r="S530" s="414"/>
      <c r="T530" s="414"/>
      <c r="U530" s="414"/>
    </row>
    <row r="531" spans="5:21" ht="15.6">
      <c r="E531" s="1"/>
      <c r="F531" s="1"/>
      <c r="G531" s="1"/>
      <c r="H531" s="1"/>
      <c r="I531" s="1"/>
      <c r="J531" s="1"/>
      <c r="K531" s="1"/>
      <c r="P531" s="414"/>
      <c r="Q531" s="414"/>
      <c r="R531" s="414"/>
      <c r="S531" s="414"/>
      <c r="T531" s="414"/>
      <c r="U531" s="414"/>
    </row>
    <row r="532" spans="5:21" ht="15.6">
      <c r="E532" s="1"/>
      <c r="F532" s="1"/>
      <c r="G532" s="1"/>
      <c r="H532" s="1"/>
      <c r="I532" s="1"/>
      <c r="J532" s="1"/>
      <c r="K532" s="1"/>
      <c r="P532" s="414"/>
      <c r="Q532" s="414"/>
      <c r="R532" s="414"/>
      <c r="S532" s="414"/>
      <c r="T532" s="414"/>
      <c r="U532" s="414"/>
    </row>
    <row r="533" spans="5:21" ht="15.6">
      <c r="E533" s="1"/>
      <c r="F533" s="1"/>
      <c r="G533" s="1"/>
      <c r="H533" s="1"/>
      <c r="I533" s="1"/>
      <c r="J533" s="1"/>
      <c r="K533" s="1"/>
      <c r="P533" s="414"/>
      <c r="Q533" s="414"/>
      <c r="R533" s="414"/>
      <c r="S533" s="414"/>
      <c r="T533" s="414"/>
      <c r="U533" s="414"/>
    </row>
    <row r="534" spans="5:21" ht="15.6">
      <c r="E534" s="1"/>
      <c r="F534" s="1"/>
      <c r="G534" s="1"/>
      <c r="H534" s="1"/>
      <c r="I534" s="1"/>
      <c r="J534" s="1"/>
      <c r="K534" s="1"/>
      <c r="P534" s="414"/>
      <c r="Q534" s="414"/>
      <c r="R534" s="414"/>
      <c r="S534" s="414"/>
      <c r="T534" s="414"/>
      <c r="U534" s="414"/>
    </row>
    <row r="535" spans="5:21" ht="15.6">
      <c r="E535" s="1"/>
      <c r="F535" s="1"/>
      <c r="G535" s="1"/>
      <c r="H535" s="1"/>
      <c r="I535" s="1"/>
      <c r="J535" s="1"/>
      <c r="K535" s="1"/>
      <c r="P535" s="414"/>
      <c r="Q535" s="414"/>
      <c r="R535" s="414"/>
      <c r="S535" s="414"/>
      <c r="T535" s="414"/>
      <c r="U535" s="414"/>
    </row>
    <row r="536" spans="5:21" ht="15.6">
      <c r="E536" s="1"/>
      <c r="F536" s="1"/>
      <c r="G536" s="1"/>
      <c r="H536" s="1"/>
      <c r="I536" s="1"/>
      <c r="J536" s="1"/>
      <c r="K536" s="1"/>
      <c r="P536" s="414"/>
      <c r="Q536" s="414"/>
      <c r="R536" s="414"/>
      <c r="S536" s="414"/>
      <c r="T536" s="414"/>
      <c r="U536" s="414"/>
    </row>
    <row r="537" spans="5:21" ht="15.6">
      <c r="E537" s="1"/>
      <c r="F537" s="1"/>
      <c r="G537" s="1"/>
      <c r="H537" s="1"/>
      <c r="I537" s="1"/>
      <c r="J537" s="1"/>
      <c r="K537" s="1"/>
      <c r="P537" s="414"/>
      <c r="Q537" s="414"/>
      <c r="R537" s="414"/>
      <c r="S537" s="414"/>
      <c r="T537" s="414"/>
      <c r="U537" s="414"/>
    </row>
    <row r="538" spans="5:21" ht="15.6">
      <c r="E538" s="1"/>
      <c r="F538" s="1"/>
      <c r="G538" s="1"/>
      <c r="H538" s="1"/>
      <c r="I538" s="1"/>
      <c r="J538" s="1"/>
      <c r="K538" s="1"/>
      <c r="P538" s="414"/>
      <c r="Q538" s="414"/>
      <c r="R538" s="414"/>
      <c r="S538" s="414"/>
      <c r="T538" s="414"/>
      <c r="U538" s="414"/>
    </row>
    <row r="539" spans="5:21" ht="15.6">
      <c r="E539" s="1"/>
      <c r="F539" s="1"/>
      <c r="G539" s="1"/>
      <c r="H539" s="1"/>
      <c r="I539" s="1"/>
      <c r="J539" s="1"/>
      <c r="K539" s="1"/>
      <c r="P539" s="414"/>
      <c r="Q539" s="414"/>
      <c r="R539" s="414"/>
      <c r="S539" s="414"/>
      <c r="T539" s="414"/>
      <c r="U539" s="414"/>
    </row>
    <row r="540" spans="5:21" ht="15.6">
      <c r="E540" s="1"/>
      <c r="F540" s="1"/>
      <c r="G540" s="1"/>
      <c r="H540" s="1"/>
      <c r="I540" s="1"/>
      <c r="J540" s="1"/>
      <c r="K540" s="1"/>
      <c r="P540" s="414"/>
      <c r="Q540" s="414"/>
      <c r="R540" s="414"/>
      <c r="S540" s="414"/>
      <c r="T540" s="414"/>
      <c r="U540" s="414"/>
    </row>
    <row r="541" spans="5:21" ht="15.6">
      <c r="E541" s="1"/>
      <c r="F541" s="1"/>
      <c r="G541" s="1"/>
      <c r="H541" s="1"/>
      <c r="I541" s="1"/>
      <c r="J541" s="1"/>
      <c r="K541" s="1"/>
      <c r="P541" s="414"/>
      <c r="Q541" s="414"/>
      <c r="R541" s="414"/>
      <c r="S541" s="414"/>
      <c r="T541" s="414"/>
      <c r="U541" s="414"/>
    </row>
    <row r="542" spans="5:21" ht="15.6">
      <c r="E542" s="1"/>
      <c r="F542" s="1"/>
      <c r="G542" s="1"/>
      <c r="H542" s="1"/>
      <c r="I542" s="1"/>
      <c r="J542" s="1"/>
      <c r="K542" s="1"/>
      <c r="P542" s="414"/>
      <c r="Q542" s="414"/>
      <c r="R542" s="414"/>
      <c r="S542" s="414"/>
      <c r="T542" s="414"/>
      <c r="U542" s="414"/>
    </row>
    <row r="543" spans="5:21" ht="15.6">
      <c r="E543" s="1"/>
      <c r="F543" s="1"/>
      <c r="G543" s="1"/>
      <c r="H543" s="1"/>
      <c r="I543" s="1"/>
      <c r="J543" s="1"/>
      <c r="K543" s="1"/>
      <c r="P543" s="414"/>
      <c r="Q543" s="414"/>
      <c r="R543" s="414"/>
      <c r="S543" s="414"/>
      <c r="T543" s="414"/>
      <c r="U543" s="414"/>
    </row>
    <row r="544" spans="5:21" ht="15.6">
      <c r="E544" s="1"/>
      <c r="F544" s="1"/>
      <c r="G544" s="1"/>
      <c r="H544" s="1"/>
      <c r="I544" s="1"/>
      <c r="J544" s="1"/>
      <c r="K544" s="1"/>
      <c r="P544" s="414"/>
      <c r="Q544" s="414"/>
      <c r="R544" s="414"/>
      <c r="S544" s="414"/>
      <c r="T544" s="414"/>
      <c r="U544" s="414"/>
    </row>
    <row r="545" spans="5:21" ht="15.6">
      <c r="E545" s="1"/>
      <c r="F545" s="1"/>
      <c r="G545" s="1"/>
      <c r="H545" s="1"/>
      <c r="I545" s="1"/>
      <c r="J545" s="1"/>
      <c r="K545" s="1"/>
      <c r="P545" s="414"/>
      <c r="Q545" s="414"/>
      <c r="R545" s="414"/>
      <c r="S545" s="414"/>
      <c r="T545" s="414"/>
      <c r="U545" s="414"/>
    </row>
    <row r="546" spans="5:21" ht="15.6">
      <c r="E546" s="1"/>
      <c r="F546" s="1"/>
      <c r="G546" s="1"/>
      <c r="H546" s="1"/>
      <c r="I546" s="1"/>
      <c r="J546" s="1"/>
      <c r="K546" s="1"/>
      <c r="P546" s="414"/>
      <c r="Q546" s="414"/>
      <c r="R546" s="414"/>
      <c r="S546" s="414"/>
      <c r="T546" s="414"/>
      <c r="U546" s="414"/>
    </row>
    <row r="547" spans="5:21" ht="15.6">
      <c r="E547" s="1"/>
      <c r="F547" s="1"/>
      <c r="G547" s="1"/>
      <c r="H547" s="1"/>
      <c r="I547" s="1"/>
      <c r="J547" s="1"/>
      <c r="K547" s="1"/>
      <c r="P547" s="414"/>
      <c r="Q547" s="414"/>
      <c r="R547" s="414"/>
      <c r="S547" s="414"/>
      <c r="T547" s="414"/>
      <c r="U547" s="414"/>
    </row>
    <row r="548" spans="5:21" ht="15.6">
      <c r="E548" s="1"/>
      <c r="F548" s="1"/>
      <c r="G548" s="1"/>
      <c r="H548" s="1"/>
      <c r="I548" s="1"/>
      <c r="J548" s="1"/>
      <c r="K548" s="1"/>
      <c r="P548" s="414"/>
      <c r="Q548" s="414"/>
      <c r="R548" s="414"/>
      <c r="S548" s="414"/>
      <c r="T548" s="414"/>
      <c r="U548" s="414"/>
    </row>
    <row r="549" spans="5:21" ht="15.6">
      <c r="E549" s="1"/>
      <c r="F549" s="1"/>
      <c r="G549" s="1"/>
      <c r="H549" s="1"/>
      <c r="I549" s="1"/>
      <c r="J549" s="1"/>
      <c r="K549" s="1"/>
      <c r="P549" s="414"/>
      <c r="Q549" s="414"/>
      <c r="R549" s="414"/>
      <c r="S549" s="414"/>
      <c r="T549" s="414"/>
      <c r="U549" s="414"/>
    </row>
    <row r="550" spans="5:21" ht="15.6">
      <c r="E550" s="1"/>
      <c r="F550" s="1"/>
      <c r="G550" s="1"/>
      <c r="H550" s="1"/>
      <c r="I550" s="1"/>
      <c r="J550" s="1"/>
      <c r="K550" s="1"/>
      <c r="P550" s="414"/>
      <c r="Q550" s="414"/>
      <c r="R550" s="414"/>
      <c r="S550" s="414"/>
      <c r="T550" s="414"/>
      <c r="U550" s="414"/>
    </row>
    <row r="551" spans="5:21" ht="15.6">
      <c r="E551" s="1"/>
      <c r="F551" s="1"/>
      <c r="G551" s="1"/>
      <c r="H551" s="1"/>
      <c r="I551" s="1"/>
      <c r="J551" s="1"/>
      <c r="K551" s="1"/>
      <c r="P551" s="414"/>
      <c r="Q551" s="414"/>
      <c r="R551" s="414"/>
      <c r="S551" s="414"/>
      <c r="T551" s="414"/>
      <c r="U551" s="414"/>
    </row>
    <row r="552" spans="5:21" ht="15.6">
      <c r="E552" s="1"/>
      <c r="F552" s="1"/>
      <c r="G552" s="1"/>
      <c r="H552" s="1"/>
      <c r="I552" s="1"/>
      <c r="J552" s="1"/>
      <c r="K552" s="1"/>
      <c r="P552" s="414"/>
      <c r="Q552" s="414"/>
      <c r="R552" s="414"/>
      <c r="S552" s="414"/>
      <c r="T552" s="414"/>
      <c r="U552" s="414"/>
    </row>
    <row r="553" spans="5:21" ht="15.6">
      <c r="E553" s="1"/>
      <c r="F553" s="1"/>
      <c r="G553" s="1"/>
      <c r="H553" s="1"/>
      <c r="I553" s="1"/>
      <c r="J553" s="1"/>
      <c r="K553" s="1"/>
      <c r="P553" s="414"/>
      <c r="Q553" s="414"/>
      <c r="R553" s="414"/>
      <c r="S553" s="414"/>
      <c r="T553" s="414"/>
      <c r="U553" s="414"/>
    </row>
    <row r="554" spans="5:21" ht="15.6">
      <c r="E554" s="1"/>
      <c r="F554" s="1"/>
      <c r="G554" s="1"/>
      <c r="H554" s="1"/>
      <c r="I554" s="1"/>
      <c r="J554" s="1"/>
      <c r="K554" s="1"/>
      <c r="P554" s="414"/>
      <c r="Q554" s="414"/>
      <c r="R554" s="414"/>
      <c r="S554" s="414"/>
      <c r="T554" s="414"/>
      <c r="U554" s="414"/>
    </row>
    <row r="555" spans="5:21" ht="15.6">
      <c r="E555" s="1"/>
      <c r="F555" s="1"/>
      <c r="G555" s="1"/>
      <c r="H555" s="1"/>
      <c r="I555" s="1"/>
      <c r="J555" s="1"/>
      <c r="K555" s="1"/>
      <c r="P555" s="414"/>
      <c r="Q555" s="414"/>
      <c r="R555" s="414"/>
      <c r="S555" s="414"/>
      <c r="T555" s="414"/>
      <c r="U555" s="414"/>
    </row>
    <row r="556" spans="5:21" ht="15.6">
      <c r="E556" s="1"/>
      <c r="F556" s="1"/>
      <c r="G556" s="1"/>
      <c r="H556" s="1"/>
      <c r="I556" s="1"/>
      <c r="J556" s="1"/>
      <c r="K556" s="1"/>
      <c r="P556" s="414"/>
      <c r="Q556" s="414"/>
      <c r="R556" s="414"/>
      <c r="S556" s="414"/>
      <c r="T556" s="414"/>
      <c r="U556" s="414"/>
    </row>
    <row r="557" spans="5:21" ht="15.6">
      <c r="E557" s="1"/>
      <c r="F557" s="1"/>
      <c r="G557" s="1"/>
      <c r="H557" s="1"/>
      <c r="I557" s="1"/>
      <c r="J557" s="1"/>
      <c r="K557" s="1"/>
      <c r="P557" s="414"/>
      <c r="Q557" s="414"/>
      <c r="R557" s="414"/>
      <c r="S557" s="414"/>
      <c r="T557" s="414"/>
      <c r="U557" s="414"/>
    </row>
    <row r="558" spans="5:21" ht="15.6">
      <c r="E558" s="1"/>
      <c r="F558" s="1"/>
      <c r="G558" s="1"/>
      <c r="H558" s="1"/>
      <c r="I558" s="1"/>
      <c r="J558" s="1"/>
      <c r="K558" s="1"/>
      <c r="P558" s="414"/>
      <c r="Q558" s="414"/>
      <c r="R558" s="414"/>
      <c r="S558" s="414"/>
      <c r="T558" s="414"/>
      <c r="U558" s="414"/>
    </row>
    <row r="559" spans="5:21" ht="15.6">
      <c r="E559" s="1"/>
      <c r="F559" s="1"/>
      <c r="G559" s="1"/>
      <c r="H559" s="1"/>
      <c r="I559" s="1"/>
      <c r="J559" s="1"/>
      <c r="K559" s="1"/>
      <c r="P559" s="414"/>
      <c r="Q559" s="414"/>
      <c r="R559" s="414"/>
      <c r="S559" s="414"/>
      <c r="T559" s="414"/>
      <c r="U559" s="414"/>
    </row>
    <row r="560" spans="5:21" ht="15.6">
      <c r="E560" s="1"/>
      <c r="F560" s="1"/>
      <c r="G560" s="1"/>
      <c r="H560" s="1"/>
      <c r="I560" s="1"/>
      <c r="J560" s="1"/>
      <c r="K560" s="1"/>
      <c r="P560" s="414"/>
      <c r="Q560" s="414"/>
      <c r="R560" s="414"/>
      <c r="S560" s="414"/>
      <c r="T560" s="414"/>
      <c r="U560" s="414"/>
    </row>
    <row r="561" spans="5:21" ht="15.6">
      <c r="E561" s="1"/>
      <c r="F561" s="1"/>
      <c r="G561" s="1"/>
      <c r="H561" s="1"/>
      <c r="I561" s="1"/>
      <c r="J561" s="1"/>
      <c r="K561" s="1"/>
      <c r="P561" s="414"/>
      <c r="Q561" s="414"/>
      <c r="R561" s="414"/>
      <c r="S561" s="414"/>
      <c r="T561" s="414"/>
      <c r="U561" s="414"/>
    </row>
    <row r="562" spans="5:21" ht="15.6">
      <c r="E562" s="1"/>
      <c r="F562" s="1"/>
      <c r="G562" s="1"/>
      <c r="H562" s="1"/>
      <c r="I562" s="1"/>
      <c r="J562" s="1"/>
      <c r="K562" s="1"/>
      <c r="P562" s="414"/>
      <c r="Q562" s="414"/>
      <c r="R562" s="414"/>
      <c r="S562" s="414"/>
      <c r="T562" s="414"/>
      <c r="U562" s="414"/>
    </row>
    <row r="563" spans="5:21" ht="15.6">
      <c r="E563" s="1"/>
      <c r="F563" s="1"/>
      <c r="G563" s="1"/>
      <c r="H563" s="1"/>
      <c r="I563" s="1"/>
      <c r="J563" s="1"/>
      <c r="K563" s="1"/>
      <c r="P563" s="414"/>
      <c r="Q563" s="414"/>
      <c r="R563" s="414"/>
      <c r="S563" s="414"/>
      <c r="T563" s="414"/>
      <c r="U563" s="414"/>
    </row>
    <row r="564" spans="5:21" ht="15.6">
      <c r="E564" s="1"/>
      <c r="F564" s="1"/>
      <c r="G564" s="1"/>
      <c r="H564" s="1"/>
      <c r="I564" s="1"/>
      <c r="J564" s="1"/>
      <c r="K564" s="1"/>
      <c r="P564" s="414"/>
      <c r="Q564" s="414"/>
      <c r="R564" s="414"/>
      <c r="S564" s="414"/>
      <c r="T564" s="414"/>
      <c r="U564" s="414"/>
    </row>
    <row r="565" spans="5:21" ht="15.6">
      <c r="E565" s="1"/>
      <c r="F565" s="1"/>
      <c r="G565" s="1"/>
      <c r="H565" s="1"/>
      <c r="I565" s="1"/>
      <c r="J565" s="1"/>
      <c r="K565" s="1"/>
      <c r="P565" s="414"/>
      <c r="Q565" s="414"/>
      <c r="R565" s="414"/>
      <c r="S565" s="414"/>
      <c r="T565" s="414"/>
      <c r="U565" s="414"/>
    </row>
    <row r="566" spans="5:21" ht="15.6">
      <c r="E566" s="1"/>
      <c r="F566" s="1"/>
      <c r="G566" s="1"/>
      <c r="H566" s="1"/>
      <c r="I566" s="1"/>
      <c r="J566" s="1"/>
      <c r="K566" s="1"/>
      <c r="P566" s="414"/>
      <c r="Q566" s="414"/>
      <c r="R566" s="414"/>
      <c r="S566" s="414"/>
      <c r="T566" s="414"/>
      <c r="U566" s="414"/>
    </row>
    <row r="567" spans="5:21" ht="15.6">
      <c r="E567" s="1"/>
      <c r="F567" s="1"/>
      <c r="G567" s="1"/>
      <c r="H567" s="1"/>
      <c r="I567" s="1"/>
      <c r="J567" s="1"/>
      <c r="K567" s="1"/>
      <c r="P567" s="414"/>
      <c r="Q567" s="414"/>
      <c r="R567" s="414"/>
      <c r="S567" s="414"/>
      <c r="T567" s="414"/>
      <c r="U567" s="414"/>
    </row>
    <row r="568" spans="5:21" ht="15.6">
      <c r="E568" s="1"/>
      <c r="F568" s="1"/>
      <c r="G568" s="1"/>
      <c r="H568" s="1"/>
      <c r="I568" s="1"/>
      <c r="J568" s="1"/>
      <c r="K568" s="1"/>
      <c r="P568" s="414"/>
      <c r="Q568" s="414"/>
      <c r="R568" s="414"/>
      <c r="S568" s="414"/>
      <c r="T568" s="414"/>
      <c r="U568" s="414"/>
    </row>
    <row r="569" spans="5:21" ht="15.6">
      <c r="E569" s="1"/>
      <c r="F569" s="1"/>
      <c r="G569" s="1"/>
      <c r="H569" s="1"/>
      <c r="I569" s="1"/>
      <c r="J569" s="1"/>
      <c r="K569" s="1"/>
      <c r="P569" s="414"/>
      <c r="Q569" s="414"/>
      <c r="R569" s="414"/>
      <c r="S569" s="414"/>
      <c r="T569" s="414"/>
      <c r="U569" s="414"/>
    </row>
    <row r="570" spans="5:21" ht="15.6">
      <c r="E570" s="1"/>
      <c r="F570" s="1"/>
      <c r="G570" s="1"/>
      <c r="H570" s="1"/>
      <c r="I570" s="1"/>
      <c r="J570" s="1"/>
      <c r="K570" s="1"/>
      <c r="P570" s="414"/>
      <c r="Q570" s="414"/>
      <c r="R570" s="414"/>
      <c r="S570" s="414"/>
      <c r="T570" s="414"/>
      <c r="U570" s="414"/>
    </row>
    <row r="571" spans="5:21" ht="15.6">
      <c r="E571" s="1"/>
      <c r="F571" s="1"/>
      <c r="G571" s="1"/>
      <c r="H571" s="1"/>
      <c r="I571" s="1"/>
      <c r="J571" s="1"/>
      <c r="K571" s="1"/>
      <c r="P571" s="414"/>
      <c r="Q571" s="414"/>
      <c r="R571" s="414"/>
      <c r="S571" s="414"/>
      <c r="T571" s="414"/>
      <c r="U571" s="414"/>
    </row>
    <row r="572" spans="5:21" ht="15.6">
      <c r="E572" s="1"/>
      <c r="F572" s="1"/>
      <c r="G572" s="1"/>
      <c r="H572" s="1"/>
      <c r="I572" s="1"/>
      <c r="J572" s="1"/>
      <c r="K572" s="1"/>
      <c r="P572" s="414"/>
      <c r="Q572" s="414"/>
      <c r="R572" s="414"/>
      <c r="S572" s="414"/>
      <c r="T572" s="414"/>
      <c r="U572" s="414"/>
    </row>
    <row r="573" spans="5:21" ht="15.6">
      <c r="E573" s="1"/>
      <c r="F573" s="1"/>
      <c r="G573" s="1"/>
      <c r="H573" s="1"/>
      <c r="I573" s="1"/>
      <c r="J573" s="1"/>
      <c r="K573" s="1"/>
      <c r="P573" s="414"/>
      <c r="Q573" s="414"/>
      <c r="R573" s="414"/>
      <c r="S573" s="414"/>
      <c r="T573" s="414"/>
      <c r="U573" s="414"/>
    </row>
    <row r="574" spans="5:21" ht="15.6">
      <c r="E574" s="1"/>
      <c r="F574" s="1"/>
      <c r="G574" s="1"/>
      <c r="H574" s="1"/>
      <c r="I574" s="1"/>
      <c r="J574" s="1"/>
      <c r="K574" s="1"/>
      <c r="P574" s="414"/>
      <c r="Q574" s="414"/>
      <c r="R574" s="414"/>
      <c r="S574" s="414"/>
      <c r="T574" s="414"/>
      <c r="U574" s="414"/>
    </row>
    <row r="575" spans="5:21" ht="15.6">
      <c r="E575" s="1"/>
      <c r="F575" s="1"/>
      <c r="G575" s="1"/>
      <c r="H575" s="1"/>
      <c r="I575" s="1"/>
      <c r="J575" s="1"/>
      <c r="K575" s="1"/>
      <c r="P575" s="414"/>
      <c r="Q575" s="414"/>
      <c r="R575" s="414"/>
      <c r="S575" s="414"/>
      <c r="T575" s="414"/>
      <c r="U575" s="414"/>
    </row>
    <row r="576" spans="5:21" ht="15.6">
      <c r="E576" s="1"/>
      <c r="F576" s="1"/>
      <c r="G576" s="1"/>
      <c r="H576" s="1"/>
      <c r="I576" s="1"/>
      <c r="J576" s="1"/>
      <c r="K576" s="1"/>
      <c r="P576" s="414"/>
      <c r="Q576" s="414"/>
      <c r="R576" s="414"/>
      <c r="S576" s="414"/>
      <c r="T576" s="414"/>
      <c r="U576" s="414"/>
    </row>
    <row r="577" spans="5:21" ht="15.6">
      <c r="E577" s="1"/>
      <c r="F577" s="1"/>
      <c r="G577" s="1"/>
      <c r="H577" s="1"/>
      <c r="I577" s="1"/>
      <c r="J577" s="1"/>
      <c r="K577" s="1"/>
      <c r="P577" s="414"/>
      <c r="Q577" s="414"/>
      <c r="R577" s="414"/>
      <c r="S577" s="414"/>
      <c r="T577" s="414"/>
      <c r="U577" s="414"/>
    </row>
    <row r="578" spans="5:21" ht="15.6">
      <c r="E578" s="1"/>
      <c r="F578" s="1"/>
      <c r="G578" s="1"/>
      <c r="H578" s="1"/>
      <c r="I578" s="1"/>
      <c r="J578" s="1"/>
      <c r="K578" s="1"/>
      <c r="P578" s="414"/>
      <c r="Q578" s="414"/>
      <c r="R578" s="414"/>
      <c r="S578" s="414"/>
      <c r="T578" s="414"/>
      <c r="U578" s="414"/>
    </row>
    <row r="579" spans="5:21" ht="15.6">
      <c r="E579" s="1"/>
      <c r="F579" s="1"/>
      <c r="G579" s="1"/>
      <c r="H579" s="1"/>
      <c r="I579" s="1"/>
      <c r="J579" s="1"/>
      <c r="K579" s="1"/>
      <c r="P579" s="414"/>
      <c r="Q579" s="414"/>
      <c r="R579" s="414"/>
      <c r="S579" s="414"/>
      <c r="T579" s="414"/>
      <c r="U579" s="414"/>
    </row>
    <row r="580" spans="5:21" ht="15.6">
      <c r="E580" s="1"/>
      <c r="F580" s="1"/>
      <c r="G580" s="1"/>
      <c r="H580" s="1"/>
      <c r="I580" s="1"/>
      <c r="J580" s="1"/>
      <c r="K580" s="1"/>
      <c r="P580" s="414"/>
      <c r="Q580" s="414"/>
      <c r="R580" s="414"/>
      <c r="S580" s="414"/>
      <c r="T580" s="414"/>
      <c r="U580" s="414"/>
    </row>
    <row r="581" spans="5:21" ht="15.6">
      <c r="E581" s="1"/>
      <c r="F581" s="1"/>
      <c r="G581" s="1"/>
      <c r="H581" s="1"/>
      <c r="I581" s="1"/>
      <c r="J581" s="1"/>
      <c r="K581" s="1"/>
      <c r="P581" s="414"/>
      <c r="Q581" s="414"/>
      <c r="R581" s="414"/>
      <c r="S581" s="414"/>
      <c r="T581" s="414"/>
      <c r="U581" s="414"/>
    </row>
    <row r="582" spans="5:21" ht="15.6">
      <c r="E582" s="1"/>
      <c r="F582" s="1"/>
      <c r="G582" s="1"/>
      <c r="H582" s="1"/>
      <c r="I582" s="1"/>
      <c r="J582" s="1"/>
      <c r="K582" s="1"/>
      <c r="P582" s="414"/>
      <c r="Q582" s="414"/>
      <c r="R582" s="414"/>
      <c r="S582" s="414"/>
      <c r="T582" s="414"/>
      <c r="U582" s="414"/>
    </row>
    <row r="583" spans="5:21" ht="15.6">
      <c r="E583" s="1"/>
      <c r="F583" s="1"/>
      <c r="G583" s="1"/>
      <c r="H583" s="1"/>
      <c r="I583" s="1"/>
      <c r="J583" s="1"/>
      <c r="K583" s="1"/>
      <c r="P583" s="414"/>
      <c r="Q583" s="414"/>
      <c r="R583" s="414"/>
      <c r="S583" s="414"/>
      <c r="T583" s="414"/>
      <c r="U583" s="414"/>
    </row>
    <row r="584" spans="5:21" ht="15.6">
      <c r="E584" s="1"/>
      <c r="F584" s="1"/>
      <c r="G584" s="1"/>
      <c r="H584" s="1"/>
      <c r="I584" s="1"/>
      <c r="J584" s="1"/>
      <c r="K584" s="1"/>
      <c r="P584" s="414"/>
      <c r="Q584" s="414"/>
      <c r="R584" s="414"/>
      <c r="S584" s="414"/>
      <c r="T584" s="414"/>
      <c r="U584" s="414"/>
    </row>
    <row r="585" spans="5:21" ht="15.6">
      <c r="E585" s="1"/>
      <c r="F585" s="1"/>
      <c r="G585" s="1"/>
      <c r="H585" s="1"/>
      <c r="I585" s="1"/>
      <c r="J585" s="1"/>
      <c r="K585" s="1"/>
      <c r="P585" s="414"/>
      <c r="Q585" s="414"/>
      <c r="R585" s="414"/>
      <c r="S585" s="414"/>
      <c r="T585" s="414"/>
      <c r="U585" s="414"/>
    </row>
    <row r="586" spans="5:21" ht="15.6">
      <c r="E586" s="1"/>
      <c r="F586" s="1"/>
      <c r="G586" s="1"/>
      <c r="H586" s="1"/>
      <c r="I586" s="1"/>
      <c r="J586" s="1"/>
      <c r="K586" s="1"/>
      <c r="P586" s="414"/>
      <c r="Q586" s="414"/>
      <c r="R586" s="414"/>
      <c r="S586" s="414"/>
      <c r="T586" s="414"/>
      <c r="U586" s="414"/>
    </row>
    <row r="587" spans="5:21" ht="15.6">
      <c r="E587" s="1"/>
      <c r="F587" s="1"/>
      <c r="G587" s="1"/>
      <c r="H587" s="1"/>
      <c r="I587" s="1"/>
      <c r="J587" s="1"/>
      <c r="K587" s="1"/>
      <c r="P587" s="414"/>
      <c r="Q587" s="414"/>
      <c r="R587" s="414"/>
      <c r="S587" s="414"/>
      <c r="T587" s="414"/>
      <c r="U587" s="414"/>
    </row>
    <row r="588" spans="5:21" ht="15.6">
      <c r="E588" s="1"/>
      <c r="F588" s="1"/>
      <c r="G588" s="1"/>
      <c r="H588" s="1"/>
      <c r="I588" s="1"/>
      <c r="J588" s="1"/>
      <c r="K588" s="1"/>
      <c r="P588" s="414"/>
      <c r="Q588" s="414"/>
      <c r="R588" s="414"/>
      <c r="S588" s="414"/>
      <c r="T588" s="414"/>
      <c r="U588" s="414"/>
    </row>
    <row r="589" spans="5:21" ht="15.6">
      <c r="E589" s="1"/>
      <c r="F589" s="1"/>
      <c r="G589" s="1"/>
      <c r="H589" s="1"/>
      <c r="I589" s="1"/>
      <c r="J589" s="1"/>
      <c r="K589" s="1"/>
      <c r="P589" s="414"/>
      <c r="Q589" s="414"/>
      <c r="R589" s="414"/>
      <c r="S589" s="414"/>
      <c r="T589" s="414"/>
      <c r="U589" s="414"/>
    </row>
    <row r="590" spans="5:21" ht="15.6">
      <c r="E590" s="1"/>
      <c r="F590" s="1"/>
      <c r="G590" s="1"/>
      <c r="H590" s="1"/>
      <c r="I590" s="1"/>
      <c r="J590" s="1"/>
      <c r="K590" s="1"/>
      <c r="P590" s="414"/>
      <c r="Q590" s="414"/>
      <c r="R590" s="414"/>
      <c r="S590" s="414"/>
      <c r="T590" s="414"/>
      <c r="U590" s="414"/>
    </row>
    <row r="591" spans="5:21" ht="15.6">
      <c r="E591" s="1"/>
      <c r="F591" s="1"/>
      <c r="G591" s="1"/>
      <c r="H591" s="1"/>
      <c r="I591" s="1"/>
      <c r="J591" s="1"/>
      <c r="K591" s="1"/>
      <c r="P591" s="414"/>
      <c r="Q591" s="414"/>
      <c r="R591" s="414"/>
      <c r="S591" s="414"/>
      <c r="T591" s="414"/>
      <c r="U591" s="414"/>
    </row>
    <row r="592" spans="5:21" ht="15.6">
      <c r="E592" s="1"/>
      <c r="F592" s="1"/>
      <c r="G592" s="1"/>
      <c r="H592" s="1"/>
      <c r="I592" s="1"/>
      <c r="J592" s="1"/>
      <c r="K592" s="1"/>
      <c r="P592" s="414"/>
      <c r="Q592" s="414"/>
      <c r="R592" s="414"/>
      <c r="S592" s="414"/>
      <c r="T592" s="414"/>
      <c r="U592" s="414"/>
    </row>
    <row r="593" spans="5:21" ht="15.6">
      <c r="E593" s="1"/>
      <c r="F593" s="1"/>
      <c r="G593" s="1"/>
      <c r="H593" s="1"/>
      <c r="I593" s="1"/>
      <c r="J593" s="1"/>
      <c r="K593" s="1"/>
      <c r="P593" s="414"/>
      <c r="Q593" s="414"/>
      <c r="R593" s="414"/>
      <c r="S593" s="414"/>
      <c r="T593" s="414"/>
      <c r="U593" s="414"/>
    </row>
    <row r="594" spans="5:21" ht="15.6">
      <c r="E594" s="1"/>
      <c r="F594" s="1"/>
      <c r="G594" s="1"/>
      <c r="H594" s="1"/>
      <c r="I594" s="1"/>
      <c r="J594" s="1"/>
      <c r="K594" s="1"/>
      <c r="P594" s="414"/>
      <c r="Q594" s="414"/>
      <c r="R594" s="414"/>
      <c r="S594" s="414"/>
      <c r="T594" s="414"/>
      <c r="U594" s="414"/>
    </row>
    <row r="595" spans="5:21" ht="15.6">
      <c r="E595" s="1"/>
      <c r="F595" s="1"/>
      <c r="G595" s="1"/>
      <c r="H595" s="1"/>
      <c r="I595" s="1"/>
      <c r="J595" s="1"/>
      <c r="K595" s="1"/>
      <c r="P595" s="414"/>
      <c r="Q595" s="414"/>
      <c r="R595" s="414"/>
      <c r="S595" s="414"/>
      <c r="T595" s="414"/>
      <c r="U595" s="414"/>
    </row>
    <row r="596" spans="5:21" ht="15.6">
      <c r="E596" s="1"/>
      <c r="F596" s="1"/>
      <c r="G596" s="1"/>
      <c r="H596" s="1"/>
      <c r="I596" s="1"/>
      <c r="J596" s="1"/>
      <c r="K596" s="1"/>
      <c r="P596" s="414"/>
      <c r="Q596" s="414"/>
      <c r="R596" s="414"/>
      <c r="S596" s="414"/>
      <c r="T596" s="414"/>
      <c r="U596" s="414"/>
    </row>
    <row r="597" spans="5:21" ht="15.6">
      <c r="E597" s="1"/>
      <c r="F597" s="1"/>
      <c r="G597" s="1"/>
      <c r="H597" s="1"/>
      <c r="I597" s="1"/>
      <c r="J597" s="1"/>
      <c r="K597" s="1"/>
      <c r="P597" s="414"/>
      <c r="Q597" s="414"/>
      <c r="R597" s="414"/>
      <c r="S597" s="414"/>
      <c r="T597" s="414"/>
      <c r="U597" s="414"/>
    </row>
    <row r="598" spans="5:21" ht="15.6">
      <c r="E598" s="1"/>
      <c r="F598" s="1"/>
      <c r="G598" s="1"/>
      <c r="H598" s="1"/>
      <c r="I598" s="1"/>
      <c r="J598" s="1"/>
      <c r="K598" s="1"/>
      <c r="P598" s="414"/>
      <c r="Q598" s="414"/>
      <c r="R598" s="414"/>
      <c r="S598" s="414"/>
      <c r="T598" s="414"/>
      <c r="U598" s="414"/>
    </row>
    <row r="599" spans="5:21" ht="15.6">
      <c r="E599" s="1"/>
      <c r="F599" s="1"/>
      <c r="G599" s="1"/>
      <c r="H599" s="1"/>
      <c r="I599" s="1"/>
      <c r="J599" s="1"/>
      <c r="K599" s="1"/>
      <c r="P599" s="414"/>
      <c r="Q599" s="414"/>
      <c r="R599" s="414"/>
      <c r="S599" s="414"/>
      <c r="T599" s="414"/>
      <c r="U599" s="414"/>
    </row>
    <row r="600" spans="5:21" ht="15.6">
      <c r="E600" s="1"/>
      <c r="F600" s="1"/>
      <c r="G600" s="1"/>
      <c r="H600" s="1"/>
      <c r="I600" s="1"/>
      <c r="J600" s="1"/>
      <c r="K600" s="1"/>
      <c r="P600" s="414"/>
      <c r="Q600" s="414"/>
      <c r="R600" s="414"/>
      <c r="S600" s="414"/>
      <c r="T600" s="414"/>
      <c r="U600" s="414"/>
    </row>
    <row r="601" spans="5:21" ht="15.6">
      <c r="E601" s="1"/>
      <c r="F601" s="1"/>
      <c r="G601" s="1"/>
      <c r="H601" s="1"/>
      <c r="I601" s="1"/>
      <c r="J601" s="1"/>
      <c r="K601" s="1"/>
      <c r="P601" s="414"/>
      <c r="Q601" s="414"/>
      <c r="R601" s="414"/>
      <c r="S601" s="414"/>
      <c r="T601" s="414"/>
      <c r="U601" s="414"/>
    </row>
    <row r="602" spans="5:21" ht="15.6">
      <c r="E602" s="1"/>
      <c r="F602" s="1"/>
      <c r="G602" s="1"/>
      <c r="H602" s="1"/>
      <c r="I602" s="1"/>
      <c r="J602" s="1"/>
      <c r="K602" s="1"/>
      <c r="P602" s="414"/>
      <c r="Q602" s="414"/>
      <c r="R602" s="414"/>
      <c r="S602" s="414"/>
      <c r="T602" s="414"/>
      <c r="U602" s="414"/>
    </row>
    <row r="603" spans="5:21" ht="15.6">
      <c r="E603" s="1"/>
      <c r="F603" s="1"/>
      <c r="G603" s="1"/>
      <c r="H603" s="1"/>
      <c r="I603" s="1"/>
      <c r="J603" s="1"/>
      <c r="K603" s="1"/>
      <c r="P603" s="414"/>
      <c r="Q603" s="414"/>
      <c r="R603" s="414"/>
      <c r="S603" s="414"/>
      <c r="T603" s="414"/>
      <c r="U603" s="414"/>
    </row>
    <row r="604" spans="5:21" ht="15.6">
      <c r="E604" s="1"/>
      <c r="F604" s="1"/>
      <c r="G604" s="1"/>
      <c r="H604" s="1"/>
      <c r="I604" s="1"/>
      <c r="J604" s="1"/>
      <c r="K604" s="1"/>
      <c r="P604" s="414"/>
      <c r="Q604" s="414"/>
      <c r="R604" s="414"/>
      <c r="S604" s="414"/>
      <c r="T604" s="414"/>
      <c r="U604" s="414"/>
    </row>
    <row r="605" spans="5:21" ht="15.6">
      <c r="E605" s="1"/>
      <c r="F605" s="1"/>
      <c r="G605" s="1"/>
      <c r="H605" s="1"/>
      <c r="I605" s="1"/>
      <c r="J605" s="1"/>
      <c r="K605" s="1"/>
      <c r="P605" s="414"/>
      <c r="Q605" s="414"/>
      <c r="R605" s="414"/>
      <c r="S605" s="414"/>
      <c r="T605" s="414"/>
      <c r="U605" s="414"/>
    </row>
    <row r="606" spans="5:21" ht="15.6">
      <c r="E606" s="1"/>
      <c r="F606" s="1"/>
      <c r="G606" s="1"/>
      <c r="H606" s="1"/>
      <c r="I606" s="1"/>
      <c r="J606" s="1"/>
      <c r="K606" s="1"/>
      <c r="P606" s="414"/>
      <c r="Q606" s="414"/>
      <c r="R606" s="414"/>
      <c r="S606" s="414"/>
      <c r="T606" s="414"/>
      <c r="U606" s="414"/>
    </row>
    <row r="607" spans="5:21" ht="15.6">
      <c r="E607" s="1"/>
      <c r="F607" s="1"/>
      <c r="G607" s="1"/>
      <c r="H607" s="1"/>
      <c r="I607" s="1"/>
      <c r="J607" s="1"/>
      <c r="K607" s="1"/>
      <c r="P607" s="414"/>
      <c r="Q607" s="414"/>
      <c r="R607" s="414"/>
      <c r="S607" s="414"/>
      <c r="T607" s="414"/>
      <c r="U607" s="414"/>
    </row>
    <row r="608" spans="5:21" ht="15.6">
      <c r="E608" s="1"/>
      <c r="F608" s="1"/>
      <c r="G608" s="1"/>
      <c r="H608" s="1"/>
      <c r="I608" s="1"/>
      <c r="J608" s="1"/>
      <c r="K608" s="1"/>
      <c r="P608" s="414"/>
      <c r="Q608" s="414"/>
      <c r="R608" s="414"/>
      <c r="S608" s="414"/>
      <c r="T608" s="414"/>
      <c r="U608" s="414"/>
    </row>
    <row r="609" spans="5:21" ht="15.6">
      <c r="E609" s="1"/>
      <c r="F609" s="1"/>
      <c r="G609" s="1"/>
      <c r="H609" s="1"/>
      <c r="I609" s="1"/>
      <c r="J609" s="1"/>
      <c r="K609" s="1"/>
      <c r="P609" s="414"/>
      <c r="Q609" s="414"/>
      <c r="R609" s="414"/>
      <c r="S609" s="414"/>
      <c r="T609" s="414"/>
      <c r="U609" s="414"/>
    </row>
    <row r="610" spans="5:21" ht="15.6">
      <c r="E610" s="1"/>
      <c r="F610" s="1"/>
      <c r="G610" s="1"/>
      <c r="H610" s="1"/>
      <c r="I610" s="1"/>
      <c r="J610" s="1"/>
      <c r="K610" s="1"/>
      <c r="P610" s="414"/>
      <c r="Q610" s="414"/>
      <c r="R610" s="414"/>
      <c r="S610" s="414"/>
      <c r="T610" s="414"/>
      <c r="U610" s="414"/>
    </row>
    <row r="611" spans="5:21" ht="15.6">
      <c r="E611" s="1"/>
      <c r="F611" s="1"/>
      <c r="G611" s="1"/>
      <c r="H611" s="1"/>
      <c r="I611" s="1"/>
      <c r="J611" s="1"/>
      <c r="K611" s="1"/>
      <c r="P611" s="414"/>
      <c r="Q611" s="414"/>
      <c r="R611" s="414"/>
      <c r="S611" s="414"/>
      <c r="T611" s="414"/>
      <c r="U611" s="414"/>
    </row>
    <row r="612" spans="5:21" ht="15.6">
      <c r="E612" s="1"/>
      <c r="F612" s="1"/>
      <c r="G612" s="1"/>
      <c r="H612" s="1"/>
      <c r="I612" s="1"/>
      <c r="J612" s="1"/>
      <c r="K612" s="1"/>
      <c r="P612" s="414"/>
      <c r="Q612" s="414"/>
      <c r="R612" s="414"/>
      <c r="S612" s="414"/>
      <c r="T612" s="414"/>
      <c r="U612" s="414"/>
    </row>
    <row r="613" spans="5:21" ht="15.6">
      <c r="E613" s="1"/>
      <c r="F613" s="1"/>
      <c r="G613" s="1"/>
      <c r="H613" s="1"/>
      <c r="I613" s="1"/>
      <c r="J613" s="1"/>
      <c r="K613" s="1"/>
      <c r="P613" s="414"/>
      <c r="Q613" s="414"/>
      <c r="R613" s="414"/>
      <c r="S613" s="414"/>
      <c r="T613" s="414"/>
      <c r="U613" s="414"/>
    </row>
    <row r="614" spans="5:21" ht="15.6">
      <c r="E614" s="1"/>
      <c r="F614" s="1"/>
      <c r="G614" s="1"/>
      <c r="H614" s="1"/>
      <c r="I614" s="1"/>
      <c r="J614" s="1"/>
      <c r="K614" s="1"/>
      <c r="P614" s="414"/>
      <c r="Q614" s="414"/>
      <c r="R614" s="414"/>
      <c r="S614" s="414"/>
      <c r="T614" s="414"/>
      <c r="U614" s="414"/>
    </row>
    <row r="615" spans="5:21" ht="15.6">
      <c r="E615" s="1"/>
      <c r="F615" s="1"/>
      <c r="G615" s="1"/>
      <c r="H615" s="1"/>
      <c r="I615" s="1"/>
      <c r="J615" s="1"/>
      <c r="K615" s="1"/>
      <c r="P615" s="414"/>
      <c r="Q615" s="414"/>
      <c r="R615" s="414"/>
      <c r="S615" s="414"/>
      <c r="T615" s="414"/>
      <c r="U615" s="414"/>
    </row>
    <row r="616" spans="5:21" ht="15.6">
      <c r="E616" s="1"/>
      <c r="F616" s="1"/>
      <c r="G616" s="1"/>
      <c r="H616" s="1"/>
      <c r="I616" s="1"/>
      <c r="J616" s="1"/>
      <c r="K616" s="1"/>
      <c r="P616" s="414"/>
      <c r="Q616" s="414"/>
      <c r="R616" s="414"/>
      <c r="S616" s="414"/>
      <c r="T616" s="414"/>
      <c r="U616" s="414"/>
    </row>
    <row r="617" spans="5:21" ht="15.6">
      <c r="E617" s="1"/>
      <c r="F617" s="1"/>
      <c r="G617" s="1"/>
      <c r="H617" s="1"/>
      <c r="I617" s="1"/>
      <c r="J617" s="1"/>
      <c r="K617" s="1"/>
      <c r="P617" s="414"/>
      <c r="Q617" s="414"/>
      <c r="R617" s="414"/>
      <c r="S617" s="414"/>
      <c r="T617" s="414"/>
      <c r="U617" s="414"/>
    </row>
    <row r="618" spans="5:21" ht="15.6">
      <c r="E618" s="1"/>
      <c r="F618" s="1"/>
      <c r="G618" s="1"/>
      <c r="H618" s="1"/>
      <c r="I618" s="1"/>
      <c r="J618" s="1"/>
      <c r="K618" s="1"/>
      <c r="P618" s="414"/>
      <c r="Q618" s="414"/>
      <c r="R618" s="414"/>
      <c r="S618" s="414"/>
      <c r="T618" s="414"/>
      <c r="U618" s="414"/>
    </row>
    <row r="619" spans="5:21" ht="15.6">
      <c r="E619" s="1"/>
      <c r="F619" s="1"/>
      <c r="G619" s="1"/>
      <c r="H619" s="1"/>
      <c r="I619" s="1"/>
      <c r="J619" s="1"/>
      <c r="K619" s="1"/>
      <c r="P619" s="414"/>
      <c r="Q619" s="414"/>
      <c r="R619" s="414"/>
      <c r="S619" s="414"/>
      <c r="T619" s="414"/>
      <c r="U619" s="414"/>
    </row>
    <row r="620" spans="5:21" ht="15.6">
      <c r="E620" s="1"/>
      <c r="F620" s="1"/>
      <c r="G620" s="1"/>
      <c r="H620" s="1"/>
      <c r="I620" s="1"/>
      <c r="J620" s="1"/>
      <c r="K620" s="1"/>
      <c r="P620" s="414"/>
      <c r="Q620" s="414"/>
      <c r="R620" s="414"/>
      <c r="S620" s="414"/>
      <c r="T620" s="414"/>
      <c r="U620" s="414"/>
    </row>
    <row r="621" spans="5:21" ht="15.6">
      <c r="E621" s="1"/>
      <c r="F621" s="1"/>
      <c r="G621" s="1"/>
      <c r="H621" s="1"/>
      <c r="I621" s="1"/>
      <c r="J621" s="1"/>
      <c r="K621" s="1"/>
      <c r="P621" s="414"/>
      <c r="Q621" s="414"/>
      <c r="R621" s="414"/>
      <c r="S621" s="414"/>
      <c r="T621" s="414"/>
      <c r="U621" s="414"/>
    </row>
    <row r="622" spans="5:21" ht="15.6">
      <c r="E622" s="1"/>
      <c r="F622" s="1"/>
      <c r="G622" s="1"/>
      <c r="H622" s="1"/>
      <c r="I622" s="1"/>
      <c r="J622" s="1"/>
      <c r="K622" s="1"/>
      <c r="P622" s="414"/>
      <c r="Q622" s="414"/>
      <c r="R622" s="414"/>
      <c r="S622" s="414"/>
      <c r="T622" s="414"/>
      <c r="U622" s="414"/>
    </row>
    <row r="623" spans="5:21" ht="15.6">
      <c r="E623" s="1"/>
      <c r="F623" s="1"/>
      <c r="G623" s="1"/>
      <c r="H623" s="1"/>
      <c r="I623" s="1"/>
      <c r="J623" s="1"/>
      <c r="K623" s="1"/>
      <c r="P623" s="414"/>
      <c r="Q623" s="414"/>
      <c r="R623" s="414"/>
      <c r="S623" s="414"/>
      <c r="T623" s="414"/>
      <c r="U623" s="414"/>
    </row>
    <row r="624" spans="5:21" ht="15.6">
      <c r="E624" s="1"/>
      <c r="F624" s="1"/>
      <c r="G624" s="1"/>
      <c r="H624" s="1"/>
      <c r="I624" s="1"/>
      <c r="J624" s="1"/>
      <c r="K624" s="1"/>
      <c r="P624" s="414"/>
      <c r="Q624" s="414"/>
      <c r="R624" s="414"/>
      <c r="S624" s="414"/>
      <c r="T624" s="414"/>
      <c r="U624" s="414"/>
    </row>
    <row r="625" spans="5:21" ht="15.6">
      <c r="E625" s="1"/>
      <c r="F625" s="1"/>
      <c r="G625" s="1"/>
      <c r="H625" s="1"/>
      <c r="I625" s="1"/>
      <c r="J625" s="1"/>
      <c r="K625" s="1"/>
      <c r="P625" s="414"/>
      <c r="Q625" s="414"/>
      <c r="R625" s="414"/>
      <c r="S625" s="414"/>
      <c r="T625" s="414"/>
      <c r="U625" s="414"/>
    </row>
    <row r="626" spans="5:21" ht="15.6">
      <c r="E626" s="1"/>
      <c r="F626" s="1"/>
      <c r="G626" s="1"/>
      <c r="H626" s="1"/>
      <c r="I626" s="1"/>
      <c r="J626" s="1"/>
      <c r="K626" s="1"/>
      <c r="P626" s="414"/>
      <c r="Q626" s="414"/>
      <c r="R626" s="414"/>
      <c r="S626" s="414"/>
      <c r="T626" s="414"/>
      <c r="U626" s="414"/>
    </row>
    <row r="627" spans="5:21" ht="15.6">
      <c r="E627" s="1"/>
      <c r="F627" s="1"/>
      <c r="G627" s="1"/>
      <c r="H627" s="1"/>
      <c r="I627" s="1"/>
      <c r="J627" s="1"/>
      <c r="K627" s="1"/>
      <c r="P627" s="414"/>
      <c r="Q627" s="414"/>
      <c r="R627" s="414"/>
      <c r="S627" s="414"/>
      <c r="T627" s="414"/>
      <c r="U627" s="414"/>
    </row>
    <row r="628" spans="5:21" ht="15.6">
      <c r="E628" s="1"/>
      <c r="F628" s="1"/>
      <c r="G628" s="1"/>
      <c r="H628" s="1"/>
      <c r="I628" s="1"/>
      <c r="J628" s="1"/>
      <c r="K628" s="1"/>
      <c r="P628" s="414"/>
      <c r="Q628" s="414"/>
      <c r="R628" s="414"/>
      <c r="S628" s="414"/>
      <c r="T628" s="414"/>
      <c r="U628" s="414"/>
    </row>
    <row r="629" spans="5:21" ht="15.6">
      <c r="E629" s="1"/>
      <c r="F629" s="1"/>
      <c r="G629" s="1"/>
      <c r="H629" s="1"/>
      <c r="I629" s="1"/>
      <c r="J629" s="1"/>
      <c r="K629" s="1"/>
      <c r="P629" s="414"/>
      <c r="Q629" s="414"/>
      <c r="R629" s="414"/>
      <c r="S629" s="414"/>
      <c r="T629" s="414"/>
      <c r="U629" s="414"/>
    </row>
    <row r="630" spans="5:21" ht="15.6">
      <c r="E630" s="1"/>
      <c r="F630" s="1"/>
      <c r="G630" s="1"/>
      <c r="H630" s="1"/>
      <c r="I630" s="1"/>
      <c r="J630" s="1"/>
      <c r="K630" s="1"/>
      <c r="P630" s="414"/>
      <c r="Q630" s="414"/>
      <c r="R630" s="414"/>
      <c r="S630" s="414"/>
      <c r="T630" s="414"/>
      <c r="U630" s="414"/>
    </row>
    <row r="631" spans="5:21" ht="15.6">
      <c r="E631" s="1"/>
      <c r="F631" s="1"/>
      <c r="G631" s="1"/>
      <c r="H631" s="1"/>
      <c r="I631" s="1"/>
      <c r="J631" s="1"/>
      <c r="K631" s="1"/>
      <c r="P631" s="414"/>
      <c r="Q631" s="414"/>
      <c r="R631" s="414"/>
      <c r="S631" s="414"/>
      <c r="T631" s="414"/>
      <c r="U631" s="414"/>
    </row>
    <row r="632" spans="5:21" ht="15.6">
      <c r="E632" s="1"/>
      <c r="F632" s="1"/>
      <c r="G632" s="1"/>
      <c r="H632" s="1"/>
      <c r="I632" s="1"/>
      <c r="J632" s="1"/>
      <c r="K632" s="1"/>
      <c r="P632" s="414"/>
      <c r="Q632" s="414"/>
      <c r="R632" s="414"/>
      <c r="S632" s="414"/>
      <c r="T632" s="414"/>
      <c r="U632" s="414"/>
    </row>
    <row r="633" spans="5:21" ht="15.6">
      <c r="E633" s="1"/>
      <c r="F633" s="1"/>
      <c r="G633" s="1"/>
      <c r="H633" s="1"/>
      <c r="I633" s="1"/>
      <c r="J633" s="1"/>
      <c r="K633" s="1"/>
      <c r="P633" s="414"/>
      <c r="Q633" s="414"/>
      <c r="R633" s="414"/>
      <c r="S633" s="414"/>
      <c r="T633" s="414"/>
      <c r="U633" s="414"/>
    </row>
    <row r="634" spans="5:21" ht="15.6">
      <c r="E634" s="1"/>
      <c r="F634" s="1"/>
      <c r="G634" s="1"/>
      <c r="H634" s="1"/>
      <c r="I634" s="1"/>
      <c r="J634" s="1"/>
      <c r="K634" s="1"/>
      <c r="P634" s="414"/>
      <c r="Q634" s="414"/>
      <c r="R634" s="414"/>
      <c r="S634" s="414"/>
      <c r="T634" s="414"/>
      <c r="U634" s="414"/>
    </row>
    <row r="635" spans="5:21" ht="15.6">
      <c r="E635" s="1"/>
      <c r="F635" s="1"/>
      <c r="G635" s="1"/>
      <c r="H635" s="1"/>
      <c r="I635" s="1"/>
      <c r="J635" s="1"/>
      <c r="K635" s="1"/>
      <c r="P635" s="414"/>
      <c r="Q635" s="414"/>
      <c r="R635" s="414"/>
      <c r="S635" s="414"/>
      <c r="T635" s="414"/>
      <c r="U635" s="414"/>
    </row>
    <row r="636" spans="5:21" ht="15.6">
      <c r="E636" s="1"/>
      <c r="F636" s="1"/>
      <c r="G636" s="1"/>
      <c r="H636" s="1"/>
      <c r="I636" s="1"/>
      <c r="J636" s="1"/>
      <c r="K636" s="1"/>
      <c r="P636" s="414"/>
      <c r="Q636" s="414"/>
      <c r="R636" s="414"/>
      <c r="S636" s="414"/>
      <c r="T636" s="414"/>
      <c r="U636" s="414"/>
    </row>
    <row r="637" spans="5:21" ht="15.6">
      <c r="E637" s="1"/>
      <c r="F637" s="1"/>
      <c r="G637" s="1"/>
      <c r="H637" s="1"/>
      <c r="I637" s="1"/>
      <c r="J637" s="1"/>
      <c r="K637" s="1"/>
      <c r="P637" s="414"/>
      <c r="Q637" s="414"/>
      <c r="R637" s="414"/>
      <c r="S637" s="414"/>
      <c r="T637" s="414"/>
      <c r="U637" s="414"/>
    </row>
    <row r="638" spans="5:21" ht="15.6">
      <c r="E638" s="1"/>
      <c r="F638" s="1"/>
      <c r="G638" s="1"/>
      <c r="H638" s="1"/>
      <c r="I638" s="1"/>
      <c r="J638" s="1"/>
      <c r="K638" s="1"/>
      <c r="P638" s="414"/>
      <c r="Q638" s="414"/>
      <c r="R638" s="414"/>
      <c r="S638" s="414"/>
      <c r="T638" s="414"/>
      <c r="U638" s="414"/>
    </row>
    <row r="639" spans="5:21" ht="15.6">
      <c r="E639" s="1"/>
      <c r="F639" s="1"/>
      <c r="G639" s="1"/>
      <c r="H639" s="1"/>
      <c r="I639" s="1"/>
      <c r="J639" s="1"/>
      <c r="K639" s="1"/>
      <c r="P639" s="414"/>
      <c r="Q639" s="414"/>
      <c r="R639" s="414"/>
      <c r="S639" s="414"/>
      <c r="T639" s="414"/>
      <c r="U639" s="414"/>
    </row>
    <row r="640" spans="5:21" ht="15.6">
      <c r="E640" s="1"/>
      <c r="F640" s="1"/>
      <c r="G640" s="1"/>
      <c r="H640" s="1"/>
      <c r="I640" s="1"/>
      <c r="J640" s="1"/>
      <c r="K640" s="1"/>
      <c r="P640" s="414"/>
      <c r="Q640" s="414"/>
      <c r="R640" s="414"/>
      <c r="S640" s="414"/>
      <c r="T640" s="414"/>
      <c r="U640" s="414"/>
    </row>
    <row r="641" spans="5:21" ht="15.6">
      <c r="E641" s="1"/>
      <c r="F641" s="1"/>
      <c r="G641" s="1"/>
      <c r="H641" s="1"/>
      <c r="I641" s="1"/>
      <c r="J641" s="1"/>
      <c r="K641" s="1"/>
      <c r="P641" s="414"/>
      <c r="Q641" s="414"/>
      <c r="R641" s="414"/>
      <c r="S641" s="414"/>
      <c r="T641" s="414"/>
      <c r="U641" s="414"/>
    </row>
    <row r="642" spans="5:21" ht="15.6">
      <c r="E642" s="1"/>
      <c r="F642" s="1"/>
      <c r="G642" s="1"/>
      <c r="H642" s="1"/>
      <c r="I642" s="1"/>
      <c r="J642" s="1"/>
      <c r="K642" s="1"/>
      <c r="P642" s="414"/>
      <c r="Q642" s="414"/>
      <c r="R642" s="414"/>
      <c r="S642" s="414"/>
      <c r="T642" s="414"/>
      <c r="U642" s="414"/>
    </row>
    <row r="643" spans="5:21" ht="15.6">
      <c r="E643" s="1"/>
      <c r="F643" s="1"/>
      <c r="G643" s="1"/>
      <c r="H643" s="1"/>
      <c r="I643" s="1"/>
      <c r="J643" s="1"/>
      <c r="K643" s="1"/>
      <c r="P643" s="414"/>
      <c r="Q643" s="414"/>
      <c r="R643" s="414"/>
      <c r="S643" s="414"/>
      <c r="T643" s="414"/>
      <c r="U643" s="414"/>
    </row>
    <row r="644" spans="5:21" ht="15.6">
      <c r="E644" s="1"/>
      <c r="F644" s="1"/>
      <c r="G644" s="1"/>
      <c r="H644" s="1"/>
      <c r="I644" s="1"/>
      <c r="J644" s="1"/>
      <c r="K644" s="1"/>
      <c r="P644" s="414"/>
      <c r="Q644" s="414"/>
      <c r="R644" s="414"/>
      <c r="S644" s="414"/>
      <c r="T644" s="414"/>
      <c r="U644" s="414"/>
    </row>
    <row r="645" spans="5:21" ht="15.6">
      <c r="E645" s="1"/>
      <c r="F645" s="1"/>
      <c r="G645" s="1"/>
      <c r="H645" s="1"/>
      <c r="I645" s="1"/>
      <c r="J645" s="1"/>
      <c r="K645" s="1"/>
      <c r="P645" s="414"/>
      <c r="Q645" s="414"/>
      <c r="R645" s="414"/>
      <c r="S645" s="414"/>
      <c r="T645" s="414"/>
      <c r="U645" s="414"/>
    </row>
    <row r="646" spans="5:21" ht="15.6">
      <c r="E646" s="1"/>
      <c r="F646" s="1"/>
      <c r="G646" s="1"/>
      <c r="H646" s="1"/>
      <c r="I646" s="1"/>
      <c r="J646" s="1"/>
      <c r="K646" s="1"/>
      <c r="P646" s="414"/>
      <c r="Q646" s="414"/>
      <c r="R646" s="414"/>
      <c r="S646" s="414"/>
      <c r="T646" s="414"/>
      <c r="U646" s="414"/>
    </row>
    <row r="647" spans="5:21" ht="15.6">
      <c r="E647" s="1"/>
      <c r="F647" s="1"/>
      <c r="G647" s="1"/>
      <c r="H647" s="1"/>
      <c r="I647" s="1"/>
      <c r="J647" s="1"/>
      <c r="K647" s="1"/>
      <c r="P647" s="414"/>
      <c r="Q647" s="414"/>
      <c r="R647" s="414"/>
      <c r="S647" s="414"/>
      <c r="T647" s="414"/>
      <c r="U647" s="414"/>
    </row>
    <row r="648" spans="5:21" ht="15.6">
      <c r="E648" s="1"/>
      <c r="F648" s="1"/>
      <c r="G648" s="1"/>
      <c r="H648" s="1"/>
      <c r="I648" s="1"/>
      <c r="J648" s="1"/>
      <c r="K648" s="1"/>
      <c r="P648" s="414"/>
      <c r="Q648" s="414"/>
      <c r="R648" s="414"/>
      <c r="S648" s="414"/>
      <c r="T648" s="414"/>
      <c r="U648" s="414"/>
    </row>
    <row r="649" spans="5:21" ht="15.6">
      <c r="E649" s="1"/>
      <c r="F649" s="1"/>
      <c r="G649" s="1"/>
      <c r="H649" s="1"/>
      <c r="I649" s="1"/>
      <c r="J649" s="1"/>
      <c r="K649" s="1"/>
      <c r="P649" s="414"/>
      <c r="Q649" s="414"/>
      <c r="R649" s="414"/>
      <c r="S649" s="414"/>
      <c r="T649" s="414"/>
      <c r="U649" s="414"/>
    </row>
    <row r="650" spans="5:21" ht="15.6">
      <c r="E650" s="1"/>
      <c r="F650" s="1"/>
      <c r="G650" s="1"/>
      <c r="H650" s="1"/>
      <c r="I650" s="1"/>
      <c r="J650" s="1"/>
      <c r="K650" s="1"/>
      <c r="P650" s="414"/>
      <c r="Q650" s="414"/>
      <c r="R650" s="414"/>
      <c r="S650" s="414"/>
      <c r="T650" s="414"/>
      <c r="U650" s="414"/>
    </row>
    <row r="651" spans="5:21" ht="15.6">
      <c r="E651" s="1"/>
      <c r="F651" s="1"/>
      <c r="G651" s="1"/>
      <c r="H651" s="1"/>
      <c r="I651" s="1"/>
      <c r="J651" s="1"/>
      <c r="K651" s="1"/>
      <c r="P651" s="414"/>
      <c r="Q651" s="414"/>
      <c r="R651" s="414"/>
      <c r="S651" s="414"/>
      <c r="T651" s="414"/>
      <c r="U651" s="414"/>
    </row>
    <row r="652" spans="5:21" ht="15.6">
      <c r="E652" s="1"/>
      <c r="F652" s="1"/>
      <c r="G652" s="1"/>
      <c r="H652" s="1"/>
      <c r="I652" s="1"/>
      <c r="J652" s="1"/>
      <c r="K652" s="1"/>
      <c r="P652" s="414"/>
      <c r="Q652" s="414"/>
      <c r="R652" s="414"/>
      <c r="S652" s="414"/>
      <c r="T652" s="414"/>
      <c r="U652" s="414"/>
    </row>
    <row r="653" spans="5:21" ht="15.6">
      <c r="E653" s="1"/>
      <c r="F653" s="1"/>
      <c r="G653" s="1"/>
      <c r="H653" s="1"/>
      <c r="I653" s="1"/>
      <c r="J653" s="1"/>
      <c r="K653" s="1"/>
      <c r="P653" s="414"/>
      <c r="Q653" s="414"/>
      <c r="R653" s="414"/>
      <c r="S653" s="414"/>
      <c r="T653" s="414"/>
      <c r="U653" s="414"/>
    </row>
    <row r="654" spans="5:21" ht="15.6">
      <c r="E654" s="1"/>
      <c r="F654" s="1"/>
      <c r="G654" s="1"/>
      <c r="H654" s="1"/>
      <c r="I654" s="1"/>
      <c r="J654" s="1"/>
      <c r="K654" s="1"/>
      <c r="P654" s="414"/>
      <c r="Q654" s="414"/>
      <c r="R654" s="414"/>
      <c r="S654" s="414"/>
      <c r="T654" s="414"/>
      <c r="U654" s="414"/>
    </row>
    <row r="655" spans="5:21" ht="15.6">
      <c r="E655" s="1"/>
      <c r="F655" s="1"/>
      <c r="G655" s="1"/>
      <c r="H655" s="1"/>
      <c r="I655" s="1"/>
      <c r="J655" s="1"/>
      <c r="K655" s="1"/>
      <c r="P655" s="414"/>
      <c r="Q655" s="414"/>
      <c r="R655" s="414"/>
      <c r="S655" s="414"/>
      <c r="T655" s="414"/>
      <c r="U655" s="414"/>
    </row>
    <row r="656" spans="5:21" ht="15.6">
      <c r="E656" s="1"/>
      <c r="F656" s="1"/>
      <c r="G656" s="1"/>
      <c r="H656" s="1"/>
      <c r="I656" s="1"/>
      <c r="J656" s="1"/>
      <c r="K656" s="1"/>
      <c r="P656" s="414"/>
      <c r="Q656" s="414"/>
      <c r="R656" s="414"/>
      <c r="S656" s="414"/>
      <c r="T656" s="414"/>
      <c r="U656" s="414"/>
    </row>
    <row r="657" spans="5:21" ht="15.6">
      <c r="E657" s="1"/>
      <c r="F657" s="1"/>
      <c r="G657" s="1"/>
      <c r="H657" s="1"/>
      <c r="I657" s="1"/>
      <c r="J657" s="1"/>
      <c r="K657" s="1"/>
      <c r="P657" s="414"/>
      <c r="Q657" s="414"/>
      <c r="R657" s="414"/>
      <c r="S657" s="414"/>
      <c r="T657" s="414"/>
      <c r="U657" s="414"/>
    </row>
    <row r="658" spans="5:21" ht="15.6">
      <c r="E658" s="1"/>
      <c r="F658" s="1"/>
      <c r="G658" s="1"/>
      <c r="H658" s="1"/>
      <c r="I658" s="1"/>
      <c r="J658" s="1"/>
      <c r="K658" s="1"/>
      <c r="P658" s="414"/>
      <c r="Q658" s="414"/>
      <c r="R658" s="414"/>
      <c r="S658" s="414"/>
      <c r="T658" s="414"/>
      <c r="U658" s="414"/>
    </row>
    <row r="659" spans="5:21" ht="15.6">
      <c r="E659" s="1"/>
      <c r="F659" s="1"/>
      <c r="G659" s="1"/>
      <c r="H659" s="1"/>
      <c r="I659" s="1"/>
      <c r="J659" s="1"/>
      <c r="K659" s="1"/>
      <c r="P659" s="414"/>
      <c r="Q659" s="414"/>
      <c r="R659" s="414"/>
      <c r="S659" s="414"/>
      <c r="T659" s="414"/>
      <c r="U659" s="414"/>
    </row>
    <row r="660" spans="5:21" ht="15.6">
      <c r="E660" s="1"/>
      <c r="F660" s="1"/>
      <c r="G660" s="1"/>
      <c r="H660" s="1"/>
      <c r="I660" s="1"/>
      <c r="J660" s="1"/>
      <c r="K660" s="1"/>
      <c r="P660" s="414"/>
      <c r="Q660" s="414"/>
      <c r="R660" s="414"/>
      <c r="S660" s="414"/>
      <c r="T660" s="414"/>
      <c r="U660" s="414"/>
    </row>
    <row r="661" spans="5:21" ht="15.6">
      <c r="E661" s="1"/>
      <c r="F661" s="1"/>
      <c r="G661" s="1"/>
      <c r="H661" s="1"/>
      <c r="I661" s="1"/>
      <c r="J661" s="1"/>
      <c r="K661" s="1"/>
      <c r="P661" s="414"/>
      <c r="Q661" s="414"/>
      <c r="R661" s="414"/>
      <c r="S661" s="414"/>
      <c r="T661" s="414"/>
      <c r="U661" s="414"/>
    </row>
    <row r="662" spans="5:21" ht="15.6">
      <c r="E662" s="1"/>
      <c r="F662" s="1"/>
      <c r="G662" s="1"/>
      <c r="H662" s="1"/>
      <c r="I662" s="1"/>
      <c r="J662" s="1"/>
      <c r="K662" s="1"/>
      <c r="P662" s="414"/>
      <c r="Q662" s="414"/>
      <c r="R662" s="414"/>
      <c r="S662" s="414"/>
      <c r="T662" s="414"/>
      <c r="U662" s="414"/>
    </row>
    <row r="663" spans="5:21" ht="15.6">
      <c r="E663" s="1"/>
      <c r="F663" s="1"/>
      <c r="G663" s="1"/>
      <c r="H663" s="1"/>
      <c r="I663" s="1"/>
      <c r="J663" s="1"/>
      <c r="K663" s="1"/>
      <c r="P663" s="414"/>
      <c r="Q663" s="414"/>
      <c r="R663" s="414"/>
      <c r="S663" s="414"/>
      <c r="T663" s="414"/>
      <c r="U663" s="414"/>
    </row>
    <row r="664" spans="5:21" ht="15.6">
      <c r="E664" s="1"/>
      <c r="F664" s="1"/>
      <c r="G664" s="1"/>
      <c r="H664" s="1"/>
      <c r="I664" s="1"/>
      <c r="J664" s="1"/>
      <c r="K664" s="1"/>
      <c r="P664" s="414"/>
      <c r="Q664" s="414"/>
      <c r="R664" s="414"/>
      <c r="S664" s="414"/>
      <c r="T664" s="414"/>
      <c r="U664" s="414"/>
    </row>
    <row r="665" spans="5:21" ht="15.6">
      <c r="E665" s="1"/>
      <c r="F665" s="1"/>
      <c r="G665" s="1"/>
      <c r="H665" s="1"/>
      <c r="I665" s="1"/>
      <c r="J665" s="1"/>
      <c r="K665" s="1"/>
      <c r="P665" s="414"/>
      <c r="Q665" s="414"/>
      <c r="R665" s="414"/>
      <c r="S665" s="414"/>
      <c r="T665" s="414"/>
      <c r="U665" s="414"/>
    </row>
    <row r="666" spans="5:21" ht="15.6">
      <c r="E666" s="1"/>
      <c r="F666" s="1"/>
      <c r="G666" s="1"/>
      <c r="H666" s="1"/>
      <c r="I666" s="1"/>
      <c r="J666" s="1"/>
      <c r="K666" s="1"/>
      <c r="P666" s="414"/>
      <c r="Q666" s="414"/>
      <c r="R666" s="414"/>
      <c r="S666" s="414"/>
      <c r="T666" s="414"/>
      <c r="U666" s="414"/>
    </row>
    <row r="667" spans="5:21" ht="15.6">
      <c r="E667" s="1"/>
      <c r="F667" s="1"/>
      <c r="G667" s="1"/>
      <c r="H667" s="1"/>
      <c r="I667" s="1"/>
      <c r="J667" s="1"/>
      <c r="K667" s="1"/>
      <c r="P667" s="414"/>
      <c r="Q667" s="414"/>
      <c r="R667" s="414"/>
      <c r="S667" s="414"/>
      <c r="T667" s="414"/>
      <c r="U667" s="414"/>
    </row>
    <row r="668" spans="5:21" ht="15.6">
      <c r="E668" s="1"/>
      <c r="F668" s="1"/>
      <c r="G668" s="1"/>
      <c r="H668" s="1"/>
      <c r="I668" s="1"/>
      <c r="J668" s="1"/>
      <c r="K668" s="1"/>
      <c r="P668" s="414"/>
      <c r="Q668" s="414"/>
      <c r="R668" s="414"/>
      <c r="S668" s="414"/>
      <c r="T668" s="414"/>
      <c r="U668" s="414"/>
    </row>
    <row r="669" spans="5:21" ht="15.6">
      <c r="E669" s="1"/>
      <c r="F669" s="1"/>
      <c r="G669" s="1"/>
      <c r="H669" s="1"/>
      <c r="I669" s="1"/>
      <c r="J669" s="1"/>
      <c r="K669" s="1"/>
      <c r="P669" s="414"/>
      <c r="Q669" s="414"/>
      <c r="R669" s="414"/>
      <c r="S669" s="414"/>
      <c r="T669" s="414"/>
      <c r="U669" s="414"/>
    </row>
    <row r="670" spans="5:21" ht="15.6">
      <c r="E670" s="1"/>
      <c r="F670" s="1"/>
      <c r="G670" s="1"/>
      <c r="H670" s="1"/>
      <c r="I670" s="1"/>
      <c r="J670" s="1"/>
      <c r="K670" s="1"/>
      <c r="P670" s="414"/>
      <c r="Q670" s="414"/>
      <c r="R670" s="414"/>
      <c r="S670" s="414"/>
      <c r="T670" s="414"/>
      <c r="U670" s="414"/>
    </row>
    <row r="671" spans="5:21" ht="15.6">
      <c r="E671" s="1"/>
      <c r="F671" s="1"/>
      <c r="G671" s="1"/>
      <c r="H671" s="1"/>
      <c r="I671" s="1"/>
      <c r="J671" s="1"/>
      <c r="K671" s="1"/>
      <c r="P671" s="414"/>
      <c r="Q671" s="414"/>
      <c r="R671" s="414"/>
      <c r="S671" s="414"/>
      <c r="T671" s="414"/>
      <c r="U671" s="414"/>
    </row>
    <row r="672" spans="5:21" ht="15.6">
      <c r="E672" s="1"/>
      <c r="F672" s="1"/>
      <c r="G672" s="1"/>
      <c r="H672" s="1"/>
      <c r="I672" s="1"/>
      <c r="J672" s="1"/>
      <c r="K672" s="1"/>
      <c r="P672" s="414"/>
      <c r="Q672" s="414"/>
      <c r="R672" s="414"/>
      <c r="S672" s="414"/>
      <c r="T672" s="414"/>
      <c r="U672" s="414"/>
    </row>
    <row r="673" spans="5:21" ht="15.6">
      <c r="E673" s="1"/>
      <c r="F673" s="1"/>
      <c r="G673" s="1"/>
      <c r="H673" s="1"/>
      <c r="I673" s="1"/>
      <c r="J673" s="1"/>
      <c r="K673" s="1"/>
      <c r="P673" s="414"/>
      <c r="Q673" s="414"/>
      <c r="R673" s="414"/>
      <c r="S673" s="414"/>
      <c r="T673" s="414"/>
      <c r="U673" s="414"/>
    </row>
    <row r="674" spans="5:21" ht="15.6">
      <c r="E674" s="1"/>
      <c r="F674" s="1"/>
      <c r="G674" s="1"/>
      <c r="H674" s="1"/>
      <c r="I674" s="1"/>
      <c r="J674" s="1"/>
      <c r="K674" s="1"/>
      <c r="P674" s="414"/>
      <c r="Q674" s="414"/>
      <c r="R674" s="414"/>
      <c r="S674" s="414"/>
      <c r="T674" s="414"/>
      <c r="U674" s="414"/>
    </row>
    <row r="675" spans="5:21" ht="15.6">
      <c r="E675" s="1"/>
      <c r="F675" s="1"/>
      <c r="G675" s="1"/>
      <c r="H675" s="1"/>
      <c r="I675" s="1"/>
      <c r="J675" s="1"/>
      <c r="K675" s="1"/>
      <c r="P675" s="414"/>
      <c r="Q675" s="414"/>
      <c r="R675" s="414"/>
      <c r="S675" s="414"/>
      <c r="T675" s="414"/>
      <c r="U675" s="414"/>
    </row>
    <row r="676" spans="5:21" ht="15.6">
      <c r="E676" s="1"/>
      <c r="F676" s="1"/>
      <c r="G676" s="1"/>
      <c r="H676" s="1"/>
      <c r="I676" s="1"/>
      <c r="J676" s="1"/>
      <c r="K676" s="1"/>
      <c r="P676" s="414"/>
      <c r="Q676" s="414"/>
      <c r="R676" s="414"/>
      <c r="S676" s="414"/>
      <c r="T676" s="414"/>
      <c r="U676" s="414"/>
    </row>
    <row r="677" spans="5:21" ht="15.6">
      <c r="E677" s="1"/>
      <c r="F677" s="1"/>
      <c r="G677" s="1"/>
      <c r="H677" s="1"/>
      <c r="I677" s="1"/>
      <c r="J677" s="1"/>
      <c r="K677" s="1"/>
      <c r="P677" s="414"/>
      <c r="Q677" s="414"/>
      <c r="R677" s="414"/>
      <c r="S677" s="414"/>
      <c r="T677" s="414"/>
      <c r="U677" s="414"/>
    </row>
    <row r="678" spans="5:21" ht="15.6">
      <c r="E678" s="1"/>
      <c r="F678" s="1"/>
      <c r="G678" s="1"/>
      <c r="H678" s="1"/>
      <c r="I678" s="1"/>
      <c r="J678" s="1"/>
      <c r="K678" s="1"/>
      <c r="P678" s="414"/>
      <c r="Q678" s="414"/>
      <c r="R678" s="414"/>
      <c r="S678" s="414"/>
      <c r="T678" s="414"/>
      <c r="U678" s="414"/>
    </row>
    <row r="679" spans="5:21" ht="15.6">
      <c r="E679" s="1"/>
      <c r="F679" s="1"/>
      <c r="G679" s="1"/>
      <c r="H679" s="1"/>
      <c r="I679" s="1"/>
      <c r="J679" s="1"/>
      <c r="K679" s="1"/>
      <c r="P679" s="414"/>
      <c r="Q679" s="414"/>
      <c r="R679" s="414"/>
      <c r="S679" s="414"/>
      <c r="T679" s="414"/>
      <c r="U679" s="414"/>
    </row>
    <row r="680" spans="5:21" ht="15.6">
      <c r="E680" s="1"/>
      <c r="F680" s="1"/>
      <c r="G680" s="1"/>
      <c r="H680" s="1"/>
      <c r="I680" s="1"/>
      <c r="J680" s="1"/>
      <c r="K680" s="1"/>
      <c r="P680" s="414"/>
      <c r="Q680" s="414"/>
      <c r="R680" s="414"/>
      <c r="S680" s="414"/>
      <c r="T680" s="414"/>
      <c r="U680" s="414"/>
    </row>
    <row r="681" spans="5:21" ht="15.6">
      <c r="E681" s="1"/>
      <c r="F681" s="1"/>
      <c r="G681" s="1"/>
      <c r="H681" s="1"/>
      <c r="I681" s="1"/>
      <c r="J681" s="1"/>
      <c r="K681" s="1"/>
      <c r="P681" s="414"/>
      <c r="Q681" s="414"/>
      <c r="R681" s="414"/>
      <c r="S681" s="414"/>
      <c r="T681" s="414"/>
      <c r="U681" s="414"/>
    </row>
    <row r="682" spans="5:21" ht="15.6">
      <c r="E682" s="1"/>
      <c r="F682" s="1"/>
      <c r="G682" s="1"/>
      <c r="H682" s="1"/>
      <c r="I682" s="1"/>
      <c r="J682" s="1"/>
      <c r="K682" s="1"/>
      <c r="P682" s="414"/>
      <c r="Q682" s="414"/>
      <c r="R682" s="414"/>
      <c r="S682" s="414"/>
      <c r="T682" s="414"/>
      <c r="U682" s="414"/>
    </row>
    <row r="683" spans="5:21" ht="15.6">
      <c r="E683" s="1"/>
      <c r="F683" s="1"/>
      <c r="G683" s="1"/>
      <c r="H683" s="1"/>
      <c r="I683" s="1"/>
      <c r="J683" s="1"/>
      <c r="K683" s="1"/>
      <c r="P683" s="414"/>
      <c r="Q683" s="414"/>
      <c r="R683" s="414"/>
      <c r="S683" s="414"/>
      <c r="T683" s="414"/>
      <c r="U683" s="414"/>
    </row>
    <row r="684" spans="5:21" ht="15.6">
      <c r="E684" s="1"/>
      <c r="F684" s="1"/>
      <c r="G684" s="1"/>
      <c r="H684" s="1"/>
      <c r="I684" s="1"/>
      <c r="J684" s="1"/>
      <c r="K684" s="1"/>
      <c r="P684" s="414"/>
      <c r="Q684" s="414"/>
      <c r="R684" s="414"/>
      <c r="S684" s="414"/>
      <c r="T684" s="414"/>
      <c r="U684" s="414"/>
    </row>
    <row r="685" spans="5:21" ht="15.6">
      <c r="E685" s="1"/>
      <c r="F685" s="1"/>
      <c r="G685" s="1"/>
      <c r="H685" s="1"/>
      <c r="I685" s="1"/>
      <c r="J685" s="1"/>
      <c r="K685" s="1"/>
      <c r="P685" s="414"/>
      <c r="Q685" s="414"/>
      <c r="R685" s="414"/>
      <c r="S685" s="414"/>
      <c r="T685" s="414"/>
      <c r="U685" s="414"/>
    </row>
    <row r="686" spans="5:21" ht="15.6">
      <c r="E686" s="1"/>
      <c r="F686" s="1"/>
      <c r="G686" s="1"/>
      <c r="H686" s="1"/>
      <c r="I686" s="1"/>
      <c r="J686" s="1"/>
      <c r="K686" s="1"/>
      <c r="P686" s="414"/>
      <c r="Q686" s="414"/>
      <c r="R686" s="414"/>
      <c r="S686" s="414"/>
      <c r="T686" s="414"/>
      <c r="U686" s="414"/>
    </row>
    <row r="687" spans="5:21" ht="15.6">
      <c r="E687" s="1"/>
      <c r="F687" s="1"/>
      <c r="G687" s="1"/>
      <c r="H687" s="1"/>
      <c r="I687" s="1"/>
      <c r="J687" s="1"/>
      <c r="K687" s="1"/>
      <c r="P687" s="414"/>
      <c r="Q687" s="414"/>
      <c r="R687" s="414"/>
      <c r="S687" s="414"/>
      <c r="T687" s="414"/>
      <c r="U687" s="414"/>
    </row>
    <row r="688" spans="5:21" ht="15.6">
      <c r="E688" s="1"/>
      <c r="F688" s="1"/>
      <c r="G688" s="1"/>
      <c r="H688" s="1"/>
      <c r="I688" s="1"/>
      <c r="J688" s="1"/>
      <c r="K688" s="1"/>
      <c r="P688" s="414"/>
      <c r="Q688" s="414"/>
      <c r="R688" s="414"/>
      <c r="S688" s="414"/>
      <c r="T688" s="414"/>
      <c r="U688" s="414"/>
    </row>
    <row r="689" spans="5:21" ht="15.6">
      <c r="E689" s="1"/>
      <c r="F689" s="1"/>
      <c r="G689" s="1"/>
      <c r="H689" s="1"/>
      <c r="I689" s="1"/>
      <c r="J689" s="1"/>
      <c r="K689" s="1"/>
      <c r="P689" s="414"/>
      <c r="Q689" s="414"/>
      <c r="R689" s="414"/>
      <c r="S689" s="414"/>
      <c r="T689" s="414"/>
      <c r="U689" s="414"/>
    </row>
    <row r="690" spans="5:21" ht="15.6">
      <c r="E690" s="1"/>
      <c r="F690" s="1"/>
      <c r="G690" s="1"/>
      <c r="H690" s="1"/>
      <c r="I690" s="1"/>
      <c r="J690" s="1"/>
      <c r="K690" s="1"/>
      <c r="P690" s="414"/>
      <c r="Q690" s="414"/>
      <c r="R690" s="414"/>
      <c r="S690" s="414"/>
      <c r="T690" s="414"/>
      <c r="U690" s="414"/>
    </row>
    <row r="691" spans="5:21" ht="15.6">
      <c r="E691" s="1"/>
      <c r="F691" s="1"/>
      <c r="G691" s="1"/>
      <c r="H691" s="1"/>
      <c r="I691" s="1"/>
      <c r="J691" s="1"/>
      <c r="K691" s="1"/>
      <c r="P691" s="414"/>
      <c r="Q691" s="414"/>
      <c r="R691" s="414"/>
      <c r="S691" s="414"/>
      <c r="T691" s="414"/>
      <c r="U691" s="414"/>
    </row>
    <row r="692" spans="5:21" ht="15.6">
      <c r="E692" s="1"/>
      <c r="F692" s="1"/>
      <c r="G692" s="1"/>
      <c r="H692" s="1"/>
      <c r="I692" s="1"/>
      <c r="J692" s="1"/>
      <c r="K692" s="1"/>
      <c r="P692" s="414"/>
      <c r="Q692" s="414"/>
      <c r="R692" s="414"/>
      <c r="S692" s="414"/>
      <c r="T692" s="414"/>
      <c r="U692" s="414"/>
    </row>
    <row r="693" spans="5:21" ht="15.6">
      <c r="E693" s="1"/>
      <c r="F693" s="1"/>
      <c r="G693" s="1"/>
      <c r="H693" s="1"/>
      <c r="I693" s="1"/>
      <c r="J693" s="1"/>
      <c r="K693" s="1"/>
      <c r="P693" s="414"/>
      <c r="Q693" s="414"/>
      <c r="R693" s="414"/>
      <c r="S693" s="414"/>
      <c r="T693" s="414"/>
      <c r="U693" s="414"/>
    </row>
    <row r="694" spans="5:21" ht="15.6">
      <c r="E694" s="1"/>
      <c r="F694" s="1"/>
      <c r="G694" s="1"/>
      <c r="H694" s="1"/>
      <c r="I694" s="1"/>
      <c r="J694" s="1"/>
      <c r="K694" s="1"/>
      <c r="P694" s="414"/>
      <c r="Q694" s="414"/>
      <c r="R694" s="414"/>
      <c r="S694" s="414"/>
      <c r="T694" s="414"/>
      <c r="U694" s="414"/>
    </row>
    <row r="695" spans="5:21" ht="15.6">
      <c r="E695" s="1"/>
      <c r="F695" s="1"/>
      <c r="G695" s="1"/>
      <c r="H695" s="1"/>
      <c r="I695" s="1"/>
      <c r="J695" s="1"/>
      <c r="K695" s="1"/>
      <c r="P695" s="414"/>
      <c r="Q695" s="414"/>
      <c r="R695" s="414"/>
      <c r="S695" s="414"/>
      <c r="T695" s="414"/>
      <c r="U695" s="414"/>
    </row>
    <row r="696" spans="5:21" ht="15.6">
      <c r="E696" s="1"/>
      <c r="F696" s="1"/>
      <c r="G696" s="1"/>
      <c r="H696" s="1"/>
      <c r="I696" s="1"/>
      <c r="J696" s="1"/>
      <c r="K696" s="1"/>
      <c r="P696" s="414"/>
      <c r="Q696" s="414"/>
      <c r="R696" s="414"/>
      <c r="S696" s="414"/>
      <c r="T696" s="414"/>
      <c r="U696" s="414"/>
    </row>
    <row r="697" spans="5:21" ht="15.6">
      <c r="E697" s="1"/>
      <c r="F697" s="1"/>
      <c r="G697" s="1"/>
      <c r="H697" s="1"/>
      <c r="I697" s="1"/>
      <c r="J697" s="1"/>
      <c r="K697" s="1"/>
      <c r="P697" s="414"/>
      <c r="Q697" s="414"/>
      <c r="R697" s="414"/>
      <c r="S697" s="414"/>
      <c r="T697" s="414"/>
      <c r="U697" s="414"/>
    </row>
    <row r="698" spans="5:21" ht="15.6">
      <c r="E698" s="1"/>
      <c r="F698" s="1"/>
      <c r="G698" s="1"/>
      <c r="H698" s="1"/>
      <c r="I698" s="1"/>
      <c r="J698" s="1"/>
      <c r="K698" s="1"/>
      <c r="P698" s="414"/>
      <c r="Q698" s="414"/>
      <c r="R698" s="414"/>
      <c r="S698" s="414"/>
      <c r="T698" s="414"/>
      <c r="U698" s="414"/>
    </row>
    <row r="699" spans="5:21" ht="15.6">
      <c r="E699" s="1"/>
      <c r="F699" s="1"/>
      <c r="G699" s="1"/>
      <c r="H699" s="1"/>
      <c r="I699" s="1"/>
      <c r="J699" s="1"/>
      <c r="K699" s="1"/>
      <c r="P699" s="414"/>
      <c r="Q699" s="414"/>
      <c r="R699" s="414"/>
      <c r="S699" s="414"/>
      <c r="T699" s="414"/>
      <c r="U699" s="414"/>
    </row>
    <row r="700" spans="5:21" ht="15.6">
      <c r="E700" s="1"/>
      <c r="F700" s="1"/>
      <c r="G700" s="1"/>
      <c r="H700" s="1"/>
      <c r="I700" s="1"/>
      <c r="J700" s="1"/>
      <c r="K700" s="1"/>
      <c r="P700" s="414"/>
      <c r="Q700" s="414"/>
      <c r="R700" s="414"/>
      <c r="S700" s="414"/>
      <c r="T700" s="414"/>
      <c r="U700" s="414"/>
    </row>
    <row r="701" spans="5:21" ht="15.6">
      <c r="E701" s="1"/>
      <c r="F701" s="1"/>
      <c r="G701" s="1"/>
      <c r="H701" s="1"/>
      <c r="I701" s="1"/>
      <c r="J701" s="1"/>
      <c r="K701" s="1"/>
      <c r="P701" s="414"/>
      <c r="Q701" s="414"/>
      <c r="R701" s="414"/>
      <c r="S701" s="414"/>
      <c r="T701" s="414"/>
      <c r="U701" s="414"/>
    </row>
    <row r="702" spans="5:21" ht="15.6">
      <c r="E702" s="1"/>
      <c r="F702" s="1"/>
      <c r="G702" s="1"/>
      <c r="H702" s="1"/>
      <c r="I702" s="1"/>
      <c r="J702" s="1"/>
      <c r="K702" s="1"/>
      <c r="P702" s="414"/>
      <c r="Q702" s="414"/>
      <c r="R702" s="414"/>
      <c r="S702" s="414"/>
      <c r="T702" s="414"/>
      <c r="U702" s="414"/>
    </row>
    <row r="703" spans="5:21" ht="15.6">
      <c r="E703" s="1"/>
      <c r="F703" s="1"/>
      <c r="G703" s="1"/>
      <c r="H703" s="1"/>
      <c r="I703" s="1"/>
      <c r="J703" s="1"/>
      <c r="K703" s="1"/>
      <c r="P703" s="414"/>
      <c r="Q703" s="414"/>
      <c r="R703" s="414"/>
      <c r="S703" s="414"/>
      <c r="T703" s="414"/>
      <c r="U703" s="414"/>
    </row>
    <row r="704" spans="5:21" ht="15.6">
      <c r="E704" s="1"/>
      <c r="F704" s="1"/>
      <c r="G704" s="1"/>
      <c r="H704" s="1"/>
      <c r="I704" s="1"/>
      <c r="J704" s="1"/>
      <c r="K704" s="1"/>
      <c r="P704" s="414"/>
      <c r="Q704" s="414"/>
      <c r="R704" s="414"/>
      <c r="S704" s="414"/>
      <c r="T704" s="414"/>
      <c r="U704" s="414"/>
    </row>
    <row r="705" spans="5:21" ht="15.6">
      <c r="E705" s="1"/>
      <c r="F705" s="1"/>
      <c r="G705" s="1"/>
      <c r="H705" s="1"/>
      <c r="I705" s="1"/>
      <c r="J705" s="1"/>
      <c r="K705" s="1"/>
      <c r="P705" s="414"/>
      <c r="Q705" s="414"/>
      <c r="R705" s="414"/>
      <c r="S705" s="414"/>
      <c r="T705" s="414"/>
      <c r="U705" s="414"/>
    </row>
    <row r="706" spans="5:21" ht="15.6">
      <c r="E706" s="1"/>
      <c r="F706" s="1"/>
      <c r="G706" s="1"/>
      <c r="H706" s="1"/>
      <c r="I706" s="1"/>
      <c r="J706" s="1"/>
      <c r="K706" s="1"/>
      <c r="P706" s="414"/>
      <c r="Q706" s="414"/>
      <c r="R706" s="414"/>
      <c r="S706" s="414"/>
      <c r="T706" s="414"/>
      <c r="U706" s="414"/>
    </row>
    <row r="707" spans="5:21" ht="15.6">
      <c r="E707" s="1"/>
      <c r="F707" s="1"/>
      <c r="G707" s="1"/>
      <c r="H707" s="1"/>
      <c r="I707" s="1"/>
      <c r="J707" s="1"/>
      <c r="K707" s="1"/>
      <c r="P707" s="414"/>
      <c r="Q707" s="414"/>
      <c r="R707" s="414"/>
      <c r="S707" s="414"/>
      <c r="T707" s="414"/>
      <c r="U707" s="414"/>
    </row>
    <row r="708" spans="5:21" ht="15.6">
      <c r="E708" s="1"/>
      <c r="F708" s="1"/>
      <c r="G708" s="1"/>
      <c r="H708" s="1"/>
      <c r="I708" s="1"/>
      <c r="J708" s="1"/>
      <c r="K708" s="1"/>
      <c r="P708" s="414"/>
      <c r="Q708" s="414"/>
      <c r="R708" s="414"/>
      <c r="S708" s="414"/>
      <c r="T708" s="414"/>
      <c r="U708" s="414"/>
    </row>
    <row r="709" spans="5:21" ht="15.6">
      <c r="E709" s="1"/>
      <c r="F709" s="1"/>
      <c r="G709" s="1"/>
      <c r="H709" s="1"/>
      <c r="I709" s="1"/>
      <c r="J709" s="1"/>
      <c r="K709" s="1"/>
      <c r="P709" s="414"/>
      <c r="Q709" s="414"/>
      <c r="R709" s="414"/>
      <c r="S709" s="414"/>
      <c r="T709" s="414"/>
      <c r="U709" s="414"/>
    </row>
    <row r="710" spans="5:21" ht="15.6">
      <c r="E710" s="1"/>
      <c r="F710" s="1"/>
      <c r="G710" s="1"/>
      <c r="H710" s="1"/>
      <c r="I710" s="1"/>
      <c r="J710" s="1"/>
      <c r="K710" s="1"/>
      <c r="P710" s="414"/>
      <c r="Q710" s="414"/>
      <c r="R710" s="414"/>
      <c r="S710" s="414"/>
      <c r="T710" s="414"/>
      <c r="U710" s="414"/>
    </row>
    <row r="711" spans="5:21" ht="15.6">
      <c r="E711" s="1"/>
      <c r="F711" s="1"/>
      <c r="G711" s="1"/>
      <c r="H711" s="1"/>
      <c r="I711" s="1"/>
      <c r="J711" s="1"/>
      <c r="K711" s="1"/>
      <c r="P711" s="414"/>
      <c r="Q711" s="414"/>
      <c r="R711" s="414"/>
      <c r="S711" s="414"/>
      <c r="T711" s="414"/>
      <c r="U711" s="414"/>
    </row>
    <row r="712" spans="5:21" ht="15.6">
      <c r="E712" s="1"/>
      <c r="F712" s="1"/>
      <c r="G712" s="1"/>
      <c r="H712" s="1"/>
      <c r="I712" s="1"/>
      <c r="J712" s="1"/>
      <c r="K712" s="1"/>
      <c r="P712" s="414"/>
      <c r="Q712" s="414"/>
      <c r="R712" s="414"/>
      <c r="S712" s="414"/>
      <c r="T712" s="414"/>
      <c r="U712" s="414"/>
    </row>
    <row r="713" spans="5:21" ht="15.6">
      <c r="E713" s="1"/>
      <c r="F713" s="1"/>
      <c r="G713" s="1"/>
      <c r="H713" s="1"/>
      <c r="I713" s="1"/>
      <c r="J713" s="1"/>
      <c r="K713" s="1"/>
      <c r="P713" s="414"/>
      <c r="Q713" s="414"/>
      <c r="R713" s="414"/>
      <c r="S713" s="414"/>
      <c r="T713" s="414"/>
      <c r="U713" s="414"/>
    </row>
    <row r="714" spans="5:21" ht="15.6">
      <c r="E714" s="1"/>
      <c r="F714" s="1"/>
      <c r="G714" s="1"/>
      <c r="H714" s="1"/>
      <c r="I714" s="1"/>
      <c r="J714" s="1"/>
      <c r="K714" s="1"/>
      <c r="P714" s="414"/>
      <c r="Q714" s="414"/>
      <c r="R714" s="414"/>
      <c r="S714" s="414"/>
      <c r="T714" s="414"/>
      <c r="U714" s="414"/>
    </row>
    <row r="715" spans="5:21" ht="15.6">
      <c r="E715" s="1"/>
      <c r="F715" s="1"/>
      <c r="G715" s="1"/>
      <c r="H715" s="1"/>
      <c r="I715" s="1"/>
      <c r="J715" s="1"/>
      <c r="K715" s="1"/>
      <c r="P715" s="414"/>
      <c r="Q715" s="414"/>
      <c r="R715" s="414"/>
      <c r="S715" s="414"/>
      <c r="T715" s="414"/>
      <c r="U715" s="414"/>
    </row>
    <row r="716" spans="5:21" ht="15.6">
      <c r="E716" s="1"/>
      <c r="F716" s="1"/>
      <c r="G716" s="1"/>
      <c r="H716" s="1"/>
      <c r="I716" s="1"/>
      <c r="J716" s="1"/>
      <c r="K716" s="1"/>
      <c r="P716" s="414"/>
      <c r="Q716" s="414"/>
      <c r="R716" s="414"/>
      <c r="S716" s="414"/>
      <c r="T716" s="414"/>
      <c r="U716" s="414"/>
    </row>
    <row r="717" spans="5:21" ht="15.6">
      <c r="E717" s="1"/>
      <c r="F717" s="1"/>
      <c r="G717" s="1"/>
      <c r="H717" s="1"/>
      <c r="I717" s="1"/>
      <c r="J717" s="1"/>
      <c r="K717" s="1"/>
      <c r="P717" s="414"/>
      <c r="Q717" s="414"/>
      <c r="R717" s="414"/>
      <c r="S717" s="414"/>
      <c r="T717" s="414"/>
      <c r="U717" s="414"/>
    </row>
    <row r="718" spans="5:21" ht="15.6">
      <c r="E718" s="1"/>
      <c r="F718" s="1"/>
      <c r="G718" s="1"/>
      <c r="H718" s="1"/>
      <c r="I718" s="1"/>
      <c r="J718" s="1"/>
      <c r="K718" s="1"/>
      <c r="P718" s="414"/>
      <c r="Q718" s="414"/>
      <c r="R718" s="414"/>
      <c r="S718" s="414"/>
      <c r="T718" s="414"/>
      <c r="U718" s="414"/>
    </row>
    <row r="719" spans="5:21" ht="15.6">
      <c r="E719" s="1"/>
      <c r="F719" s="1"/>
      <c r="G719" s="1"/>
      <c r="H719" s="1"/>
      <c r="I719" s="1"/>
      <c r="J719" s="1"/>
      <c r="K719" s="1"/>
      <c r="P719" s="414"/>
      <c r="Q719" s="414"/>
      <c r="R719" s="414"/>
      <c r="S719" s="414"/>
      <c r="T719" s="414"/>
      <c r="U719" s="414"/>
    </row>
    <row r="720" spans="5:21" ht="15.6">
      <c r="E720" s="1"/>
      <c r="F720" s="1"/>
      <c r="G720" s="1"/>
      <c r="H720" s="1"/>
      <c r="I720" s="1"/>
      <c r="J720" s="1"/>
      <c r="K720" s="1"/>
      <c r="P720" s="414"/>
      <c r="Q720" s="414"/>
      <c r="R720" s="414"/>
      <c r="S720" s="414"/>
      <c r="T720" s="414"/>
      <c r="U720" s="414"/>
    </row>
    <row r="721" spans="5:21" ht="15.6">
      <c r="E721" s="1"/>
      <c r="F721" s="1"/>
      <c r="G721" s="1"/>
      <c r="H721" s="1"/>
      <c r="I721" s="1"/>
      <c r="J721" s="1"/>
      <c r="K721" s="1"/>
      <c r="P721" s="414"/>
      <c r="Q721" s="414"/>
      <c r="R721" s="414"/>
      <c r="S721" s="414"/>
      <c r="T721" s="414"/>
      <c r="U721" s="414"/>
    </row>
    <row r="722" spans="5:21" ht="15.6">
      <c r="E722" s="1"/>
      <c r="F722" s="1"/>
      <c r="G722" s="1"/>
      <c r="H722" s="1"/>
      <c r="I722" s="1"/>
      <c r="J722" s="1"/>
      <c r="K722" s="1"/>
      <c r="P722" s="414"/>
      <c r="Q722" s="414"/>
      <c r="R722" s="414"/>
      <c r="S722" s="414"/>
      <c r="T722" s="414"/>
      <c r="U722" s="414"/>
    </row>
    <row r="723" spans="5:21" ht="15.6">
      <c r="E723" s="1"/>
      <c r="F723" s="1"/>
      <c r="G723" s="1"/>
      <c r="H723" s="1"/>
      <c r="I723" s="1"/>
      <c r="J723" s="1"/>
      <c r="K723" s="1"/>
      <c r="P723" s="414"/>
      <c r="Q723" s="414"/>
      <c r="R723" s="414"/>
      <c r="S723" s="414"/>
      <c r="T723" s="414"/>
      <c r="U723" s="414"/>
    </row>
    <row r="724" spans="5:21" ht="15.6">
      <c r="E724" s="1"/>
      <c r="F724" s="1"/>
      <c r="G724" s="1"/>
      <c r="H724" s="1"/>
      <c r="I724" s="1"/>
      <c r="J724" s="1"/>
      <c r="K724" s="1"/>
      <c r="P724" s="414"/>
      <c r="Q724" s="414"/>
      <c r="R724" s="414"/>
      <c r="S724" s="414"/>
      <c r="T724" s="414"/>
      <c r="U724" s="414"/>
    </row>
    <row r="725" spans="5:21" ht="15.6">
      <c r="E725" s="1"/>
      <c r="F725" s="1"/>
      <c r="G725" s="1"/>
      <c r="H725" s="1"/>
      <c r="I725" s="1"/>
      <c r="J725" s="1"/>
      <c r="K725" s="1"/>
      <c r="P725" s="414"/>
      <c r="Q725" s="414"/>
      <c r="R725" s="414"/>
      <c r="S725" s="414"/>
      <c r="T725" s="414"/>
      <c r="U725" s="414"/>
    </row>
    <row r="726" spans="5:21" ht="15.6">
      <c r="E726" s="1"/>
      <c r="F726" s="1"/>
      <c r="G726" s="1"/>
      <c r="H726" s="1"/>
      <c r="I726" s="1"/>
      <c r="J726" s="1"/>
      <c r="K726" s="1"/>
      <c r="P726" s="414"/>
      <c r="Q726" s="414"/>
      <c r="R726" s="414"/>
      <c r="S726" s="414"/>
      <c r="T726" s="414"/>
      <c r="U726" s="414"/>
    </row>
    <row r="727" spans="5:21" ht="15.6">
      <c r="E727" s="1"/>
      <c r="F727" s="1"/>
      <c r="G727" s="1"/>
      <c r="H727" s="1"/>
      <c r="I727" s="1"/>
      <c r="J727" s="1"/>
      <c r="K727" s="1"/>
      <c r="P727" s="414"/>
      <c r="Q727" s="414"/>
      <c r="R727" s="414"/>
      <c r="S727" s="414"/>
      <c r="T727" s="414"/>
      <c r="U727" s="414"/>
    </row>
    <row r="728" spans="5:21" ht="15.6">
      <c r="E728" s="1"/>
      <c r="F728" s="1"/>
      <c r="G728" s="1"/>
      <c r="H728" s="1"/>
      <c r="I728" s="1"/>
      <c r="J728" s="1"/>
      <c r="K728" s="1"/>
      <c r="P728" s="414"/>
      <c r="Q728" s="414"/>
      <c r="R728" s="414"/>
      <c r="S728" s="414"/>
      <c r="T728" s="414"/>
      <c r="U728" s="414"/>
    </row>
    <row r="729" spans="5:21" ht="15.6">
      <c r="E729" s="1"/>
      <c r="F729" s="1"/>
      <c r="G729" s="1"/>
      <c r="H729" s="1"/>
      <c r="I729" s="1"/>
      <c r="J729" s="1"/>
      <c r="K729" s="1"/>
      <c r="P729" s="414"/>
      <c r="Q729" s="414"/>
      <c r="R729" s="414"/>
      <c r="S729" s="414"/>
      <c r="T729" s="414"/>
      <c r="U729" s="414"/>
    </row>
    <row r="730" spans="5:21" ht="15.6">
      <c r="E730" s="1"/>
      <c r="F730" s="1"/>
      <c r="G730" s="1"/>
      <c r="H730" s="1"/>
      <c r="I730" s="1"/>
      <c r="J730" s="1"/>
      <c r="K730" s="1"/>
      <c r="P730" s="414"/>
      <c r="Q730" s="414"/>
      <c r="R730" s="414"/>
      <c r="S730" s="414"/>
      <c r="T730" s="414"/>
      <c r="U730" s="414"/>
    </row>
    <row r="731" spans="5:21" ht="15.6">
      <c r="E731" s="1"/>
      <c r="F731" s="1"/>
      <c r="G731" s="1"/>
      <c r="H731" s="1"/>
      <c r="I731" s="1"/>
      <c r="J731" s="1"/>
      <c r="K731" s="1"/>
      <c r="P731" s="414"/>
      <c r="Q731" s="414"/>
      <c r="R731" s="414"/>
      <c r="S731" s="414"/>
      <c r="T731" s="414"/>
      <c r="U731" s="414"/>
    </row>
    <row r="732" spans="5:21" ht="15.6">
      <c r="E732" s="1"/>
      <c r="F732" s="1"/>
      <c r="G732" s="1"/>
      <c r="H732" s="1"/>
      <c r="I732" s="1"/>
      <c r="J732" s="1"/>
      <c r="K732" s="1"/>
      <c r="P732" s="414"/>
      <c r="Q732" s="414"/>
      <c r="R732" s="414"/>
      <c r="S732" s="414"/>
      <c r="T732" s="414"/>
      <c r="U732" s="414"/>
    </row>
    <row r="733" spans="5:21" ht="15.6">
      <c r="E733" s="1"/>
      <c r="F733" s="1"/>
      <c r="G733" s="1"/>
      <c r="H733" s="1"/>
      <c r="I733" s="1"/>
      <c r="J733" s="1"/>
      <c r="K733" s="1"/>
      <c r="P733" s="414"/>
      <c r="Q733" s="414"/>
      <c r="R733" s="414"/>
      <c r="S733" s="414"/>
      <c r="T733" s="414"/>
      <c r="U733" s="414"/>
    </row>
    <row r="734" spans="5:21" ht="15.6">
      <c r="E734" s="1"/>
      <c r="F734" s="1"/>
      <c r="G734" s="1"/>
      <c r="H734" s="1"/>
      <c r="I734" s="1"/>
      <c r="J734" s="1"/>
      <c r="K734" s="1"/>
      <c r="P734" s="414"/>
      <c r="Q734" s="414"/>
      <c r="R734" s="414"/>
      <c r="S734" s="414"/>
      <c r="T734" s="414"/>
      <c r="U734" s="414"/>
    </row>
    <row r="735" spans="5:21" ht="15.6">
      <c r="E735" s="1"/>
      <c r="F735" s="1"/>
      <c r="G735" s="1"/>
      <c r="H735" s="1"/>
      <c r="I735" s="1"/>
      <c r="J735" s="1"/>
      <c r="K735" s="1"/>
      <c r="P735" s="414"/>
      <c r="Q735" s="414"/>
      <c r="R735" s="414"/>
      <c r="S735" s="414"/>
      <c r="T735" s="414"/>
      <c r="U735" s="414"/>
    </row>
    <row r="736" spans="5:21" ht="15.6">
      <c r="E736" s="1"/>
      <c r="F736" s="1"/>
      <c r="G736" s="1"/>
      <c r="H736" s="1"/>
      <c r="I736" s="1"/>
      <c r="J736" s="1"/>
      <c r="K736" s="1"/>
      <c r="P736" s="414"/>
      <c r="Q736" s="414"/>
      <c r="R736" s="414"/>
      <c r="S736" s="414"/>
      <c r="T736" s="414"/>
      <c r="U736" s="414"/>
    </row>
    <row r="737" spans="5:21" ht="15.6">
      <c r="E737" s="1"/>
      <c r="F737" s="1"/>
      <c r="G737" s="1"/>
      <c r="H737" s="1"/>
      <c r="I737" s="1"/>
      <c r="J737" s="1"/>
      <c r="K737" s="1"/>
      <c r="P737" s="414"/>
      <c r="Q737" s="414"/>
      <c r="R737" s="414"/>
      <c r="S737" s="414"/>
      <c r="T737" s="414"/>
      <c r="U737" s="414"/>
    </row>
    <row r="738" spans="5:21" ht="15.6">
      <c r="E738" s="1"/>
      <c r="F738" s="1"/>
      <c r="G738" s="1"/>
      <c r="H738" s="1"/>
      <c r="I738" s="1"/>
      <c r="J738" s="1"/>
      <c r="K738" s="1"/>
      <c r="P738" s="414"/>
      <c r="Q738" s="414"/>
      <c r="R738" s="414"/>
      <c r="S738" s="414"/>
      <c r="T738" s="414"/>
      <c r="U738" s="414"/>
    </row>
    <row r="739" spans="5:21" ht="15.6">
      <c r="E739" s="1"/>
      <c r="F739" s="1"/>
      <c r="G739" s="1"/>
      <c r="H739" s="1"/>
      <c r="I739" s="1"/>
      <c r="J739" s="1"/>
      <c r="K739" s="1"/>
      <c r="P739" s="414"/>
      <c r="Q739" s="414"/>
      <c r="R739" s="414"/>
      <c r="S739" s="414"/>
      <c r="T739" s="414"/>
      <c r="U739" s="414"/>
    </row>
    <row r="740" spans="5:21" ht="15.6">
      <c r="E740" s="1"/>
      <c r="F740" s="1"/>
      <c r="G740" s="1"/>
      <c r="H740" s="1"/>
      <c r="I740" s="1"/>
      <c r="J740" s="1"/>
      <c r="K740" s="1"/>
      <c r="P740" s="414"/>
      <c r="Q740" s="414"/>
      <c r="R740" s="414"/>
      <c r="S740" s="414"/>
      <c r="T740" s="414"/>
      <c r="U740" s="414"/>
    </row>
    <row r="741" spans="5:21" ht="15.6">
      <c r="E741" s="1"/>
      <c r="F741" s="1"/>
      <c r="G741" s="1"/>
      <c r="H741" s="1"/>
      <c r="I741" s="1"/>
      <c r="J741" s="1"/>
      <c r="K741" s="1"/>
      <c r="P741" s="414"/>
      <c r="Q741" s="414"/>
      <c r="R741" s="414"/>
      <c r="S741" s="414"/>
      <c r="T741" s="414"/>
      <c r="U741" s="414"/>
    </row>
    <row r="742" spans="5:21" ht="15.6">
      <c r="E742" s="1"/>
      <c r="F742" s="1"/>
      <c r="G742" s="1"/>
      <c r="H742" s="1"/>
      <c r="I742" s="1"/>
      <c r="J742" s="1"/>
      <c r="K742" s="1"/>
      <c r="P742" s="414"/>
      <c r="Q742" s="414"/>
      <c r="R742" s="414"/>
      <c r="S742" s="414"/>
      <c r="T742" s="414"/>
      <c r="U742" s="414"/>
    </row>
    <row r="743" spans="5:21" ht="15.6">
      <c r="E743" s="1"/>
      <c r="F743" s="1"/>
      <c r="G743" s="1"/>
      <c r="H743" s="1"/>
      <c r="I743" s="1"/>
      <c r="J743" s="1"/>
      <c r="K743" s="1"/>
      <c r="P743" s="414"/>
      <c r="Q743" s="414"/>
      <c r="R743" s="414"/>
      <c r="S743" s="414"/>
      <c r="T743" s="414"/>
      <c r="U743" s="414"/>
    </row>
    <row r="744" spans="5:21" ht="15.6">
      <c r="E744" s="1"/>
      <c r="F744" s="1"/>
      <c r="G744" s="1"/>
      <c r="H744" s="1"/>
      <c r="I744" s="1"/>
      <c r="J744" s="1"/>
      <c r="K744" s="1"/>
      <c r="P744" s="414"/>
      <c r="Q744" s="414"/>
      <c r="R744" s="414"/>
      <c r="S744" s="414"/>
      <c r="T744" s="414"/>
      <c r="U744" s="414"/>
    </row>
    <row r="745" spans="5:21" ht="15.6">
      <c r="E745" s="1"/>
      <c r="F745" s="1"/>
      <c r="G745" s="1"/>
      <c r="H745" s="1"/>
      <c r="I745" s="1"/>
      <c r="J745" s="1"/>
      <c r="K745" s="1"/>
      <c r="P745" s="414"/>
      <c r="Q745" s="414"/>
      <c r="R745" s="414"/>
      <c r="S745" s="414"/>
      <c r="T745" s="414"/>
      <c r="U745" s="414"/>
    </row>
    <row r="746" spans="5:21" ht="15.6">
      <c r="E746" s="1"/>
      <c r="F746" s="1"/>
      <c r="G746" s="1"/>
      <c r="H746" s="1"/>
      <c r="I746" s="1"/>
      <c r="J746" s="1"/>
      <c r="K746" s="1"/>
      <c r="P746" s="414"/>
      <c r="Q746" s="414"/>
      <c r="R746" s="414"/>
      <c r="S746" s="414"/>
      <c r="T746" s="414"/>
      <c r="U746" s="414"/>
    </row>
    <row r="747" spans="5:21" ht="15.6">
      <c r="E747" s="1"/>
      <c r="F747" s="1"/>
      <c r="G747" s="1"/>
      <c r="H747" s="1"/>
      <c r="I747" s="1"/>
      <c r="J747" s="1"/>
      <c r="K747" s="1"/>
      <c r="P747" s="414"/>
      <c r="Q747" s="414"/>
      <c r="R747" s="414"/>
      <c r="S747" s="414"/>
      <c r="T747" s="414"/>
      <c r="U747" s="414"/>
    </row>
    <row r="748" spans="5:21" ht="15.6">
      <c r="E748" s="1"/>
      <c r="F748" s="1"/>
      <c r="G748" s="1"/>
      <c r="H748" s="1"/>
      <c r="I748" s="1"/>
      <c r="J748" s="1"/>
      <c r="K748" s="1"/>
      <c r="P748" s="414"/>
      <c r="Q748" s="414"/>
      <c r="R748" s="414"/>
      <c r="S748" s="414"/>
      <c r="T748" s="414"/>
      <c r="U748" s="414"/>
    </row>
    <row r="749" spans="5:21" ht="15.6">
      <c r="E749" s="1"/>
      <c r="F749" s="1"/>
      <c r="G749" s="1"/>
      <c r="H749" s="1"/>
      <c r="I749" s="1"/>
      <c r="J749" s="1"/>
      <c r="K749" s="1"/>
      <c r="P749" s="414"/>
      <c r="Q749" s="414"/>
      <c r="R749" s="414"/>
      <c r="S749" s="414"/>
      <c r="T749" s="414"/>
      <c r="U749" s="414"/>
    </row>
    <row r="750" spans="5:21" ht="15.6">
      <c r="E750" s="1"/>
      <c r="F750" s="1"/>
      <c r="G750" s="1"/>
      <c r="H750" s="1"/>
      <c r="I750" s="1"/>
      <c r="J750" s="1"/>
      <c r="K750" s="1"/>
      <c r="P750" s="414"/>
      <c r="Q750" s="414"/>
      <c r="R750" s="414"/>
      <c r="S750" s="414"/>
      <c r="T750" s="414"/>
      <c r="U750" s="414"/>
    </row>
    <row r="751" spans="5:21" ht="15.6">
      <c r="E751" s="1"/>
      <c r="F751" s="1"/>
      <c r="G751" s="1"/>
      <c r="H751" s="1"/>
      <c r="I751" s="1"/>
      <c r="J751" s="1"/>
      <c r="K751" s="1"/>
      <c r="P751" s="414"/>
      <c r="Q751" s="414"/>
      <c r="R751" s="414"/>
      <c r="S751" s="414"/>
      <c r="T751" s="414"/>
      <c r="U751" s="414"/>
    </row>
    <row r="752" spans="5:21" ht="15.6">
      <c r="E752" s="1"/>
      <c r="F752" s="1"/>
      <c r="G752" s="1"/>
      <c r="H752" s="1"/>
      <c r="I752" s="1"/>
      <c r="J752" s="1"/>
      <c r="K752" s="1"/>
      <c r="P752" s="414"/>
      <c r="Q752" s="414"/>
      <c r="R752" s="414"/>
      <c r="S752" s="414"/>
      <c r="T752" s="414"/>
      <c r="U752" s="414"/>
    </row>
    <row r="753" spans="5:21" ht="15.6">
      <c r="E753" s="1"/>
      <c r="F753" s="1"/>
      <c r="G753" s="1"/>
      <c r="H753" s="1"/>
      <c r="I753" s="1"/>
      <c r="J753" s="1"/>
      <c r="K753" s="1"/>
      <c r="P753" s="414"/>
      <c r="Q753" s="414"/>
      <c r="R753" s="414"/>
      <c r="S753" s="414"/>
      <c r="T753" s="414"/>
      <c r="U753" s="414"/>
    </row>
    <row r="754" spans="5:21" ht="15.6">
      <c r="E754" s="1"/>
      <c r="F754" s="1"/>
      <c r="G754" s="1"/>
      <c r="H754" s="1"/>
      <c r="I754" s="1"/>
      <c r="J754" s="1"/>
      <c r="K754" s="1"/>
      <c r="P754" s="414"/>
      <c r="Q754" s="414"/>
      <c r="R754" s="414"/>
      <c r="S754" s="414"/>
      <c r="T754" s="414"/>
      <c r="U754" s="414"/>
    </row>
    <row r="755" spans="5:21" ht="15.6">
      <c r="E755" s="1"/>
      <c r="F755" s="1"/>
      <c r="G755" s="1"/>
      <c r="H755" s="1"/>
      <c r="I755" s="1"/>
      <c r="J755" s="1"/>
      <c r="K755" s="1"/>
      <c r="P755" s="414"/>
      <c r="Q755" s="414"/>
      <c r="R755" s="414"/>
      <c r="S755" s="414"/>
      <c r="T755" s="414"/>
      <c r="U755" s="414"/>
    </row>
    <row r="756" spans="5:21" ht="15.6">
      <c r="E756" s="1"/>
      <c r="F756" s="1"/>
      <c r="G756" s="1"/>
      <c r="H756" s="1"/>
      <c r="I756" s="1"/>
      <c r="J756" s="1"/>
      <c r="K756" s="1"/>
      <c r="P756" s="414"/>
      <c r="Q756" s="414"/>
      <c r="R756" s="414"/>
      <c r="S756" s="414"/>
      <c r="T756" s="414"/>
      <c r="U756" s="414"/>
    </row>
    <row r="757" spans="5:21" ht="15.6">
      <c r="E757" s="1"/>
      <c r="F757" s="1"/>
      <c r="G757" s="1"/>
      <c r="H757" s="1"/>
      <c r="I757" s="1"/>
      <c r="J757" s="1"/>
      <c r="K757" s="1"/>
      <c r="P757" s="414"/>
      <c r="Q757" s="414"/>
      <c r="R757" s="414"/>
      <c r="S757" s="414"/>
      <c r="T757" s="414"/>
      <c r="U757" s="414"/>
    </row>
    <row r="758" spans="5:21" ht="15.6">
      <c r="E758" s="1"/>
      <c r="F758" s="1"/>
      <c r="G758" s="1"/>
      <c r="H758" s="1"/>
      <c r="I758" s="1"/>
      <c r="J758" s="1"/>
      <c r="K758" s="1"/>
      <c r="P758" s="414"/>
      <c r="Q758" s="414"/>
      <c r="R758" s="414"/>
      <c r="S758" s="414"/>
      <c r="T758" s="414"/>
      <c r="U758" s="414"/>
    </row>
    <row r="759" spans="5:21" ht="15.6">
      <c r="E759" s="1"/>
      <c r="F759" s="1"/>
      <c r="G759" s="1"/>
      <c r="H759" s="1"/>
      <c r="I759" s="1"/>
      <c r="J759" s="1"/>
      <c r="K759" s="1"/>
      <c r="P759" s="414"/>
      <c r="Q759" s="414"/>
      <c r="R759" s="414"/>
      <c r="S759" s="414"/>
      <c r="T759" s="414"/>
      <c r="U759" s="414"/>
    </row>
    <row r="760" spans="5:21" ht="15.6">
      <c r="E760" s="1"/>
      <c r="F760" s="1"/>
      <c r="G760" s="1"/>
      <c r="H760" s="1"/>
      <c r="I760" s="1"/>
      <c r="J760" s="1"/>
      <c r="K760" s="1"/>
      <c r="P760" s="414"/>
      <c r="Q760" s="414"/>
      <c r="R760" s="414"/>
      <c r="S760" s="414"/>
      <c r="T760" s="414"/>
      <c r="U760" s="414"/>
    </row>
    <row r="761" spans="5:21" ht="15.6">
      <c r="E761" s="1"/>
      <c r="F761" s="1"/>
      <c r="G761" s="1"/>
      <c r="H761" s="1"/>
      <c r="I761" s="1"/>
      <c r="J761" s="1"/>
      <c r="K761" s="1"/>
      <c r="P761" s="414"/>
      <c r="Q761" s="414"/>
      <c r="R761" s="414"/>
      <c r="S761" s="414"/>
      <c r="T761" s="414"/>
      <c r="U761" s="414"/>
    </row>
    <row r="762" spans="5:21" ht="15.6">
      <c r="E762" s="1"/>
      <c r="F762" s="1"/>
      <c r="G762" s="1"/>
      <c r="H762" s="1"/>
      <c r="I762" s="1"/>
      <c r="J762" s="1"/>
      <c r="K762" s="1"/>
      <c r="P762" s="414"/>
      <c r="Q762" s="414"/>
      <c r="R762" s="414"/>
      <c r="S762" s="414"/>
      <c r="T762" s="414"/>
      <c r="U762" s="414"/>
    </row>
    <row r="763" spans="5:21" ht="15.6">
      <c r="E763" s="1"/>
      <c r="F763" s="1"/>
      <c r="G763" s="1"/>
      <c r="H763" s="1"/>
      <c r="I763" s="1"/>
      <c r="J763" s="1"/>
      <c r="K763" s="1"/>
      <c r="P763" s="414"/>
      <c r="Q763" s="414"/>
      <c r="R763" s="414"/>
      <c r="S763" s="414"/>
      <c r="T763" s="414"/>
      <c r="U763" s="414"/>
    </row>
    <row r="764" spans="5:21" ht="15.6">
      <c r="E764" s="1"/>
      <c r="F764" s="1"/>
      <c r="G764" s="1"/>
      <c r="H764" s="1"/>
      <c r="I764" s="1"/>
      <c r="J764" s="1"/>
      <c r="K764" s="1"/>
      <c r="P764" s="414"/>
      <c r="Q764" s="414"/>
      <c r="R764" s="414"/>
      <c r="S764" s="414"/>
      <c r="T764" s="414"/>
      <c r="U764" s="414"/>
    </row>
    <row r="765" spans="5:21" ht="15.6">
      <c r="E765" s="1"/>
      <c r="F765" s="1"/>
      <c r="G765" s="1"/>
      <c r="H765" s="1"/>
      <c r="I765" s="1"/>
      <c r="J765" s="1"/>
      <c r="K765" s="1"/>
      <c r="P765" s="414"/>
      <c r="Q765" s="414"/>
      <c r="R765" s="414"/>
      <c r="S765" s="414"/>
      <c r="T765" s="414"/>
      <c r="U765" s="414"/>
    </row>
    <row r="766" spans="5:21" ht="15.6">
      <c r="E766" s="1"/>
      <c r="F766" s="1"/>
      <c r="G766" s="1"/>
      <c r="H766" s="1"/>
      <c r="I766" s="1"/>
      <c r="J766" s="1"/>
      <c r="K766" s="1"/>
      <c r="P766" s="414"/>
      <c r="Q766" s="414"/>
      <c r="R766" s="414"/>
      <c r="S766" s="414"/>
      <c r="T766" s="414"/>
      <c r="U766" s="414"/>
    </row>
    <row r="767" spans="5:21" ht="15.6">
      <c r="E767" s="1"/>
      <c r="F767" s="1"/>
      <c r="G767" s="1"/>
      <c r="H767" s="1"/>
      <c r="I767" s="1"/>
      <c r="J767" s="1"/>
      <c r="K767" s="1"/>
      <c r="P767" s="414"/>
      <c r="Q767" s="414"/>
      <c r="R767" s="414"/>
      <c r="S767" s="414"/>
      <c r="T767" s="414"/>
      <c r="U767" s="414"/>
    </row>
    <row r="768" spans="5:21" ht="15.6">
      <c r="E768" s="1"/>
      <c r="F768" s="1"/>
      <c r="G768" s="1"/>
      <c r="H768" s="1"/>
      <c r="I768" s="1"/>
      <c r="J768" s="1"/>
      <c r="K768" s="1"/>
      <c r="P768" s="414"/>
      <c r="Q768" s="414"/>
      <c r="R768" s="414"/>
      <c r="S768" s="414"/>
      <c r="T768" s="414"/>
      <c r="U768" s="414"/>
    </row>
    <row r="769" spans="5:21" ht="15.6">
      <c r="E769" s="1"/>
      <c r="F769" s="1"/>
      <c r="G769" s="1"/>
      <c r="H769" s="1"/>
      <c r="I769" s="1"/>
      <c r="J769" s="1"/>
      <c r="K769" s="1"/>
      <c r="P769" s="414"/>
      <c r="Q769" s="414"/>
      <c r="R769" s="414"/>
      <c r="S769" s="414"/>
      <c r="T769" s="414"/>
      <c r="U769" s="414"/>
    </row>
    <row r="770" spans="5:21" ht="15.6">
      <c r="E770" s="1"/>
      <c r="F770" s="1"/>
      <c r="G770" s="1"/>
      <c r="H770" s="1"/>
      <c r="I770" s="1"/>
      <c r="J770" s="1"/>
      <c r="K770" s="1"/>
      <c r="P770" s="414"/>
      <c r="Q770" s="414"/>
      <c r="R770" s="414"/>
      <c r="S770" s="414"/>
      <c r="T770" s="414"/>
      <c r="U770" s="414"/>
    </row>
    <row r="771" spans="5:21" ht="15.6">
      <c r="E771" s="1"/>
      <c r="F771" s="1"/>
      <c r="G771" s="1"/>
      <c r="H771" s="1"/>
      <c r="I771" s="1"/>
      <c r="J771" s="1"/>
      <c r="K771" s="1"/>
      <c r="P771" s="414"/>
      <c r="Q771" s="414"/>
      <c r="R771" s="414"/>
      <c r="S771" s="414"/>
      <c r="T771" s="414"/>
      <c r="U771" s="414"/>
    </row>
    <row r="772" spans="5:21" ht="15.6">
      <c r="E772" s="1"/>
      <c r="F772" s="1"/>
      <c r="G772" s="1"/>
      <c r="H772" s="1"/>
      <c r="I772" s="1"/>
      <c r="J772" s="1"/>
      <c r="K772" s="1"/>
      <c r="P772" s="414"/>
      <c r="Q772" s="414"/>
      <c r="R772" s="414"/>
      <c r="S772" s="414"/>
      <c r="T772" s="414"/>
      <c r="U772" s="414"/>
    </row>
    <row r="773" spans="5:21" ht="15.6">
      <c r="E773" s="1"/>
      <c r="F773" s="1"/>
      <c r="G773" s="1"/>
      <c r="H773" s="1"/>
      <c r="I773" s="1"/>
      <c r="J773" s="1"/>
      <c r="K773" s="1"/>
      <c r="P773" s="414"/>
      <c r="Q773" s="414"/>
      <c r="R773" s="414"/>
      <c r="S773" s="414"/>
      <c r="T773" s="414"/>
      <c r="U773" s="414"/>
    </row>
    <row r="774" spans="5:21" ht="15.6">
      <c r="E774" s="1"/>
      <c r="F774" s="1"/>
      <c r="G774" s="1"/>
      <c r="H774" s="1"/>
      <c r="I774" s="1"/>
      <c r="J774" s="1"/>
      <c r="K774" s="1"/>
      <c r="P774" s="414"/>
      <c r="Q774" s="414"/>
      <c r="R774" s="414"/>
      <c r="S774" s="414"/>
      <c r="T774" s="414"/>
      <c r="U774" s="414"/>
    </row>
    <row r="775" spans="5:21" ht="15.6">
      <c r="E775" s="1"/>
      <c r="F775" s="1"/>
      <c r="G775" s="1"/>
      <c r="H775" s="1"/>
      <c r="I775" s="1"/>
      <c r="J775" s="1"/>
      <c r="K775" s="1"/>
      <c r="P775" s="414"/>
      <c r="Q775" s="414"/>
      <c r="R775" s="414"/>
      <c r="S775" s="414"/>
      <c r="T775" s="414"/>
      <c r="U775" s="414"/>
    </row>
    <row r="776" spans="5:21" ht="15.6">
      <c r="E776" s="1"/>
      <c r="F776" s="1"/>
      <c r="G776" s="1"/>
      <c r="H776" s="1"/>
      <c r="I776" s="1"/>
      <c r="J776" s="1"/>
      <c r="K776" s="1"/>
      <c r="P776" s="414"/>
      <c r="Q776" s="414"/>
      <c r="R776" s="414"/>
      <c r="S776" s="414"/>
      <c r="T776" s="414"/>
      <c r="U776" s="414"/>
    </row>
    <row r="777" spans="5:21" ht="15.6">
      <c r="E777" s="1"/>
      <c r="F777" s="1"/>
      <c r="G777" s="1"/>
      <c r="H777" s="1"/>
      <c r="I777" s="1"/>
      <c r="J777" s="1"/>
      <c r="K777" s="1"/>
      <c r="P777" s="414"/>
      <c r="Q777" s="414"/>
      <c r="R777" s="414"/>
      <c r="S777" s="414"/>
      <c r="T777" s="414"/>
      <c r="U777" s="414"/>
    </row>
    <row r="778" spans="5:21" ht="15.6">
      <c r="E778" s="1"/>
      <c r="F778" s="1"/>
      <c r="G778" s="1"/>
      <c r="H778" s="1"/>
      <c r="I778" s="1"/>
      <c r="J778" s="1"/>
      <c r="K778" s="1"/>
      <c r="P778" s="414"/>
      <c r="Q778" s="414"/>
      <c r="R778" s="414"/>
      <c r="S778" s="414"/>
      <c r="T778" s="414"/>
      <c r="U778" s="414"/>
    </row>
    <row r="779" spans="5:21" ht="15.6">
      <c r="E779" s="1"/>
      <c r="F779" s="1"/>
      <c r="G779" s="1"/>
      <c r="H779" s="1"/>
      <c r="I779" s="1"/>
      <c r="J779" s="1"/>
      <c r="K779" s="1"/>
      <c r="P779" s="414"/>
      <c r="Q779" s="414"/>
      <c r="R779" s="414"/>
      <c r="S779" s="414"/>
      <c r="T779" s="414"/>
      <c r="U779" s="414"/>
    </row>
    <row r="780" spans="5:21" ht="15.6">
      <c r="E780" s="1"/>
      <c r="F780" s="1"/>
      <c r="G780" s="1"/>
      <c r="H780" s="1"/>
      <c r="I780" s="1"/>
      <c r="J780" s="1"/>
      <c r="K780" s="1"/>
      <c r="P780" s="414"/>
      <c r="Q780" s="414"/>
      <c r="R780" s="414"/>
      <c r="S780" s="414"/>
      <c r="T780" s="414"/>
      <c r="U780" s="414"/>
    </row>
    <row r="781" spans="5:21" ht="15.6">
      <c r="E781" s="1"/>
      <c r="F781" s="1"/>
      <c r="G781" s="1"/>
      <c r="H781" s="1"/>
      <c r="I781" s="1"/>
      <c r="J781" s="1"/>
      <c r="K781" s="1"/>
      <c r="P781" s="414"/>
      <c r="Q781" s="414"/>
      <c r="R781" s="414"/>
      <c r="S781" s="414"/>
      <c r="T781" s="414"/>
      <c r="U781" s="414"/>
    </row>
    <row r="782" spans="5:21" ht="15.6">
      <c r="E782" s="1"/>
      <c r="F782" s="1"/>
      <c r="G782" s="1"/>
      <c r="H782" s="1"/>
      <c r="I782" s="1"/>
      <c r="J782" s="1"/>
      <c r="K782" s="1"/>
      <c r="P782" s="414"/>
      <c r="Q782" s="414"/>
      <c r="R782" s="414"/>
      <c r="S782" s="414"/>
      <c r="T782" s="414"/>
      <c r="U782" s="414"/>
    </row>
    <row r="783" spans="5:21" ht="15.6">
      <c r="E783" s="1"/>
      <c r="F783" s="1"/>
      <c r="G783" s="1"/>
      <c r="H783" s="1"/>
      <c r="I783" s="1"/>
      <c r="J783" s="1"/>
      <c r="K783" s="1"/>
      <c r="P783" s="414"/>
      <c r="Q783" s="414"/>
      <c r="R783" s="414"/>
      <c r="S783" s="414"/>
      <c r="T783" s="414"/>
      <c r="U783" s="414"/>
    </row>
    <row r="784" spans="5:21" ht="15.6">
      <c r="E784" s="1"/>
      <c r="F784" s="1"/>
      <c r="G784" s="1"/>
      <c r="H784" s="1"/>
      <c r="I784" s="1"/>
      <c r="J784" s="1"/>
      <c r="K784" s="1"/>
      <c r="P784" s="414"/>
      <c r="Q784" s="414"/>
      <c r="R784" s="414"/>
      <c r="S784" s="414"/>
      <c r="T784" s="414"/>
      <c r="U784" s="414"/>
    </row>
    <row r="785" spans="5:21" ht="15.6">
      <c r="E785" s="1"/>
      <c r="F785" s="1"/>
      <c r="G785" s="1"/>
      <c r="H785" s="1"/>
      <c r="I785" s="1"/>
      <c r="J785" s="1"/>
      <c r="K785" s="1"/>
      <c r="P785" s="414"/>
      <c r="Q785" s="414"/>
      <c r="R785" s="414"/>
      <c r="S785" s="414"/>
      <c r="T785" s="414"/>
      <c r="U785" s="414"/>
    </row>
    <row r="786" spans="5:21" ht="15.6">
      <c r="E786" s="1"/>
      <c r="F786" s="1"/>
      <c r="G786" s="1"/>
      <c r="H786" s="1"/>
      <c r="I786" s="1"/>
      <c r="J786" s="1"/>
      <c r="K786" s="1"/>
      <c r="P786" s="414"/>
      <c r="Q786" s="414"/>
      <c r="R786" s="414"/>
      <c r="S786" s="414"/>
      <c r="T786" s="414"/>
      <c r="U786" s="414"/>
    </row>
    <row r="787" spans="5:21" ht="15.6">
      <c r="E787" s="1"/>
      <c r="F787" s="1"/>
      <c r="G787" s="1"/>
      <c r="H787" s="1"/>
      <c r="I787" s="1"/>
      <c r="J787" s="1"/>
      <c r="K787" s="1"/>
      <c r="P787" s="414"/>
      <c r="Q787" s="414"/>
      <c r="R787" s="414"/>
      <c r="S787" s="414"/>
      <c r="T787" s="414"/>
      <c r="U787" s="414"/>
    </row>
    <row r="788" spans="5:21" ht="15.6">
      <c r="E788" s="1"/>
      <c r="F788" s="1"/>
      <c r="G788" s="1"/>
      <c r="H788" s="1"/>
      <c r="I788" s="1"/>
      <c r="J788" s="1"/>
      <c r="K788" s="1"/>
      <c r="P788" s="414"/>
      <c r="Q788" s="414"/>
      <c r="R788" s="414"/>
      <c r="S788" s="414"/>
      <c r="T788" s="414"/>
      <c r="U788" s="414"/>
    </row>
    <row r="789" spans="5:21" ht="15.6">
      <c r="E789" s="1"/>
      <c r="F789" s="1"/>
      <c r="G789" s="1"/>
      <c r="H789" s="1"/>
      <c r="I789" s="1"/>
      <c r="J789" s="1"/>
      <c r="K789" s="1"/>
      <c r="P789" s="414"/>
      <c r="Q789" s="414"/>
      <c r="R789" s="414"/>
      <c r="S789" s="414"/>
      <c r="T789" s="414"/>
      <c r="U789" s="414"/>
    </row>
    <row r="790" spans="5:21" ht="15.6">
      <c r="E790" s="1"/>
      <c r="F790" s="1"/>
      <c r="G790" s="1"/>
      <c r="H790" s="1"/>
      <c r="I790" s="1"/>
      <c r="J790" s="1"/>
      <c r="K790" s="1"/>
      <c r="P790" s="414"/>
      <c r="Q790" s="414"/>
      <c r="R790" s="414"/>
      <c r="S790" s="414"/>
      <c r="T790" s="414"/>
      <c r="U790" s="414"/>
    </row>
    <row r="791" spans="5:21" ht="15.6">
      <c r="E791" s="1"/>
      <c r="F791" s="1"/>
      <c r="G791" s="1"/>
      <c r="H791" s="1"/>
      <c r="I791" s="1"/>
      <c r="J791" s="1"/>
      <c r="K791" s="1"/>
      <c r="P791" s="414"/>
      <c r="Q791" s="414"/>
      <c r="R791" s="414"/>
      <c r="S791" s="414"/>
      <c r="T791" s="414"/>
      <c r="U791" s="414"/>
    </row>
    <row r="792" spans="5:21" ht="15.6">
      <c r="E792" s="1"/>
      <c r="F792" s="1"/>
      <c r="G792" s="1"/>
      <c r="H792" s="1"/>
      <c r="I792" s="1"/>
      <c r="J792" s="1"/>
      <c r="K792" s="1"/>
      <c r="P792" s="414"/>
      <c r="Q792" s="414"/>
      <c r="R792" s="414"/>
      <c r="S792" s="414"/>
      <c r="T792" s="414"/>
      <c r="U792" s="414"/>
    </row>
    <row r="793" spans="5:21" ht="15.6">
      <c r="E793" s="1"/>
      <c r="F793" s="1"/>
      <c r="G793" s="1"/>
      <c r="H793" s="1"/>
      <c r="I793" s="1"/>
      <c r="J793" s="1"/>
      <c r="K793" s="1"/>
      <c r="P793" s="414"/>
      <c r="Q793" s="414"/>
      <c r="R793" s="414"/>
      <c r="S793" s="414"/>
      <c r="T793" s="414"/>
      <c r="U793" s="414"/>
    </row>
    <row r="794" spans="5:21" ht="15.6">
      <c r="E794" s="1"/>
      <c r="F794" s="1"/>
      <c r="G794" s="1"/>
      <c r="H794" s="1"/>
      <c r="I794" s="1"/>
      <c r="J794" s="1"/>
      <c r="K794" s="1"/>
      <c r="P794" s="414"/>
      <c r="Q794" s="414"/>
      <c r="R794" s="414"/>
      <c r="S794" s="414"/>
      <c r="T794" s="414"/>
      <c r="U794" s="414"/>
    </row>
    <row r="795" spans="5:21" ht="15.6">
      <c r="E795" s="1"/>
      <c r="F795" s="1"/>
      <c r="G795" s="1"/>
      <c r="H795" s="1"/>
      <c r="I795" s="1"/>
      <c r="J795" s="1"/>
      <c r="K795" s="1"/>
      <c r="P795" s="414"/>
      <c r="Q795" s="414"/>
      <c r="R795" s="414"/>
      <c r="S795" s="414"/>
      <c r="T795" s="414"/>
      <c r="U795" s="414"/>
    </row>
    <row r="796" spans="5:21" ht="15.6">
      <c r="E796" s="1"/>
      <c r="F796" s="1"/>
      <c r="G796" s="1"/>
      <c r="H796" s="1"/>
      <c r="I796" s="1"/>
      <c r="J796" s="1"/>
      <c r="K796" s="1"/>
      <c r="P796" s="414"/>
      <c r="Q796" s="414"/>
      <c r="R796" s="414"/>
      <c r="S796" s="414"/>
      <c r="T796" s="414"/>
      <c r="U796" s="414"/>
    </row>
    <row r="797" spans="5:21" ht="15.6">
      <c r="E797" s="1"/>
      <c r="F797" s="1"/>
      <c r="G797" s="1"/>
      <c r="H797" s="1"/>
      <c r="I797" s="1"/>
      <c r="J797" s="1"/>
      <c r="K797" s="1"/>
      <c r="P797" s="414"/>
      <c r="Q797" s="414"/>
      <c r="R797" s="414"/>
      <c r="S797" s="414"/>
      <c r="T797" s="414"/>
      <c r="U797" s="414"/>
    </row>
    <row r="798" spans="5:21" ht="15.6">
      <c r="E798" s="1"/>
      <c r="F798" s="1"/>
      <c r="G798" s="1"/>
      <c r="H798" s="1"/>
      <c r="I798" s="1"/>
      <c r="J798" s="1"/>
      <c r="K798" s="1"/>
      <c r="P798" s="414"/>
      <c r="Q798" s="414"/>
      <c r="R798" s="414"/>
      <c r="S798" s="414"/>
      <c r="T798" s="414"/>
      <c r="U798" s="414"/>
    </row>
    <row r="799" spans="5:21" ht="15.6">
      <c r="E799" s="1"/>
      <c r="F799" s="1"/>
      <c r="G799" s="1"/>
      <c r="H799" s="1"/>
      <c r="I799" s="1"/>
      <c r="J799" s="1"/>
      <c r="K799" s="1"/>
      <c r="P799" s="414"/>
      <c r="Q799" s="414"/>
      <c r="R799" s="414"/>
      <c r="S799" s="414"/>
      <c r="T799" s="414"/>
      <c r="U799" s="414"/>
    </row>
    <row r="800" spans="5:21" ht="15.6">
      <c r="E800" s="1"/>
      <c r="F800" s="1"/>
      <c r="G800" s="1"/>
      <c r="H800" s="1"/>
      <c r="I800" s="1"/>
      <c r="J800" s="1"/>
      <c r="K800" s="1"/>
      <c r="P800" s="414"/>
      <c r="Q800" s="414"/>
      <c r="R800" s="414"/>
      <c r="S800" s="414"/>
      <c r="T800" s="414"/>
      <c r="U800" s="414"/>
    </row>
    <row r="801" spans="5:21" ht="15.6">
      <c r="E801" s="1"/>
      <c r="F801" s="1"/>
      <c r="G801" s="1"/>
      <c r="H801" s="1"/>
      <c r="I801" s="1"/>
      <c r="J801" s="1"/>
      <c r="K801" s="1"/>
      <c r="P801" s="414"/>
      <c r="Q801" s="414"/>
      <c r="R801" s="414"/>
      <c r="S801" s="414"/>
      <c r="T801" s="414"/>
      <c r="U801" s="414"/>
    </row>
    <row r="802" spans="5:21" ht="15.6">
      <c r="E802" s="1"/>
      <c r="F802" s="1"/>
      <c r="G802" s="1"/>
      <c r="H802" s="1"/>
      <c r="I802" s="1"/>
      <c r="J802" s="1"/>
      <c r="K802" s="1"/>
      <c r="P802" s="414"/>
      <c r="Q802" s="414"/>
      <c r="R802" s="414"/>
      <c r="S802" s="414"/>
      <c r="T802" s="414"/>
      <c r="U802" s="414"/>
    </row>
    <row r="803" spans="5:21" ht="15.6">
      <c r="E803" s="1"/>
      <c r="F803" s="1"/>
      <c r="G803" s="1"/>
      <c r="H803" s="1"/>
      <c r="I803" s="1"/>
      <c r="J803" s="1"/>
      <c r="K803" s="1"/>
      <c r="P803" s="414"/>
      <c r="Q803" s="414"/>
      <c r="R803" s="414"/>
      <c r="S803" s="414"/>
      <c r="T803" s="414"/>
      <c r="U803" s="414"/>
    </row>
    <row r="804" spans="5:21" ht="15.6">
      <c r="E804" s="1"/>
      <c r="F804" s="1"/>
      <c r="G804" s="1"/>
      <c r="H804" s="1"/>
      <c r="I804" s="1"/>
      <c r="J804" s="1"/>
      <c r="K804" s="1"/>
      <c r="P804" s="414"/>
      <c r="Q804" s="414"/>
      <c r="R804" s="414"/>
      <c r="S804" s="414"/>
      <c r="T804" s="414"/>
      <c r="U804" s="414"/>
    </row>
    <row r="805" spans="5:21" ht="15.6">
      <c r="E805" s="1"/>
      <c r="F805" s="1"/>
      <c r="G805" s="1"/>
      <c r="H805" s="1"/>
      <c r="I805" s="1"/>
      <c r="J805" s="1"/>
      <c r="K805" s="1"/>
      <c r="P805" s="414"/>
      <c r="Q805" s="414"/>
      <c r="R805" s="414"/>
      <c r="S805" s="414"/>
      <c r="T805" s="414"/>
      <c r="U805" s="414"/>
    </row>
    <row r="806" spans="5:21" ht="15.6">
      <c r="E806" s="1"/>
      <c r="F806" s="1"/>
      <c r="G806" s="1"/>
      <c r="H806" s="1"/>
      <c r="I806" s="1"/>
      <c r="J806" s="1"/>
      <c r="K806" s="1"/>
      <c r="P806" s="414"/>
      <c r="Q806" s="414"/>
      <c r="R806" s="414"/>
      <c r="S806" s="414"/>
      <c r="T806" s="414"/>
      <c r="U806" s="414"/>
    </row>
    <row r="807" spans="5:21" ht="15.6">
      <c r="E807" s="1"/>
      <c r="F807" s="1"/>
      <c r="G807" s="1"/>
      <c r="H807" s="1"/>
      <c r="I807" s="1"/>
      <c r="J807" s="1"/>
      <c r="K807" s="1"/>
      <c r="P807" s="414"/>
      <c r="Q807" s="414"/>
      <c r="R807" s="414"/>
      <c r="S807" s="414"/>
      <c r="T807" s="414"/>
      <c r="U807" s="414"/>
    </row>
    <row r="808" spans="5:21" ht="15.6">
      <c r="E808" s="1"/>
      <c r="F808" s="1"/>
      <c r="G808" s="1"/>
      <c r="H808" s="1"/>
      <c r="I808" s="1"/>
      <c r="J808" s="1"/>
      <c r="K808" s="1"/>
      <c r="P808" s="414"/>
      <c r="Q808" s="414"/>
      <c r="R808" s="414"/>
      <c r="S808" s="414"/>
      <c r="T808" s="414"/>
      <c r="U808" s="414"/>
    </row>
    <row r="809" spans="5:21" ht="15.6">
      <c r="E809" s="1"/>
      <c r="F809" s="1"/>
      <c r="G809" s="1"/>
      <c r="H809" s="1"/>
      <c r="I809" s="1"/>
      <c r="J809" s="1"/>
      <c r="K809" s="1"/>
      <c r="P809" s="414"/>
      <c r="Q809" s="414"/>
      <c r="R809" s="414"/>
      <c r="S809" s="414"/>
      <c r="T809" s="414"/>
      <c r="U809" s="414"/>
    </row>
    <row r="810" spans="5:21" ht="15.6">
      <c r="E810" s="1"/>
      <c r="F810" s="1"/>
      <c r="G810" s="1"/>
      <c r="H810" s="1"/>
      <c r="I810" s="1"/>
      <c r="J810" s="1"/>
      <c r="K810" s="1"/>
      <c r="P810" s="414"/>
      <c r="Q810" s="414"/>
      <c r="R810" s="414"/>
      <c r="S810" s="414"/>
      <c r="T810" s="414"/>
      <c r="U810" s="414"/>
    </row>
    <row r="811" spans="5:21" ht="15.6">
      <c r="E811" s="1"/>
      <c r="F811" s="1"/>
      <c r="G811" s="1"/>
      <c r="H811" s="1"/>
      <c r="I811" s="1"/>
      <c r="J811" s="1"/>
      <c r="K811" s="1"/>
      <c r="P811" s="414"/>
      <c r="Q811" s="414"/>
      <c r="R811" s="414"/>
      <c r="S811" s="414"/>
      <c r="T811" s="414"/>
      <c r="U811" s="414"/>
    </row>
    <row r="812" spans="5:21" ht="15.6">
      <c r="E812" s="1"/>
      <c r="F812" s="1"/>
      <c r="G812" s="1"/>
      <c r="H812" s="1"/>
      <c r="I812" s="1"/>
      <c r="J812" s="1"/>
      <c r="K812" s="1"/>
      <c r="P812" s="414"/>
      <c r="Q812" s="414"/>
      <c r="R812" s="414"/>
      <c r="S812" s="414"/>
      <c r="T812" s="414"/>
      <c r="U812" s="414"/>
    </row>
    <row r="813" spans="5:21" ht="15.6">
      <c r="E813" s="1"/>
      <c r="F813" s="1"/>
      <c r="G813" s="1"/>
      <c r="H813" s="1"/>
      <c r="I813" s="1"/>
      <c r="J813" s="1"/>
      <c r="K813" s="1"/>
      <c r="P813" s="414"/>
      <c r="Q813" s="414"/>
      <c r="R813" s="414"/>
      <c r="S813" s="414"/>
      <c r="T813" s="414"/>
      <c r="U813" s="414"/>
    </row>
    <row r="814" spans="5:21" ht="15.6">
      <c r="E814" s="1"/>
      <c r="F814" s="1"/>
      <c r="G814" s="1"/>
      <c r="H814" s="1"/>
      <c r="I814" s="1"/>
      <c r="J814" s="1"/>
      <c r="K814" s="1"/>
      <c r="P814" s="414"/>
      <c r="Q814" s="414"/>
      <c r="R814" s="414"/>
      <c r="S814" s="414"/>
      <c r="T814" s="414"/>
      <c r="U814" s="414"/>
    </row>
    <row r="815" spans="5:21" ht="15.6">
      <c r="E815" s="1"/>
      <c r="F815" s="1"/>
      <c r="G815" s="1"/>
      <c r="H815" s="1"/>
      <c r="I815" s="1"/>
      <c r="J815" s="1"/>
      <c r="K815" s="1"/>
      <c r="P815" s="414"/>
      <c r="Q815" s="414"/>
      <c r="R815" s="414"/>
      <c r="S815" s="414"/>
      <c r="T815" s="414"/>
      <c r="U815" s="414"/>
    </row>
    <row r="816" spans="5:21" ht="15.6">
      <c r="E816" s="1"/>
      <c r="F816" s="1"/>
      <c r="G816" s="1"/>
      <c r="H816" s="1"/>
      <c r="I816" s="1"/>
      <c r="J816" s="1"/>
      <c r="K816" s="1"/>
      <c r="P816" s="414"/>
      <c r="Q816" s="414"/>
      <c r="R816" s="414"/>
      <c r="S816" s="414"/>
      <c r="T816" s="414"/>
      <c r="U816" s="414"/>
    </row>
    <row r="817" spans="5:21" ht="15.6">
      <c r="E817" s="1"/>
      <c r="F817" s="1"/>
      <c r="G817" s="1"/>
      <c r="H817" s="1"/>
      <c r="I817" s="1"/>
      <c r="J817" s="1"/>
      <c r="K817" s="1"/>
      <c r="P817" s="414"/>
      <c r="Q817" s="414"/>
      <c r="R817" s="414"/>
      <c r="S817" s="414"/>
      <c r="T817" s="414"/>
      <c r="U817" s="414"/>
    </row>
    <row r="818" spans="5:21" ht="15.6">
      <c r="E818" s="1"/>
      <c r="F818" s="1"/>
      <c r="G818" s="1"/>
      <c r="H818" s="1"/>
      <c r="I818" s="1"/>
      <c r="J818" s="1"/>
      <c r="K818" s="1"/>
      <c r="P818" s="414"/>
      <c r="Q818" s="414"/>
      <c r="R818" s="414"/>
      <c r="S818" s="414"/>
      <c r="T818" s="414"/>
      <c r="U818" s="414"/>
    </row>
    <row r="819" spans="5:21" ht="15.6">
      <c r="E819" s="1"/>
      <c r="F819" s="1"/>
      <c r="G819" s="1"/>
      <c r="H819" s="1"/>
      <c r="I819" s="1"/>
      <c r="J819" s="1"/>
      <c r="K819" s="1"/>
      <c r="P819" s="414"/>
      <c r="Q819" s="414"/>
      <c r="R819" s="414"/>
      <c r="S819" s="414"/>
      <c r="T819" s="414"/>
      <c r="U819" s="414"/>
    </row>
    <row r="820" spans="5:21" ht="15.6">
      <c r="E820" s="1"/>
      <c r="F820" s="1"/>
      <c r="G820" s="1"/>
      <c r="H820" s="1"/>
      <c r="I820" s="1"/>
      <c r="J820" s="1"/>
      <c r="K820" s="1"/>
      <c r="P820" s="414"/>
      <c r="Q820" s="414"/>
      <c r="R820" s="414"/>
      <c r="S820" s="414"/>
      <c r="T820" s="414"/>
      <c r="U820" s="414"/>
    </row>
    <row r="821" spans="5:21" ht="15.6">
      <c r="E821" s="1"/>
      <c r="F821" s="1"/>
      <c r="G821" s="1"/>
      <c r="H821" s="1"/>
      <c r="I821" s="1"/>
      <c r="J821" s="1"/>
      <c r="K821" s="1"/>
      <c r="P821" s="414"/>
      <c r="Q821" s="414"/>
      <c r="R821" s="414"/>
      <c r="S821" s="414"/>
      <c r="T821" s="414"/>
      <c r="U821" s="414"/>
    </row>
    <row r="822" spans="5:21" ht="15.6">
      <c r="E822" s="1"/>
      <c r="F822" s="1"/>
      <c r="G822" s="1"/>
      <c r="H822" s="1"/>
      <c r="I822" s="1"/>
      <c r="J822" s="1"/>
      <c r="K822" s="1"/>
      <c r="P822" s="414"/>
      <c r="Q822" s="414"/>
      <c r="R822" s="414"/>
      <c r="S822" s="414"/>
      <c r="T822" s="414"/>
      <c r="U822" s="414"/>
    </row>
    <row r="823" spans="5:21" ht="15.6">
      <c r="E823" s="1"/>
      <c r="F823" s="1"/>
      <c r="G823" s="1"/>
      <c r="H823" s="1"/>
      <c r="I823" s="1"/>
      <c r="J823" s="1"/>
      <c r="K823" s="1"/>
      <c r="P823" s="414"/>
      <c r="Q823" s="414"/>
      <c r="R823" s="414"/>
      <c r="S823" s="414"/>
      <c r="T823" s="414"/>
      <c r="U823" s="414"/>
    </row>
    <row r="824" spans="5:21" ht="15.6">
      <c r="E824" s="1"/>
      <c r="F824" s="1"/>
      <c r="G824" s="1"/>
      <c r="H824" s="1"/>
      <c r="I824" s="1"/>
      <c r="J824" s="1"/>
      <c r="K824" s="1"/>
      <c r="P824" s="414"/>
      <c r="Q824" s="414"/>
      <c r="R824" s="414"/>
      <c r="S824" s="414"/>
      <c r="T824" s="414"/>
      <c r="U824" s="414"/>
    </row>
    <row r="825" spans="5:21" ht="15.6">
      <c r="E825" s="1"/>
      <c r="F825" s="1"/>
      <c r="G825" s="1"/>
      <c r="H825" s="1"/>
      <c r="I825" s="1"/>
      <c r="J825" s="1"/>
      <c r="K825" s="1"/>
      <c r="P825" s="414"/>
      <c r="Q825" s="414"/>
      <c r="R825" s="414"/>
      <c r="S825" s="414"/>
      <c r="T825" s="414"/>
      <c r="U825" s="414"/>
    </row>
    <row r="826" spans="5:21" ht="15.6">
      <c r="E826" s="1"/>
      <c r="F826" s="1"/>
      <c r="G826" s="1"/>
      <c r="H826" s="1"/>
      <c r="I826" s="1"/>
      <c r="J826" s="1"/>
      <c r="K826" s="1"/>
      <c r="P826" s="414"/>
      <c r="Q826" s="414"/>
      <c r="R826" s="414"/>
      <c r="S826" s="414"/>
      <c r="T826" s="414"/>
      <c r="U826" s="414"/>
    </row>
    <row r="827" spans="5:21" ht="15.6">
      <c r="E827" s="1"/>
      <c r="F827" s="1"/>
      <c r="G827" s="1"/>
      <c r="H827" s="1"/>
      <c r="I827" s="1"/>
      <c r="J827" s="1"/>
      <c r="K827" s="1"/>
      <c r="P827" s="414"/>
      <c r="Q827" s="414"/>
      <c r="R827" s="414"/>
      <c r="S827" s="414"/>
      <c r="T827" s="414"/>
      <c r="U827" s="414"/>
    </row>
    <row r="828" spans="5:21" ht="15.6">
      <c r="E828" s="1"/>
      <c r="F828" s="1"/>
      <c r="G828" s="1"/>
      <c r="H828" s="1"/>
      <c r="I828" s="1"/>
      <c r="J828" s="1"/>
      <c r="K828" s="1"/>
      <c r="P828" s="414"/>
      <c r="Q828" s="414"/>
      <c r="R828" s="414"/>
      <c r="S828" s="414"/>
      <c r="T828" s="414"/>
      <c r="U828" s="414"/>
    </row>
    <row r="829" spans="5:21" ht="15.6">
      <c r="E829" s="1"/>
      <c r="F829" s="1"/>
      <c r="G829" s="1"/>
      <c r="H829" s="1"/>
      <c r="I829" s="1"/>
      <c r="J829" s="1"/>
      <c r="K829" s="1"/>
      <c r="P829" s="414"/>
      <c r="Q829" s="414"/>
      <c r="R829" s="414"/>
      <c r="S829" s="414"/>
      <c r="T829" s="414"/>
      <c r="U829" s="414"/>
    </row>
    <row r="830" spans="5:21" ht="15.6">
      <c r="E830" s="1"/>
      <c r="F830" s="1"/>
      <c r="G830" s="1"/>
      <c r="H830" s="1"/>
      <c r="I830" s="1"/>
      <c r="J830" s="1"/>
      <c r="K830" s="1"/>
      <c r="P830" s="414"/>
      <c r="Q830" s="414"/>
      <c r="R830" s="414"/>
      <c r="S830" s="414"/>
      <c r="T830" s="414"/>
      <c r="U830" s="414"/>
    </row>
    <row r="831" spans="5:21" ht="15.6">
      <c r="E831" s="1"/>
      <c r="F831" s="1"/>
      <c r="G831" s="1"/>
      <c r="H831" s="1"/>
      <c r="I831" s="1"/>
      <c r="J831" s="1"/>
      <c r="K831" s="1"/>
      <c r="P831" s="414"/>
      <c r="Q831" s="414"/>
      <c r="R831" s="414"/>
      <c r="S831" s="414"/>
      <c r="T831" s="414"/>
      <c r="U831" s="414"/>
    </row>
    <row r="832" spans="5:21" ht="15.6">
      <c r="E832" s="1"/>
      <c r="F832" s="1"/>
      <c r="G832" s="1"/>
      <c r="H832" s="1"/>
      <c r="I832" s="1"/>
      <c r="J832" s="1"/>
      <c r="K832" s="1"/>
      <c r="P832" s="414"/>
      <c r="Q832" s="414"/>
      <c r="R832" s="414"/>
      <c r="S832" s="414"/>
      <c r="T832" s="414"/>
      <c r="U832" s="414"/>
    </row>
    <row r="833" spans="5:21" ht="15.6">
      <c r="E833" s="1"/>
      <c r="F833" s="1"/>
      <c r="G833" s="1"/>
      <c r="H833" s="1"/>
      <c r="I833" s="1"/>
      <c r="J833" s="1"/>
      <c r="K833" s="1"/>
      <c r="P833" s="414"/>
      <c r="Q833" s="414"/>
      <c r="R833" s="414"/>
      <c r="S833" s="414"/>
      <c r="T833" s="414"/>
      <c r="U833" s="414"/>
    </row>
    <row r="834" spans="5:21" ht="15.6">
      <c r="E834" s="1"/>
      <c r="F834" s="1"/>
      <c r="G834" s="1"/>
      <c r="H834" s="1"/>
      <c r="I834" s="1"/>
      <c r="J834" s="1"/>
      <c r="K834" s="1"/>
      <c r="P834" s="414"/>
      <c r="Q834" s="414"/>
      <c r="R834" s="414"/>
      <c r="S834" s="414"/>
      <c r="T834" s="414"/>
      <c r="U834" s="414"/>
    </row>
    <row r="835" spans="5:21" ht="15.6">
      <c r="E835" s="1"/>
      <c r="F835" s="1"/>
      <c r="G835" s="1"/>
      <c r="H835" s="1"/>
      <c r="I835" s="1"/>
      <c r="J835" s="1"/>
      <c r="K835" s="1"/>
      <c r="P835" s="414"/>
      <c r="Q835" s="414"/>
      <c r="R835" s="414"/>
      <c r="S835" s="414"/>
      <c r="T835" s="414"/>
      <c r="U835" s="414"/>
    </row>
    <row r="836" spans="5:21" ht="15.6">
      <c r="E836" s="1"/>
      <c r="F836" s="1"/>
      <c r="G836" s="1"/>
      <c r="H836" s="1"/>
      <c r="I836" s="1"/>
      <c r="J836" s="1"/>
      <c r="K836" s="1"/>
      <c r="P836" s="414"/>
      <c r="Q836" s="414"/>
      <c r="R836" s="414"/>
      <c r="S836" s="414"/>
      <c r="T836" s="414"/>
      <c r="U836" s="414"/>
    </row>
    <row r="837" spans="5:21" ht="15.6">
      <c r="E837" s="1"/>
      <c r="F837" s="1"/>
      <c r="G837" s="1"/>
      <c r="H837" s="1"/>
      <c r="I837" s="1"/>
      <c r="J837" s="1"/>
      <c r="K837" s="1"/>
      <c r="P837" s="414"/>
      <c r="Q837" s="414"/>
      <c r="R837" s="414"/>
      <c r="S837" s="414"/>
      <c r="T837" s="414"/>
      <c r="U837" s="414"/>
    </row>
    <row r="838" spans="5:21" ht="15.6">
      <c r="E838" s="1"/>
      <c r="F838" s="1"/>
      <c r="G838" s="1"/>
      <c r="H838" s="1"/>
      <c r="I838" s="1"/>
      <c r="J838" s="1"/>
      <c r="K838" s="1"/>
      <c r="P838" s="414"/>
      <c r="Q838" s="414"/>
      <c r="R838" s="414"/>
      <c r="S838" s="414"/>
      <c r="T838" s="414"/>
      <c r="U838" s="414"/>
    </row>
    <row r="839" spans="5:21" ht="15.6">
      <c r="E839" s="1"/>
      <c r="F839" s="1"/>
      <c r="G839" s="1"/>
      <c r="H839" s="1"/>
      <c r="I839" s="1"/>
      <c r="J839" s="1"/>
      <c r="K839" s="1"/>
      <c r="P839" s="414"/>
      <c r="Q839" s="414"/>
      <c r="R839" s="414"/>
      <c r="S839" s="414"/>
      <c r="T839" s="414"/>
      <c r="U839" s="414"/>
    </row>
    <row r="840" spans="5:21" ht="15.6">
      <c r="E840" s="1"/>
      <c r="F840" s="1"/>
      <c r="G840" s="1"/>
      <c r="H840" s="1"/>
      <c r="I840" s="1"/>
      <c r="J840" s="1"/>
      <c r="K840" s="1"/>
      <c r="P840" s="414"/>
      <c r="Q840" s="414"/>
      <c r="R840" s="414"/>
      <c r="S840" s="414"/>
      <c r="T840" s="414"/>
      <c r="U840" s="414"/>
    </row>
    <row r="841" spans="5:21" ht="15.6">
      <c r="E841" s="1"/>
      <c r="F841" s="1"/>
      <c r="G841" s="1"/>
      <c r="H841" s="1"/>
      <c r="I841" s="1"/>
      <c r="J841" s="1"/>
      <c r="K841" s="1"/>
      <c r="P841" s="414"/>
      <c r="Q841" s="414"/>
      <c r="R841" s="414"/>
      <c r="S841" s="414"/>
      <c r="T841" s="414"/>
      <c r="U841" s="414"/>
    </row>
    <row r="842" spans="5:21" ht="15.6">
      <c r="E842" s="1"/>
      <c r="F842" s="1"/>
      <c r="G842" s="1"/>
      <c r="H842" s="1"/>
      <c r="I842" s="1"/>
      <c r="J842" s="1"/>
      <c r="K842" s="1"/>
      <c r="P842" s="414"/>
      <c r="Q842" s="414"/>
      <c r="R842" s="414"/>
      <c r="S842" s="414"/>
      <c r="T842" s="414"/>
      <c r="U842" s="414"/>
    </row>
    <row r="843" spans="5:21" ht="15.6">
      <c r="E843" s="1"/>
      <c r="F843" s="1"/>
      <c r="G843" s="1"/>
      <c r="H843" s="1"/>
      <c r="I843" s="1"/>
      <c r="J843" s="1"/>
      <c r="K843" s="1"/>
      <c r="P843" s="414"/>
      <c r="Q843" s="414"/>
      <c r="R843" s="414"/>
      <c r="S843" s="414"/>
      <c r="T843" s="414"/>
      <c r="U843" s="414"/>
    </row>
    <row r="844" spans="5:21" ht="15.6">
      <c r="E844" s="1"/>
      <c r="F844" s="1"/>
      <c r="G844" s="1"/>
      <c r="H844" s="1"/>
      <c r="I844" s="1"/>
      <c r="J844" s="1"/>
      <c r="K844" s="1"/>
      <c r="P844" s="414"/>
      <c r="Q844" s="414"/>
      <c r="R844" s="414"/>
      <c r="S844" s="414"/>
      <c r="T844" s="414"/>
      <c r="U844" s="414"/>
    </row>
    <row r="845" spans="5:21" ht="15.6">
      <c r="E845" s="1"/>
      <c r="F845" s="1"/>
      <c r="G845" s="1"/>
      <c r="H845" s="1"/>
      <c r="I845" s="1"/>
      <c r="J845" s="1"/>
      <c r="K845" s="1"/>
      <c r="P845" s="414"/>
      <c r="Q845" s="414"/>
      <c r="R845" s="414"/>
      <c r="S845" s="414"/>
      <c r="T845" s="414"/>
      <c r="U845" s="414"/>
    </row>
    <row r="846" spans="5:21" ht="15.6">
      <c r="E846" s="1"/>
      <c r="F846" s="1"/>
      <c r="G846" s="1"/>
      <c r="H846" s="1"/>
      <c r="I846" s="1"/>
      <c r="J846" s="1"/>
      <c r="K846" s="1"/>
      <c r="P846" s="414"/>
      <c r="Q846" s="414"/>
      <c r="R846" s="414"/>
      <c r="S846" s="414"/>
      <c r="T846" s="414"/>
      <c r="U846" s="414"/>
    </row>
    <row r="847" spans="5:21" ht="15.6">
      <c r="E847" s="1"/>
      <c r="F847" s="1"/>
      <c r="G847" s="1"/>
      <c r="H847" s="1"/>
      <c r="I847" s="1"/>
      <c r="J847" s="1"/>
      <c r="K847" s="1"/>
      <c r="P847" s="414"/>
      <c r="Q847" s="414"/>
      <c r="R847" s="414"/>
      <c r="S847" s="414"/>
      <c r="T847" s="414"/>
      <c r="U847" s="414"/>
    </row>
    <row r="848" spans="5:21" ht="15.6">
      <c r="E848" s="1"/>
      <c r="F848" s="1"/>
      <c r="G848" s="1"/>
      <c r="H848" s="1"/>
      <c r="I848" s="1"/>
      <c r="J848" s="1"/>
      <c r="K848" s="1"/>
      <c r="P848" s="414"/>
      <c r="Q848" s="414"/>
      <c r="R848" s="414"/>
      <c r="S848" s="414"/>
      <c r="T848" s="414"/>
      <c r="U848" s="414"/>
    </row>
    <row r="849" spans="5:21" ht="15.6">
      <c r="E849" s="1"/>
      <c r="F849" s="1"/>
      <c r="G849" s="1"/>
      <c r="H849" s="1"/>
      <c r="I849" s="1"/>
      <c r="J849" s="1"/>
      <c r="K849" s="1"/>
      <c r="P849" s="414"/>
      <c r="Q849" s="414"/>
      <c r="R849" s="414"/>
      <c r="S849" s="414"/>
      <c r="T849" s="414"/>
      <c r="U849" s="414"/>
    </row>
    <row r="850" spans="5:21" ht="15.6">
      <c r="E850" s="1"/>
      <c r="F850" s="1"/>
      <c r="G850" s="1"/>
      <c r="H850" s="1"/>
      <c r="I850" s="1"/>
      <c r="J850" s="1"/>
      <c r="K850" s="1"/>
      <c r="P850" s="414"/>
      <c r="Q850" s="414"/>
      <c r="R850" s="414"/>
      <c r="S850" s="414"/>
      <c r="T850" s="414"/>
      <c r="U850" s="414"/>
    </row>
    <row r="851" spans="5:21" ht="15.6">
      <c r="E851" s="1"/>
      <c r="F851" s="1"/>
      <c r="G851" s="1"/>
      <c r="H851" s="1"/>
      <c r="I851" s="1"/>
      <c r="J851" s="1"/>
      <c r="K851" s="1"/>
      <c r="P851" s="414"/>
      <c r="Q851" s="414"/>
      <c r="R851" s="414"/>
      <c r="S851" s="414"/>
      <c r="T851" s="414"/>
      <c r="U851" s="414"/>
    </row>
    <row r="852" spans="5:21" ht="15.6">
      <c r="E852" s="1"/>
      <c r="F852" s="1"/>
      <c r="G852" s="1"/>
      <c r="H852" s="1"/>
      <c r="I852" s="1"/>
      <c r="J852" s="1"/>
      <c r="K852" s="1"/>
      <c r="P852" s="414"/>
      <c r="Q852" s="414"/>
      <c r="R852" s="414"/>
      <c r="S852" s="414"/>
      <c r="T852" s="414"/>
      <c r="U852" s="414"/>
    </row>
    <row r="853" spans="5:21" ht="15.6">
      <c r="E853" s="1"/>
      <c r="F853" s="1"/>
      <c r="G853" s="1"/>
      <c r="H853" s="1"/>
      <c r="I853" s="1"/>
      <c r="J853" s="1"/>
      <c r="K853" s="1"/>
      <c r="P853" s="414"/>
      <c r="Q853" s="414"/>
      <c r="R853" s="414"/>
      <c r="S853" s="414"/>
      <c r="T853" s="414"/>
      <c r="U853" s="414"/>
    </row>
    <row r="854" spans="5:21" ht="15.6">
      <c r="E854" s="1"/>
      <c r="F854" s="1"/>
      <c r="G854" s="1"/>
      <c r="H854" s="1"/>
      <c r="I854" s="1"/>
      <c r="J854" s="1"/>
      <c r="K854" s="1"/>
      <c r="P854" s="414"/>
      <c r="Q854" s="414"/>
      <c r="R854" s="414"/>
      <c r="S854" s="414"/>
      <c r="T854" s="414"/>
      <c r="U854" s="414"/>
    </row>
    <row r="855" spans="5:21" ht="15.6">
      <c r="E855" s="1"/>
      <c r="F855" s="1"/>
      <c r="G855" s="1"/>
      <c r="H855" s="1"/>
      <c r="I855" s="1"/>
      <c r="J855" s="1"/>
      <c r="K855" s="1"/>
      <c r="P855" s="414"/>
      <c r="Q855" s="414"/>
      <c r="R855" s="414"/>
      <c r="S855" s="414"/>
      <c r="T855" s="414"/>
      <c r="U855" s="414"/>
    </row>
    <row r="856" spans="5:21" ht="15.6">
      <c r="E856" s="1"/>
      <c r="F856" s="1"/>
      <c r="G856" s="1"/>
      <c r="H856" s="1"/>
      <c r="I856" s="1"/>
      <c r="J856" s="1"/>
      <c r="K856" s="1"/>
      <c r="P856" s="414"/>
      <c r="Q856" s="414"/>
      <c r="R856" s="414"/>
      <c r="S856" s="414"/>
      <c r="T856" s="414"/>
      <c r="U856" s="414"/>
    </row>
    <row r="857" spans="5:21" ht="15.6">
      <c r="E857" s="1"/>
      <c r="F857" s="1"/>
      <c r="G857" s="1"/>
      <c r="H857" s="1"/>
      <c r="I857" s="1"/>
      <c r="J857" s="1"/>
      <c r="K857" s="1"/>
      <c r="P857" s="414"/>
      <c r="Q857" s="414"/>
      <c r="R857" s="414"/>
      <c r="S857" s="414"/>
      <c r="T857" s="414"/>
      <c r="U857" s="414"/>
    </row>
    <row r="858" spans="5:21" ht="15.6">
      <c r="E858" s="1"/>
      <c r="F858" s="1"/>
      <c r="G858" s="1"/>
      <c r="H858" s="1"/>
      <c r="I858" s="1"/>
      <c r="J858" s="1"/>
      <c r="K858" s="1"/>
      <c r="P858" s="414"/>
      <c r="Q858" s="414"/>
      <c r="R858" s="414"/>
      <c r="S858" s="414"/>
      <c r="T858" s="414"/>
      <c r="U858" s="414"/>
    </row>
    <row r="859" spans="5:21" ht="15.6">
      <c r="E859" s="1"/>
      <c r="F859" s="1"/>
      <c r="G859" s="1"/>
      <c r="H859" s="1"/>
      <c r="I859" s="1"/>
      <c r="J859" s="1"/>
      <c r="K859" s="1"/>
      <c r="P859" s="414"/>
      <c r="Q859" s="414"/>
      <c r="R859" s="414"/>
      <c r="S859" s="414"/>
      <c r="T859" s="414"/>
      <c r="U859" s="414"/>
    </row>
    <row r="860" spans="5:21" ht="15.6">
      <c r="E860" s="1"/>
      <c r="F860" s="1"/>
      <c r="G860" s="1"/>
      <c r="H860" s="1"/>
      <c r="I860" s="1"/>
      <c r="J860" s="1"/>
      <c r="K860" s="1"/>
      <c r="P860" s="414"/>
      <c r="Q860" s="414"/>
      <c r="R860" s="414"/>
      <c r="S860" s="414"/>
      <c r="T860" s="414"/>
      <c r="U860" s="414"/>
    </row>
    <row r="861" spans="5:21" ht="15.6">
      <c r="E861" s="1"/>
      <c r="F861" s="1"/>
      <c r="G861" s="1"/>
      <c r="H861" s="1"/>
      <c r="I861" s="1"/>
      <c r="J861" s="1"/>
      <c r="K861" s="1"/>
      <c r="P861" s="414"/>
      <c r="Q861" s="414"/>
      <c r="R861" s="414"/>
      <c r="S861" s="414"/>
      <c r="T861" s="414"/>
      <c r="U861" s="414"/>
    </row>
    <row r="862" spans="5:21" ht="15.6">
      <c r="E862" s="1"/>
      <c r="F862" s="1"/>
      <c r="G862" s="1"/>
      <c r="H862" s="1"/>
      <c r="I862" s="1"/>
      <c r="J862" s="1"/>
      <c r="K862" s="1"/>
      <c r="P862" s="414"/>
      <c r="Q862" s="414"/>
      <c r="R862" s="414"/>
      <c r="S862" s="414"/>
      <c r="T862" s="414"/>
      <c r="U862" s="414"/>
    </row>
    <row r="863" spans="5:21" ht="15.6">
      <c r="E863" s="1"/>
      <c r="F863" s="1"/>
      <c r="G863" s="1"/>
      <c r="H863" s="1"/>
      <c r="I863" s="1"/>
      <c r="J863" s="1"/>
      <c r="K863" s="1"/>
      <c r="P863" s="414"/>
      <c r="Q863" s="414"/>
      <c r="R863" s="414"/>
      <c r="S863" s="414"/>
      <c r="T863" s="414"/>
      <c r="U863" s="414"/>
    </row>
    <row r="864" spans="5:21" ht="15.6">
      <c r="E864" s="1"/>
      <c r="F864" s="1"/>
      <c r="G864" s="1"/>
      <c r="H864" s="1"/>
      <c r="I864" s="1"/>
      <c r="J864" s="1"/>
      <c r="K864" s="1"/>
      <c r="P864" s="414"/>
      <c r="Q864" s="414"/>
      <c r="R864" s="414"/>
      <c r="S864" s="414"/>
      <c r="T864" s="414"/>
      <c r="U864" s="414"/>
    </row>
    <row r="865" spans="5:21" ht="15.6">
      <c r="E865" s="1"/>
      <c r="F865" s="1"/>
      <c r="G865" s="1"/>
      <c r="H865" s="1"/>
      <c r="I865" s="1"/>
      <c r="J865" s="1"/>
      <c r="K865" s="1"/>
      <c r="P865" s="414"/>
      <c r="Q865" s="414"/>
      <c r="R865" s="414"/>
      <c r="S865" s="414"/>
      <c r="T865" s="414"/>
      <c r="U865" s="414"/>
    </row>
    <row r="866" spans="5:21" ht="15.6">
      <c r="E866" s="1"/>
      <c r="F866" s="1"/>
      <c r="G866" s="1"/>
      <c r="H866" s="1"/>
      <c r="I866" s="1"/>
      <c r="J866" s="1"/>
      <c r="K866" s="1"/>
      <c r="P866" s="414"/>
      <c r="Q866" s="414"/>
      <c r="R866" s="414"/>
      <c r="S866" s="414"/>
      <c r="T866" s="414"/>
      <c r="U866" s="414"/>
    </row>
    <row r="867" spans="5:21" ht="15.6">
      <c r="E867" s="1"/>
      <c r="F867" s="1"/>
      <c r="G867" s="1"/>
      <c r="H867" s="1"/>
      <c r="I867" s="1"/>
      <c r="J867" s="1"/>
      <c r="K867" s="1"/>
      <c r="P867" s="414"/>
      <c r="Q867" s="414"/>
      <c r="R867" s="414"/>
      <c r="S867" s="414"/>
      <c r="T867" s="414"/>
      <c r="U867" s="414"/>
    </row>
    <row r="868" spans="5:21" ht="15.6">
      <c r="E868" s="1"/>
      <c r="F868" s="1"/>
      <c r="G868" s="1"/>
      <c r="H868" s="1"/>
      <c r="I868" s="1"/>
      <c r="J868" s="1"/>
      <c r="K868" s="1"/>
      <c r="P868" s="414"/>
      <c r="Q868" s="414"/>
      <c r="R868" s="414"/>
      <c r="S868" s="414"/>
      <c r="T868" s="414"/>
      <c r="U868" s="414"/>
    </row>
    <row r="869" spans="5:21" ht="15.6">
      <c r="E869" s="1"/>
      <c r="F869" s="1"/>
      <c r="G869" s="1"/>
      <c r="H869" s="1"/>
      <c r="I869" s="1"/>
      <c r="J869" s="1"/>
      <c r="K869" s="1"/>
      <c r="P869" s="414"/>
      <c r="Q869" s="414"/>
      <c r="R869" s="414"/>
      <c r="S869" s="414"/>
      <c r="T869" s="414"/>
      <c r="U869" s="414"/>
    </row>
    <row r="870" spans="5:21" ht="15.6">
      <c r="E870" s="1"/>
      <c r="F870" s="1"/>
      <c r="G870" s="1"/>
      <c r="H870" s="1"/>
      <c r="I870" s="1"/>
      <c r="J870" s="1"/>
      <c r="K870" s="1"/>
      <c r="P870" s="414"/>
      <c r="Q870" s="414"/>
      <c r="R870" s="414"/>
      <c r="S870" s="414"/>
      <c r="T870" s="414"/>
      <c r="U870" s="414"/>
    </row>
    <row r="871" spans="5:21" ht="15.6">
      <c r="E871" s="1"/>
      <c r="F871" s="1"/>
      <c r="G871" s="1"/>
      <c r="H871" s="1"/>
      <c r="I871" s="1"/>
      <c r="J871" s="1"/>
      <c r="K871" s="1"/>
      <c r="P871" s="414"/>
      <c r="Q871" s="414"/>
      <c r="R871" s="414"/>
      <c r="S871" s="414"/>
      <c r="T871" s="414"/>
      <c r="U871" s="414"/>
    </row>
    <row r="872" spans="5:21" ht="15.6">
      <c r="E872" s="1"/>
      <c r="F872" s="1"/>
      <c r="G872" s="1"/>
      <c r="H872" s="1"/>
      <c r="I872" s="1"/>
      <c r="J872" s="1"/>
      <c r="K872" s="1"/>
      <c r="P872" s="414"/>
      <c r="Q872" s="414"/>
      <c r="R872" s="414"/>
      <c r="S872" s="414"/>
      <c r="T872" s="414"/>
      <c r="U872" s="414"/>
    </row>
    <row r="873" spans="5:21" ht="15.6">
      <c r="E873" s="1"/>
      <c r="F873" s="1"/>
      <c r="G873" s="1"/>
      <c r="H873" s="1"/>
      <c r="I873" s="1"/>
      <c r="J873" s="1"/>
      <c r="K873" s="1"/>
      <c r="P873" s="414"/>
      <c r="Q873" s="414"/>
      <c r="R873" s="414"/>
      <c r="S873" s="414"/>
      <c r="T873" s="414"/>
      <c r="U873" s="414"/>
    </row>
    <row r="874" spans="5:21" ht="15.6">
      <c r="E874" s="1"/>
      <c r="F874" s="1"/>
      <c r="G874" s="1"/>
      <c r="H874" s="1"/>
      <c r="I874" s="1"/>
      <c r="J874" s="1"/>
      <c r="K874" s="1"/>
      <c r="P874" s="414"/>
      <c r="Q874" s="414"/>
      <c r="R874" s="414"/>
      <c r="S874" s="414"/>
      <c r="T874" s="414"/>
      <c r="U874" s="414"/>
    </row>
    <row r="875" spans="5:21" ht="15.6">
      <c r="E875" s="1"/>
      <c r="F875" s="1"/>
      <c r="G875" s="1"/>
      <c r="H875" s="1"/>
      <c r="I875" s="1"/>
      <c r="J875" s="1"/>
      <c r="K875" s="1"/>
      <c r="P875" s="414"/>
      <c r="Q875" s="414"/>
      <c r="R875" s="414"/>
      <c r="S875" s="414"/>
      <c r="T875" s="414"/>
      <c r="U875" s="414"/>
    </row>
    <row r="876" spans="5:21" ht="15.6">
      <c r="E876" s="1"/>
      <c r="F876" s="1"/>
      <c r="G876" s="1"/>
      <c r="H876" s="1"/>
      <c r="I876" s="1"/>
      <c r="J876" s="1"/>
      <c r="K876" s="1"/>
      <c r="P876" s="414"/>
      <c r="Q876" s="414"/>
      <c r="R876" s="414"/>
      <c r="S876" s="414"/>
      <c r="T876" s="414"/>
      <c r="U876" s="414"/>
    </row>
    <row r="877" spans="5:21" ht="15.6">
      <c r="E877" s="1"/>
      <c r="F877" s="1"/>
      <c r="G877" s="1"/>
      <c r="H877" s="1"/>
      <c r="I877" s="1"/>
      <c r="J877" s="1"/>
      <c r="K877" s="1"/>
      <c r="P877" s="414"/>
      <c r="Q877" s="414"/>
      <c r="R877" s="414"/>
      <c r="S877" s="414"/>
      <c r="T877" s="414"/>
      <c r="U877" s="414"/>
    </row>
    <row r="878" spans="5:21" ht="15.6">
      <c r="E878" s="1"/>
      <c r="F878" s="1"/>
      <c r="G878" s="1"/>
      <c r="H878" s="1"/>
      <c r="I878" s="1"/>
      <c r="J878" s="1"/>
      <c r="K878" s="1"/>
      <c r="P878" s="414"/>
      <c r="Q878" s="414"/>
      <c r="R878" s="414"/>
      <c r="S878" s="414"/>
      <c r="T878" s="414"/>
      <c r="U878" s="414"/>
    </row>
    <row r="879" spans="5:21" ht="15.6">
      <c r="E879" s="1"/>
      <c r="F879" s="1"/>
      <c r="G879" s="1"/>
      <c r="H879" s="1"/>
      <c r="I879" s="1"/>
      <c r="J879" s="1"/>
      <c r="K879" s="1"/>
      <c r="P879" s="414"/>
      <c r="Q879" s="414"/>
      <c r="R879" s="414"/>
      <c r="S879" s="414"/>
      <c r="T879" s="414"/>
      <c r="U879" s="414"/>
    </row>
    <row r="880" spans="5:21" ht="15.6">
      <c r="E880" s="1"/>
      <c r="F880" s="1"/>
      <c r="G880" s="1"/>
      <c r="H880" s="1"/>
      <c r="I880" s="1"/>
      <c r="J880" s="1"/>
      <c r="K880" s="1"/>
      <c r="P880" s="414"/>
      <c r="Q880" s="414"/>
      <c r="R880" s="414"/>
      <c r="S880" s="414"/>
      <c r="T880" s="414"/>
      <c r="U880" s="414"/>
    </row>
    <row r="881" spans="5:21" ht="15.6">
      <c r="E881" s="1"/>
      <c r="F881" s="1"/>
      <c r="G881" s="1"/>
      <c r="H881" s="1"/>
      <c r="I881" s="1"/>
      <c r="J881" s="1"/>
      <c r="K881" s="1"/>
      <c r="P881" s="414"/>
      <c r="Q881" s="414"/>
      <c r="R881" s="414"/>
      <c r="S881" s="414"/>
      <c r="T881" s="414"/>
      <c r="U881" s="414"/>
    </row>
    <row r="882" spans="5:21" ht="15.6">
      <c r="E882" s="1"/>
      <c r="F882" s="1"/>
      <c r="G882" s="1"/>
      <c r="H882" s="1"/>
      <c r="I882" s="1"/>
      <c r="J882" s="1"/>
      <c r="K882" s="1"/>
      <c r="P882" s="414"/>
      <c r="Q882" s="414"/>
      <c r="R882" s="414"/>
      <c r="S882" s="414"/>
      <c r="T882" s="414"/>
      <c r="U882" s="414"/>
    </row>
    <row r="883" spans="5:21" ht="15.6">
      <c r="E883" s="1"/>
      <c r="F883" s="1"/>
      <c r="G883" s="1"/>
      <c r="H883" s="1"/>
      <c r="I883" s="1"/>
      <c r="J883" s="1"/>
      <c r="K883" s="1"/>
      <c r="P883" s="414"/>
      <c r="Q883" s="414"/>
      <c r="R883" s="414"/>
      <c r="S883" s="414"/>
      <c r="T883" s="414"/>
      <c r="U883" s="414"/>
    </row>
    <row r="884" spans="5:21" ht="15.6">
      <c r="E884" s="1"/>
      <c r="F884" s="1"/>
      <c r="G884" s="1"/>
      <c r="H884" s="1"/>
      <c r="I884" s="1"/>
      <c r="J884" s="1"/>
      <c r="K884" s="1"/>
      <c r="P884" s="414"/>
      <c r="Q884" s="414"/>
      <c r="R884" s="414"/>
      <c r="S884" s="414"/>
      <c r="T884" s="414"/>
      <c r="U884" s="414"/>
    </row>
    <row r="885" spans="5:21" ht="15.6">
      <c r="E885" s="1"/>
      <c r="F885" s="1"/>
      <c r="G885" s="1"/>
      <c r="H885" s="1"/>
      <c r="I885" s="1"/>
      <c r="J885" s="1"/>
      <c r="K885" s="1"/>
      <c r="P885" s="414"/>
      <c r="Q885" s="414"/>
      <c r="R885" s="414"/>
      <c r="S885" s="414"/>
      <c r="T885" s="414"/>
      <c r="U885" s="414"/>
    </row>
    <row r="886" spans="5:21" ht="15.6">
      <c r="E886" s="1"/>
      <c r="F886" s="1"/>
      <c r="G886" s="1"/>
      <c r="H886" s="1"/>
      <c r="I886" s="1"/>
      <c r="J886" s="1"/>
      <c r="K886" s="1"/>
      <c r="P886" s="414"/>
      <c r="Q886" s="414"/>
      <c r="R886" s="414"/>
      <c r="S886" s="414"/>
      <c r="T886" s="414"/>
      <c r="U886" s="414"/>
    </row>
    <row r="887" spans="5:21" ht="15.6">
      <c r="E887" s="1"/>
      <c r="F887" s="1"/>
      <c r="G887" s="1"/>
      <c r="H887" s="1"/>
      <c r="I887" s="1"/>
      <c r="J887" s="1"/>
      <c r="K887" s="1"/>
      <c r="P887" s="414"/>
      <c r="Q887" s="414"/>
      <c r="R887" s="414"/>
      <c r="S887" s="414"/>
      <c r="T887" s="414"/>
      <c r="U887" s="414"/>
    </row>
    <row r="888" spans="5:21" ht="15.6">
      <c r="E888" s="1"/>
      <c r="F888" s="1"/>
      <c r="G888" s="1"/>
      <c r="H888" s="1"/>
      <c r="I888" s="1"/>
      <c r="J888" s="1"/>
      <c r="K888" s="1"/>
      <c r="P888" s="414"/>
      <c r="Q888" s="414"/>
      <c r="R888" s="414"/>
      <c r="S888" s="414"/>
      <c r="T888" s="414"/>
      <c r="U888" s="414"/>
    </row>
    <row r="889" spans="5:21" ht="15.6">
      <c r="E889" s="1"/>
      <c r="F889" s="1"/>
      <c r="G889" s="1"/>
      <c r="H889" s="1"/>
      <c r="I889" s="1"/>
      <c r="J889" s="1"/>
      <c r="K889" s="1"/>
      <c r="P889" s="414"/>
      <c r="Q889" s="414"/>
      <c r="R889" s="414"/>
      <c r="S889" s="414"/>
      <c r="T889" s="414"/>
      <c r="U889" s="414"/>
    </row>
    <row r="890" spans="5:21" ht="15.6">
      <c r="E890" s="1"/>
      <c r="F890" s="1"/>
      <c r="G890" s="1"/>
      <c r="H890" s="1"/>
      <c r="I890" s="1"/>
      <c r="J890" s="1"/>
      <c r="K890" s="1"/>
      <c r="P890" s="414"/>
      <c r="Q890" s="414"/>
      <c r="R890" s="414"/>
      <c r="S890" s="414"/>
      <c r="T890" s="414"/>
      <c r="U890" s="414"/>
    </row>
    <row r="891" spans="5:21" ht="15.6">
      <c r="E891" s="1"/>
      <c r="F891" s="1"/>
      <c r="G891" s="1"/>
      <c r="H891" s="1"/>
      <c r="I891" s="1"/>
      <c r="J891" s="1"/>
      <c r="K891" s="1"/>
      <c r="P891" s="414"/>
      <c r="Q891" s="414"/>
      <c r="R891" s="414"/>
      <c r="S891" s="414"/>
      <c r="T891" s="414"/>
      <c r="U891" s="414"/>
    </row>
    <row r="892" spans="5:21" ht="15.6">
      <c r="E892" s="1"/>
      <c r="F892" s="1"/>
      <c r="G892" s="1"/>
      <c r="H892" s="1"/>
      <c r="I892" s="1"/>
      <c r="J892" s="1"/>
      <c r="K892" s="1"/>
      <c r="P892" s="414"/>
      <c r="Q892" s="414"/>
      <c r="R892" s="414"/>
      <c r="S892" s="414"/>
      <c r="T892" s="414"/>
      <c r="U892" s="414"/>
    </row>
    <row r="893" spans="5:21" ht="15.6">
      <c r="E893" s="1"/>
      <c r="F893" s="1"/>
      <c r="G893" s="1"/>
      <c r="H893" s="1"/>
      <c r="I893" s="1"/>
      <c r="J893" s="1"/>
      <c r="K893" s="1"/>
      <c r="P893" s="414"/>
      <c r="Q893" s="414"/>
      <c r="R893" s="414"/>
      <c r="S893" s="414"/>
      <c r="T893" s="414"/>
      <c r="U893" s="414"/>
    </row>
    <row r="894" spans="5:21" ht="15.6">
      <c r="E894" s="1"/>
      <c r="F894" s="1"/>
      <c r="G894" s="1"/>
      <c r="H894" s="1"/>
      <c r="I894" s="1"/>
      <c r="J894" s="1"/>
      <c r="K894" s="1"/>
      <c r="P894" s="414"/>
      <c r="Q894" s="414"/>
      <c r="R894" s="414"/>
      <c r="S894" s="414"/>
      <c r="T894" s="414"/>
      <c r="U894" s="414"/>
    </row>
    <row r="895" spans="5:21" ht="15.6">
      <c r="E895" s="1"/>
      <c r="F895" s="1"/>
      <c r="G895" s="1"/>
      <c r="H895" s="1"/>
      <c r="I895" s="1"/>
      <c r="J895" s="1"/>
      <c r="K895" s="1"/>
      <c r="P895" s="414"/>
      <c r="Q895" s="414"/>
      <c r="R895" s="414"/>
      <c r="S895" s="414"/>
      <c r="T895" s="414"/>
      <c r="U895" s="414"/>
    </row>
    <row r="896" spans="5:21" ht="15.6">
      <c r="E896" s="1"/>
      <c r="F896" s="1"/>
      <c r="G896" s="1"/>
      <c r="H896" s="1"/>
      <c r="I896" s="1"/>
      <c r="J896" s="1"/>
      <c r="K896" s="1"/>
      <c r="P896" s="414"/>
      <c r="Q896" s="414"/>
      <c r="R896" s="414"/>
      <c r="S896" s="414"/>
      <c r="T896" s="414"/>
      <c r="U896" s="414"/>
    </row>
    <row r="897" spans="5:21" ht="15.6">
      <c r="E897" s="1"/>
      <c r="F897" s="1"/>
      <c r="G897" s="1"/>
      <c r="H897" s="1"/>
      <c r="I897" s="1"/>
      <c r="J897" s="1"/>
      <c r="K897" s="1"/>
      <c r="P897" s="414"/>
      <c r="Q897" s="414"/>
      <c r="R897" s="414"/>
      <c r="S897" s="414"/>
      <c r="T897" s="414"/>
      <c r="U897" s="414"/>
    </row>
    <row r="898" spans="5:21" ht="15.6">
      <c r="E898" s="1"/>
      <c r="F898" s="1"/>
      <c r="G898" s="1"/>
      <c r="H898" s="1"/>
      <c r="I898" s="1"/>
      <c r="J898" s="1"/>
      <c r="K898" s="1"/>
      <c r="P898" s="414"/>
      <c r="Q898" s="414"/>
      <c r="R898" s="414"/>
      <c r="S898" s="414"/>
      <c r="T898" s="414"/>
      <c r="U898" s="414"/>
    </row>
    <row r="899" spans="5:21" ht="15.6">
      <c r="E899" s="1"/>
      <c r="F899" s="1"/>
      <c r="G899" s="1"/>
      <c r="H899" s="1"/>
      <c r="I899" s="1"/>
      <c r="J899" s="1"/>
      <c r="K899" s="1"/>
      <c r="P899" s="414"/>
      <c r="Q899" s="414"/>
      <c r="R899" s="414"/>
      <c r="S899" s="414"/>
      <c r="T899" s="414"/>
      <c r="U899" s="414"/>
    </row>
    <row r="900" spans="5:21" ht="15.6">
      <c r="E900" s="1"/>
      <c r="F900" s="1"/>
      <c r="G900" s="1"/>
      <c r="H900" s="1"/>
      <c r="I900" s="1"/>
      <c r="J900" s="1"/>
      <c r="K900" s="1"/>
      <c r="P900" s="414"/>
      <c r="Q900" s="414"/>
      <c r="R900" s="414"/>
      <c r="S900" s="414"/>
      <c r="T900" s="414"/>
      <c r="U900" s="414"/>
    </row>
    <row r="901" spans="5:21" ht="15.6">
      <c r="E901" s="1"/>
      <c r="F901" s="1"/>
      <c r="G901" s="1"/>
      <c r="H901" s="1"/>
      <c r="I901" s="1"/>
      <c r="J901" s="1"/>
      <c r="K901" s="1"/>
      <c r="P901" s="414"/>
      <c r="Q901" s="414"/>
      <c r="R901" s="414"/>
      <c r="S901" s="414"/>
      <c r="T901" s="414"/>
      <c r="U901" s="414"/>
    </row>
    <row r="902" spans="5:21" ht="15.6">
      <c r="E902" s="1"/>
      <c r="F902" s="1"/>
      <c r="G902" s="1"/>
      <c r="H902" s="1"/>
      <c r="I902" s="1"/>
      <c r="J902" s="1"/>
      <c r="K902" s="1"/>
      <c r="P902" s="414"/>
      <c r="Q902" s="414"/>
      <c r="R902" s="414"/>
      <c r="S902" s="414"/>
      <c r="T902" s="414"/>
      <c r="U902" s="414"/>
    </row>
    <row r="903" spans="5:21" ht="15.6">
      <c r="E903" s="1"/>
      <c r="F903" s="1"/>
      <c r="G903" s="1"/>
      <c r="H903" s="1"/>
      <c r="I903" s="1"/>
      <c r="J903" s="1"/>
      <c r="K903" s="1"/>
      <c r="P903" s="414"/>
      <c r="Q903" s="414"/>
      <c r="R903" s="414"/>
      <c r="S903" s="414"/>
      <c r="T903" s="414"/>
      <c r="U903" s="414"/>
    </row>
    <row r="904" spans="5:21" ht="15.6">
      <c r="E904" s="1"/>
      <c r="F904" s="1"/>
      <c r="G904" s="1"/>
      <c r="H904" s="1"/>
      <c r="I904" s="1"/>
      <c r="J904" s="1"/>
      <c r="K904" s="1"/>
      <c r="P904" s="414"/>
      <c r="Q904" s="414"/>
      <c r="R904" s="414"/>
      <c r="S904" s="414"/>
      <c r="T904" s="414"/>
      <c r="U904" s="414"/>
    </row>
    <row r="905" spans="5:21" ht="15.6">
      <c r="E905" s="1"/>
      <c r="F905" s="1"/>
      <c r="G905" s="1"/>
      <c r="H905" s="1"/>
      <c r="I905" s="1"/>
      <c r="J905" s="1"/>
      <c r="K905" s="1"/>
      <c r="P905" s="414"/>
      <c r="Q905" s="414"/>
      <c r="R905" s="414"/>
      <c r="S905" s="414"/>
      <c r="T905" s="414"/>
      <c r="U905" s="414"/>
    </row>
    <row r="906" spans="5:21" ht="15.6">
      <c r="E906" s="1"/>
      <c r="F906" s="1"/>
      <c r="G906" s="1"/>
      <c r="H906" s="1"/>
      <c r="I906" s="1"/>
      <c r="J906" s="1"/>
      <c r="K906" s="1"/>
      <c r="P906" s="414"/>
      <c r="Q906" s="414"/>
      <c r="R906" s="414"/>
      <c r="S906" s="414"/>
      <c r="T906" s="414"/>
      <c r="U906" s="414"/>
    </row>
    <row r="907" spans="5:21" ht="15.6">
      <c r="E907" s="1"/>
      <c r="F907" s="1"/>
      <c r="G907" s="1"/>
      <c r="H907" s="1"/>
      <c r="I907" s="1"/>
      <c r="J907" s="1"/>
      <c r="K907" s="1"/>
      <c r="P907" s="414"/>
      <c r="Q907" s="414"/>
      <c r="R907" s="414"/>
      <c r="S907" s="414"/>
      <c r="T907" s="414"/>
      <c r="U907" s="414"/>
    </row>
    <row r="908" spans="5:21" ht="15.6">
      <c r="E908" s="1"/>
      <c r="F908" s="1"/>
      <c r="G908" s="1"/>
      <c r="H908" s="1"/>
      <c r="I908" s="1"/>
      <c r="J908" s="1"/>
      <c r="K908" s="1"/>
      <c r="P908" s="414"/>
      <c r="Q908" s="414"/>
      <c r="R908" s="414"/>
      <c r="S908" s="414"/>
      <c r="T908" s="414"/>
      <c r="U908" s="414"/>
    </row>
    <row r="909" spans="5:21" ht="15.6">
      <c r="E909" s="1"/>
      <c r="F909" s="1"/>
      <c r="G909" s="1"/>
      <c r="H909" s="1"/>
      <c r="I909" s="1"/>
      <c r="J909" s="1"/>
      <c r="K909" s="1"/>
      <c r="P909" s="414"/>
      <c r="Q909" s="414"/>
      <c r="R909" s="414"/>
      <c r="S909" s="414"/>
      <c r="T909" s="414"/>
      <c r="U909" s="414"/>
    </row>
    <row r="910" spans="5:21" ht="15.6">
      <c r="E910" s="1"/>
      <c r="F910" s="1"/>
      <c r="G910" s="1"/>
      <c r="H910" s="1"/>
      <c r="I910" s="1"/>
      <c r="J910" s="1"/>
      <c r="K910" s="1"/>
      <c r="P910" s="414"/>
      <c r="Q910" s="414"/>
      <c r="R910" s="414"/>
      <c r="S910" s="414"/>
      <c r="T910" s="414"/>
      <c r="U910" s="414"/>
    </row>
    <row r="911" spans="5:21" ht="15.6">
      <c r="E911" s="1"/>
      <c r="F911" s="1"/>
      <c r="G911" s="1"/>
      <c r="H911" s="1"/>
      <c r="I911" s="1"/>
      <c r="J911" s="1"/>
      <c r="K911" s="1"/>
      <c r="P911" s="414"/>
      <c r="Q911" s="414"/>
      <c r="R911" s="414"/>
      <c r="S911" s="414"/>
      <c r="T911" s="414"/>
      <c r="U911" s="414"/>
    </row>
    <row r="912" spans="5:21" ht="15.6">
      <c r="E912" s="1"/>
      <c r="F912" s="1"/>
      <c r="G912" s="1"/>
      <c r="H912" s="1"/>
      <c r="I912" s="1"/>
      <c r="J912" s="1"/>
      <c r="K912" s="1"/>
      <c r="P912" s="414"/>
      <c r="Q912" s="414"/>
      <c r="R912" s="414"/>
      <c r="S912" s="414"/>
      <c r="T912" s="414"/>
      <c r="U912" s="414"/>
    </row>
    <row r="913" spans="5:21" ht="15.6">
      <c r="E913" s="1"/>
      <c r="F913" s="1"/>
      <c r="G913" s="1"/>
      <c r="H913" s="1"/>
      <c r="I913" s="1"/>
      <c r="J913" s="1"/>
      <c r="K913" s="1"/>
      <c r="P913" s="414"/>
      <c r="Q913" s="414"/>
      <c r="R913" s="414"/>
      <c r="S913" s="414"/>
      <c r="T913" s="414"/>
      <c r="U913" s="414"/>
    </row>
    <row r="914" spans="5:21" ht="15.6">
      <c r="E914" s="1"/>
      <c r="F914" s="1"/>
      <c r="G914" s="1"/>
      <c r="H914" s="1"/>
      <c r="I914" s="1"/>
      <c r="J914" s="1"/>
      <c r="K914" s="1"/>
      <c r="P914" s="414"/>
      <c r="Q914" s="414"/>
      <c r="R914" s="414"/>
      <c r="S914" s="414"/>
      <c r="T914" s="414"/>
      <c r="U914" s="414"/>
    </row>
    <row r="915" spans="5:21" ht="15.6">
      <c r="E915" s="1"/>
      <c r="F915" s="1"/>
      <c r="G915" s="1"/>
      <c r="H915" s="1"/>
      <c r="I915" s="1"/>
      <c r="J915" s="1"/>
      <c r="K915" s="1"/>
      <c r="P915" s="414"/>
      <c r="Q915" s="414"/>
      <c r="R915" s="414"/>
      <c r="S915" s="414"/>
      <c r="T915" s="414"/>
      <c r="U915" s="414"/>
    </row>
    <row r="916" spans="5:21" ht="15.6">
      <c r="E916" s="1"/>
      <c r="F916" s="1"/>
      <c r="G916" s="1"/>
      <c r="H916" s="1"/>
      <c r="I916" s="1"/>
      <c r="J916" s="1"/>
      <c r="K916" s="1"/>
      <c r="P916" s="414"/>
      <c r="Q916" s="414"/>
      <c r="R916" s="414"/>
      <c r="S916" s="414"/>
      <c r="T916" s="414"/>
      <c r="U916" s="414"/>
    </row>
    <row r="917" spans="5:21" ht="15.6">
      <c r="E917" s="1"/>
      <c r="F917" s="1"/>
      <c r="G917" s="1"/>
      <c r="H917" s="1"/>
      <c r="I917" s="1"/>
      <c r="J917" s="1"/>
      <c r="K917" s="1"/>
      <c r="P917" s="414"/>
      <c r="Q917" s="414"/>
      <c r="R917" s="414"/>
      <c r="S917" s="414"/>
      <c r="T917" s="414"/>
      <c r="U917" s="414"/>
    </row>
    <row r="918" spans="5:21" ht="15.6">
      <c r="E918" s="1"/>
      <c r="F918" s="1"/>
      <c r="G918" s="1"/>
      <c r="H918" s="1"/>
      <c r="I918" s="1"/>
      <c r="J918" s="1"/>
      <c r="K918" s="1"/>
      <c r="P918" s="414"/>
      <c r="Q918" s="414"/>
      <c r="R918" s="414"/>
      <c r="S918" s="414"/>
      <c r="T918" s="414"/>
      <c r="U918" s="414"/>
    </row>
    <row r="919" spans="5:21" ht="15.6">
      <c r="E919" s="1"/>
      <c r="F919" s="1"/>
      <c r="G919" s="1"/>
      <c r="H919" s="1"/>
      <c r="I919" s="1"/>
      <c r="J919" s="1"/>
      <c r="K919" s="1"/>
      <c r="P919" s="414"/>
      <c r="Q919" s="414"/>
      <c r="R919" s="414"/>
      <c r="S919" s="414"/>
      <c r="T919" s="414"/>
      <c r="U919" s="414"/>
    </row>
    <row r="920" spans="5:21" ht="15.6">
      <c r="E920" s="1"/>
      <c r="F920" s="1"/>
      <c r="G920" s="1"/>
      <c r="H920" s="1"/>
      <c r="I920" s="1"/>
      <c r="J920" s="1"/>
      <c r="K920" s="1"/>
      <c r="P920" s="414"/>
      <c r="Q920" s="414"/>
      <c r="R920" s="414"/>
      <c r="S920" s="414"/>
      <c r="T920" s="414"/>
      <c r="U920" s="414"/>
    </row>
    <row r="921" spans="5:21" ht="15.6">
      <c r="E921" s="1"/>
      <c r="F921" s="1"/>
      <c r="G921" s="1"/>
      <c r="H921" s="1"/>
      <c r="I921" s="1"/>
      <c r="J921" s="1"/>
      <c r="K921" s="1"/>
      <c r="P921" s="414"/>
      <c r="Q921" s="414"/>
      <c r="R921" s="414"/>
      <c r="S921" s="414"/>
      <c r="T921" s="414"/>
      <c r="U921" s="414"/>
    </row>
    <row r="922" spans="5:21" ht="15.6">
      <c r="E922" s="1"/>
      <c r="F922" s="1"/>
      <c r="G922" s="1"/>
      <c r="H922" s="1"/>
      <c r="I922" s="1"/>
      <c r="J922" s="1"/>
      <c r="K922" s="1"/>
      <c r="P922" s="414"/>
      <c r="Q922" s="414"/>
      <c r="R922" s="414"/>
      <c r="S922" s="414"/>
      <c r="T922" s="414"/>
      <c r="U922" s="414"/>
    </row>
    <row r="923" spans="5:21" ht="15.6">
      <c r="E923" s="1"/>
      <c r="F923" s="1"/>
      <c r="G923" s="1"/>
      <c r="H923" s="1"/>
      <c r="I923" s="1"/>
      <c r="J923" s="1"/>
      <c r="K923" s="1"/>
      <c r="P923" s="414"/>
      <c r="Q923" s="414"/>
      <c r="R923" s="414"/>
      <c r="S923" s="414"/>
      <c r="T923" s="414"/>
      <c r="U923" s="414"/>
    </row>
    <row r="924" spans="5:21" ht="15.6">
      <c r="E924" s="1"/>
      <c r="F924" s="1"/>
      <c r="G924" s="1"/>
      <c r="H924" s="1"/>
      <c r="I924" s="1"/>
      <c r="J924" s="1"/>
      <c r="K924" s="1"/>
      <c r="P924" s="414"/>
      <c r="Q924" s="414"/>
      <c r="R924" s="414"/>
      <c r="S924" s="414"/>
      <c r="T924" s="414"/>
      <c r="U924" s="414"/>
    </row>
    <row r="925" spans="5:21" ht="15.6">
      <c r="E925" s="1"/>
      <c r="F925" s="1"/>
      <c r="G925" s="1"/>
      <c r="H925" s="1"/>
      <c r="I925" s="1"/>
      <c r="J925" s="1"/>
      <c r="K925" s="1"/>
      <c r="P925" s="414"/>
      <c r="Q925" s="414"/>
      <c r="R925" s="414"/>
      <c r="S925" s="414"/>
      <c r="T925" s="414"/>
      <c r="U925" s="414"/>
    </row>
    <row r="926" spans="5:21" ht="15.6">
      <c r="E926" s="1"/>
      <c r="F926" s="1"/>
      <c r="G926" s="1"/>
      <c r="H926" s="1"/>
      <c r="I926" s="1"/>
      <c r="J926" s="1"/>
      <c r="K926" s="1"/>
      <c r="P926" s="414"/>
      <c r="Q926" s="414"/>
      <c r="R926" s="414"/>
      <c r="S926" s="414"/>
      <c r="T926" s="414"/>
      <c r="U926" s="414"/>
    </row>
    <row r="927" spans="5:21" ht="15.6">
      <c r="E927" s="1"/>
      <c r="F927" s="1"/>
      <c r="G927" s="1"/>
      <c r="H927" s="1"/>
      <c r="I927" s="1"/>
      <c r="J927" s="1"/>
      <c r="K927" s="1"/>
      <c r="P927" s="414"/>
      <c r="Q927" s="414"/>
      <c r="R927" s="414"/>
      <c r="S927" s="414"/>
      <c r="T927" s="414"/>
      <c r="U927" s="414"/>
    </row>
    <row r="928" spans="5:21" ht="15.6">
      <c r="E928" s="1"/>
      <c r="F928" s="1"/>
      <c r="G928" s="1"/>
      <c r="H928" s="1"/>
      <c r="I928" s="1"/>
      <c r="J928" s="1"/>
      <c r="K928" s="1"/>
      <c r="P928" s="414"/>
      <c r="Q928" s="414"/>
      <c r="R928" s="414"/>
      <c r="S928" s="414"/>
      <c r="T928" s="414"/>
      <c r="U928" s="414"/>
    </row>
    <row r="929" spans="5:21" ht="15.6">
      <c r="E929" s="1"/>
      <c r="F929" s="1"/>
      <c r="G929" s="1"/>
      <c r="H929" s="1"/>
      <c r="I929" s="1"/>
      <c r="J929" s="1"/>
      <c r="K929" s="1"/>
      <c r="P929" s="414"/>
      <c r="Q929" s="414"/>
      <c r="R929" s="414"/>
      <c r="S929" s="414"/>
      <c r="T929" s="414"/>
      <c r="U929" s="414"/>
    </row>
    <row r="930" spans="5:21" ht="15.6">
      <c r="E930" s="1"/>
      <c r="F930" s="1"/>
      <c r="G930" s="1"/>
      <c r="H930" s="1"/>
      <c r="I930" s="1"/>
      <c r="J930" s="1"/>
      <c r="K930" s="1"/>
      <c r="P930" s="414"/>
      <c r="Q930" s="414"/>
      <c r="R930" s="414"/>
      <c r="S930" s="414"/>
      <c r="T930" s="414"/>
      <c r="U930" s="414"/>
    </row>
    <row r="931" spans="5:21" ht="15.6">
      <c r="E931" s="1"/>
      <c r="F931" s="1"/>
      <c r="G931" s="1"/>
      <c r="H931" s="1"/>
      <c r="I931" s="1"/>
      <c r="J931" s="1"/>
      <c r="K931" s="1"/>
      <c r="P931" s="414"/>
      <c r="Q931" s="414"/>
      <c r="R931" s="414"/>
      <c r="S931" s="414"/>
      <c r="T931" s="414"/>
      <c r="U931" s="414"/>
    </row>
    <row r="932" spans="5:21" ht="15.6">
      <c r="E932" s="1"/>
      <c r="F932" s="1"/>
      <c r="G932" s="1"/>
      <c r="H932" s="1"/>
      <c r="I932" s="1"/>
      <c r="J932" s="1"/>
      <c r="K932" s="1"/>
      <c r="P932" s="414"/>
      <c r="Q932" s="414"/>
      <c r="R932" s="414"/>
      <c r="S932" s="414"/>
      <c r="T932" s="414"/>
      <c r="U932" s="414"/>
    </row>
    <row r="933" spans="5:21" ht="15.6">
      <c r="E933" s="1"/>
      <c r="F933" s="1"/>
      <c r="G933" s="1"/>
      <c r="H933" s="1"/>
      <c r="I933" s="1"/>
      <c r="J933" s="1"/>
      <c r="K933" s="1"/>
      <c r="P933" s="414"/>
      <c r="Q933" s="414"/>
      <c r="R933" s="414"/>
      <c r="S933" s="414"/>
      <c r="T933" s="414"/>
      <c r="U933" s="414"/>
    </row>
    <row r="934" spans="5:21" ht="15.6">
      <c r="E934" s="1"/>
      <c r="F934" s="1"/>
      <c r="G934" s="1"/>
      <c r="H934" s="1"/>
      <c r="I934" s="1"/>
      <c r="J934" s="1"/>
      <c r="K934" s="1"/>
      <c r="P934" s="414"/>
      <c r="Q934" s="414"/>
      <c r="R934" s="414"/>
      <c r="S934" s="414"/>
      <c r="T934" s="414"/>
      <c r="U934" s="414"/>
    </row>
    <row r="935" spans="5:21" ht="15.6">
      <c r="E935" s="1"/>
      <c r="F935" s="1"/>
      <c r="G935" s="1"/>
      <c r="H935" s="1"/>
      <c r="I935" s="1"/>
      <c r="J935" s="1"/>
      <c r="K935" s="1"/>
      <c r="P935" s="414"/>
      <c r="Q935" s="414"/>
      <c r="R935" s="414"/>
      <c r="S935" s="414"/>
      <c r="T935" s="414"/>
      <c r="U935" s="414"/>
    </row>
    <row r="936" spans="5:21" ht="15.6">
      <c r="E936" s="1"/>
      <c r="F936" s="1"/>
      <c r="G936" s="1"/>
      <c r="H936" s="1"/>
      <c r="I936" s="1"/>
      <c r="J936" s="1"/>
      <c r="K936" s="1"/>
      <c r="P936" s="414"/>
      <c r="Q936" s="414"/>
      <c r="R936" s="414"/>
      <c r="S936" s="414"/>
      <c r="T936" s="414"/>
      <c r="U936" s="414"/>
    </row>
    <row r="937" spans="5:21" ht="15.6">
      <c r="E937" s="1"/>
      <c r="F937" s="1"/>
      <c r="G937" s="1"/>
      <c r="H937" s="1"/>
      <c r="I937" s="1"/>
      <c r="J937" s="1"/>
      <c r="K937" s="1"/>
      <c r="P937" s="414"/>
      <c r="Q937" s="414"/>
      <c r="R937" s="414"/>
      <c r="S937" s="414"/>
      <c r="T937" s="414"/>
      <c r="U937" s="414"/>
    </row>
    <row r="938" spans="5:21" ht="15.6">
      <c r="E938" s="1"/>
      <c r="F938" s="1"/>
      <c r="G938" s="1"/>
      <c r="H938" s="1"/>
      <c r="I938" s="1"/>
      <c r="J938" s="1"/>
      <c r="K938" s="1"/>
      <c r="P938" s="414"/>
      <c r="Q938" s="414"/>
      <c r="R938" s="414"/>
      <c r="S938" s="414"/>
      <c r="T938" s="414"/>
      <c r="U938" s="414"/>
    </row>
    <row r="939" spans="5:21" ht="15.6">
      <c r="E939" s="1"/>
      <c r="F939" s="1"/>
      <c r="G939" s="1"/>
      <c r="H939" s="1"/>
      <c r="I939" s="1"/>
      <c r="J939" s="1"/>
      <c r="K939" s="1"/>
      <c r="P939" s="414"/>
      <c r="Q939" s="414"/>
      <c r="R939" s="414"/>
      <c r="S939" s="414"/>
      <c r="T939" s="414"/>
      <c r="U939" s="414"/>
    </row>
    <row r="940" spans="5:21" ht="15.6">
      <c r="E940" s="1"/>
      <c r="F940" s="1"/>
      <c r="G940" s="1"/>
      <c r="H940" s="1"/>
      <c r="I940" s="1"/>
      <c r="J940" s="1"/>
      <c r="K940" s="1"/>
      <c r="P940" s="414"/>
      <c r="Q940" s="414"/>
      <c r="R940" s="414"/>
      <c r="S940" s="414"/>
      <c r="T940" s="414"/>
      <c r="U940" s="414"/>
    </row>
    <row r="941" spans="5:21" ht="15.6">
      <c r="E941" s="1"/>
      <c r="F941" s="1"/>
      <c r="G941" s="1"/>
      <c r="H941" s="1"/>
      <c r="I941" s="1"/>
      <c r="J941" s="1"/>
      <c r="K941" s="1"/>
      <c r="P941" s="414"/>
      <c r="Q941" s="414"/>
      <c r="R941" s="414"/>
      <c r="S941" s="414"/>
      <c r="T941" s="414"/>
      <c r="U941" s="414"/>
    </row>
    <row r="942" spans="5:21" ht="15.6">
      <c r="E942" s="1"/>
      <c r="F942" s="1"/>
      <c r="G942" s="1"/>
      <c r="H942" s="1"/>
      <c r="I942" s="1"/>
      <c r="J942" s="1"/>
      <c r="K942" s="1"/>
      <c r="P942" s="414"/>
      <c r="Q942" s="414"/>
      <c r="R942" s="414"/>
      <c r="S942" s="414"/>
      <c r="T942" s="414"/>
      <c r="U942" s="414"/>
    </row>
    <row r="943" spans="5:21" ht="15.6">
      <c r="E943" s="1"/>
      <c r="F943" s="1"/>
      <c r="G943" s="1"/>
      <c r="H943" s="1"/>
      <c r="I943" s="1"/>
      <c r="J943" s="1"/>
      <c r="K943" s="1"/>
      <c r="P943" s="414"/>
      <c r="Q943" s="414"/>
      <c r="R943" s="414"/>
      <c r="S943" s="414"/>
      <c r="T943" s="414"/>
      <c r="U943" s="414"/>
    </row>
    <row r="944" spans="5:21" ht="15.6">
      <c r="E944" s="1"/>
      <c r="F944" s="1"/>
      <c r="G944" s="1"/>
      <c r="H944" s="1"/>
      <c r="I944" s="1"/>
      <c r="J944" s="1"/>
      <c r="K944" s="1"/>
      <c r="P944" s="414"/>
      <c r="Q944" s="414"/>
      <c r="R944" s="414"/>
      <c r="S944" s="414"/>
      <c r="T944" s="414"/>
      <c r="U944" s="414"/>
    </row>
    <row r="945" spans="5:21" ht="15.6">
      <c r="E945" s="1"/>
      <c r="F945" s="1"/>
      <c r="G945" s="1"/>
      <c r="H945" s="1"/>
      <c r="I945" s="1"/>
      <c r="J945" s="1"/>
      <c r="K945" s="1"/>
      <c r="P945" s="414"/>
      <c r="Q945" s="414"/>
      <c r="R945" s="414"/>
      <c r="S945" s="414"/>
      <c r="T945" s="414"/>
      <c r="U945" s="414"/>
    </row>
    <row r="946" spans="5:21" ht="15.6">
      <c r="E946" s="1"/>
      <c r="F946" s="1"/>
      <c r="G946" s="1"/>
      <c r="H946" s="1"/>
      <c r="I946" s="1"/>
      <c r="J946" s="1"/>
      <c r="K946" s="1"/>
      <c r="P946" s="414"/>
      <c r="Q946" s="414"/>
      <c r="R946" s="414"/>
      <c r="S946" s="414"/>
      <c r="T946" s="414"/>
      <c r="U946" s="414"/>
    </row>
    <row r="947" spans="5:21" ht="15.6">
      <c r="E947" s="1"/>
      <c r="F947" s="1"/>
      <c r="G947" s="1"/>
      <c r="H947" s="1"/>
      <c r="I947" s="1"/>
      <c r="J947" s="1"/>
      <c r="K947" s="1"/>
      <c r="P947" s="414"/>
      <c r="Q947" s="414"/>
      <c r="R947" s="414"/>
      <c r="S947" s="414"/>
      <c r="T947" s="414"/>
      <c r="U947" s="414"/>
    </row>
    <row r="948" spans="5:21" ht="15.6">
      <c r="E948" s="1"/>
      <c r="F948" s="1"/>
      <c r="G948" s="1"/>
      <c r="H948" s="1"/>
      <c r="I948" s="1"/>
      <c r="J948" s="1"/>
      <c r="K948" s="1"/>
      <c r="P948" s="414"/>
      <c r="Q948" s="414"/>
      <c r="R948" s="414"/>
      <c r="S948" s="414"/>
      <c r="T948" s="414"/>
      <c r="U948" s="414"/>
    </row>
    <row r="949" spans="5:21" ht="15.6">
      <c r="E949" s="1"/>
      <c r="F949" s="1"/>
      <c r="G949" s="1"/>
      <c r="H949" s="1"/>
      <c r="I949" s="1"/>
      <c r="J949" s="1"/>
      <c r="K949" s="1"/>
      <c r="P949" s="414"/>
      <c r="Q949" s="414"/>
      <c r="R949" s="414"/>
      <c r="S949" s="414"/>
      <c r="T949" s="414"/>
      <c r="U949" s="414"/>
    </row>
    <row r="950" spans="5:21" ht="15.6">
      <c r="E950" s="1"/>
      <c r="F950" s="1"/>
      <c r="G950" s="1"/>
      <c r="H950" s="1"/>
      <c r="I950" s="1"/>
      <c r="J950" s="1"/>
      <c r="K950" s="1"/>
      <c r="P950" s="414"/>
      <c r="Q950" s="414"/>
      <c r="R950" s="414"/>
      <c r="S950" s="414"/>
      <c r="T950" s="414"/>
      <c r="U950" s="414"/>
    </row>
    <row r="951" spans="5:21" ht="15.6">
      <c r="E951" s="1"/>
      <c r="F951" s="1"/>
      <c r="G951" s="1"/>
      <c r="H951" s="1"/>
      <c r="I951" s="1"/>
      <c r="J951" s="1"/>
      <c r="K951" s="1"/>
      <c r="P951" s="414"/>
      <c r="Q951" s="414"/>
      <c r="R951" s="414"/>
      <c r="S951" s="414"/>
      <c r="T951" s="414"/>
      <c r="U951" s="414"/>
    </row>
    <row r="952" spans="5:21" ht="15.6">
      <c r="E952" s="1"/>
      <c r="F952" s="1"/>
      <c r="G952" s="1"/>
      <c r="H952" s="1"/>
      <c r="I952" s="1"/>
      <c r="J952" s="1"/>
      <c r="K952" s="1"/>
      <c r="P952" s="414"/>
      <c r="Q952" s="414"/>
      <c r="R952" s="414"/>
      <c r="S952" s="414"/>
      <c r="T952" s="414"/>
      <c r="U952" s="414"/>
    </row>
    <row r="953" spans="5:21" ht="15.6">
      <c r="E953" s="1"/>
      <c r="F953" s="1"/>
      <c r="G953" s="1"/>
      <c r="H953" s="1"/>
      <c r="I953" s="1"/>
      <c r="J953" s="1"/>
      <c r="K953" s="1"/>
      <c r="P953" s="414"/>
      <c r="Q953" s="414"/>
      <c r="R953" s="414"/>
      <c r="S953" s="414"/>
      <c r="T953" s="414"/>
      <c r="U953" s="414"/>
    </row>
    <row r="954" spans="5:21" ht="15.6">
      <c r="E954" s="1"/>
      <c r="F954" s="1"/>
      <c r="G954" s="1"/>
      <c r="H954" s="1"/>
      <c r="I954" s="1"/>
      <c r="J954" s="1"/>
      <c r="K954" s="1"/>
      <c r="P954" s="414"/>
      <c r="Q954" s="414"/>
      <c r="R954" s="414"/>
      <c r="S954" s="414"/>
      <c r="T954" s="414"/>
      <c r="U954" s="414"/>
    </row>
    <row r="955" spans="5:21" ht="15.6">
      <c r="E955" s="1"/>
      <c r="F955" s="1"/>
      <c r="G955" s="1"/>
      <c r="H955" s="1"/>
      <c r="I955" s="1"/>
      <c r="J955" s="1"/>
      <c r="K955" s="1"/>
      <c r="P955" s="414"/>
      <c r="Q955" s="414"/>
      <c r="R955" s="414"/>
      <c r="S955" s="414"/>
      <c r="T955" s="414"/>
      <c r="U955" s="414"/>
    </row>
    <row r="956" spans="5:21" ht="15.6">
      <c r="E956" s="1"/>
      <c r="F956" s="1"/>
      <c r="G956" s="1"/>
      <c r="H956" s="1"/>
      <c r="I956" s="1"/>
      <c r="J956" s="1"/>
      <c r="K956" s="1"/>
      <c r="P956" s="414"/>
      <c r="Q956" s="414"/>
      <c r="R956" s="414"/>
      <c r="S956" s="414"/>
      <c r="T956" s="414"/>
      <c r="U956" s="414"/>
    </row>
    <row r="957" spans="5:21" ht="15.6">
      <c r="E957" s="1"/>
      <c r="F957" s="1"/>
      <c r="G957" s="1"/>
      <c r="H957" s="1"/>
      <c r="I957" s="1"/>
      <c r="J957" s="1"/>
      <c r="K957" s="1"/>
      <c r="P957" s="414"/>
      <c r="Q957" s="414"/>
      <c r="R957" s="414"/>
      <c r="S957" s="414"/>
      <c r="T957" s="414"/>
      <c r="U957" s="414"/>
    </row>
    <row r="958" spans="5:21" ht="15.6">
      <c r="E958" s="1"/>
      <c r="F958" s="1"/>
      <c r="G958" s="1"/>
      <c r="H958" s="1"/>
      <c r="I958" s="1"/>
      <c r="J958" s="1"/>
      <c r="K958" s="1"/>
      <c r="P958" s="414"/>
      <c r="Q958" s="414"/>
      <c r="R958" s="414"/>
      <c r="S958" s="414"/>
      <c r="T958" s="414"/>
      <c r="U958" s="414"/>
    </row>
    <row r="959" spans="5:21" ht="15.6">
      <c r="E959" s="1"/>
      <c r="F959" s="1"/>
      <c r="G959" s="1"/>
      <c r="H959" s="1"/>
      <c r="I959" s="1"/>
      <c r="J959" s="1"/>
      <c r="K959" s="1"/>
      <c r="P959" s="414"/>
      <c r="Q959" s="414"/>
      <c r="R959" s="414"/>
      <c r="S959" s="414"/>
      <c r="T959" s="414"/>
      <c r="U959" s="414"/>
    </row>
    <row r="960" spans="5:21" ht="15.6">
      <c r="E960" s="1"/>
      <c r="F960" s="1"/>
      <c r="G960" s="1"/>
      <c r="H960" s="1"/>
      <c r="I960" s="1"/>
      <c r="J960" s="1"/>
      <c r="K960" s="1"/>
      <c r="P960" s="414"/>
      <c r="Q960" s="414"/>
      <c r="R960" s="414"/>
      <c r="S960" s="414"/>
      <c r="T960" s="414"/>
      <c r="U960" s="414"/>
    </row>
    <row r="961" spans="5:21" ht="15.6">
      <c r="E961" s="1"/>
      <c r="F961" s="1"/>
      <c r="G961" s="1"/>
      <c r="H961" s="1"/>
      <c r="I961" s="1"/>
      <c r="J961" s="1"/>
      <c r="K961" s="1"/>
      <c r="P961" s="414"/>
      <c r="Q961" s="414"/>
      <c r="R961" s="414"/>
      <c r="S961" s="414"/>
      <c r="T961" s="414"/>
      <c r="U961" s="414"/>
    </row>
    <row r="962" spans="5:21" ht="15.6">
      <c r="E962" s="1"/>
      <c r="F962" s="1"/>
      <c r="G962" s="1"/>
      <c r="H962" s="1"/>
      <c r="I962" s="1"/>
      <c r="J962" s="1"/>
      <c r="K962" s="1"/>
      <c r="P962" s="414"/>
      <c r="Q962" s="414"/>
      <c r="R962" s="414"/>
      <c r="S962" s="414"/>
      <c r="T962" s="414"/>
      <c r="U962" s="414"/>
    </row>
    <row r="963" spans="5:21" ht="15.6">
      <c r="E963" s="1"/>
      <c r="F963" s="1"/>
      <c r="G963" s="1"/>
      <c r="H963" s="1"/>
      <c r="I963" s="1"/>
      <c r="J963" s="1"/>
      <c r="K963" s="1"/>
      <c r="P963" s="414"/>
      <c r="Q963" s="414"/>
      <c r="R963" s="414"/>
      <c r="S963" s="414"/>
      <c r="T963" s="414"/>
      <c r="U963" s="414"/>
    </row>
    <row r="964" spans="5:21" ht="15.6">
      <c r="E964" s="1"/>
      <c r="F964" s="1"/>
      <c r="G964" s="1"/>
      <c r="H964" s="1"/>
      <c r="I964" s="1"/>
      <c r="J964" s="1"/>
      <c r="K964" s="1"/>
      <c r="P964" s="414"/>
      <c r="Q964" s="414"/>
      <c r="R964" s="414"/>
      <c r="S964" s="414"/>
      <c r="T964" s="414"/>
      <c r="U964" s="414"/>
    </row>
    <row r="965" spans="5:21" ht="15.6">
      <c r="E965" s="1"/>
      <c r="F965" s="1"/>
      <c r="G965" s="1"/>
      <c r="H965" s="1"/>
      <c r="I965" s="1"/>
      <c r="J965" s="1"/>
      <c r="K965" s="1"/>
      <c r="P965" s="414"/>
      <c r="Q965" s="414"/>
      <c r="R965" s="414"/>
      <c r="S965" s="414"/>
      <c r="T965" s="414"/>
      <c r="U965" s="414"/>
    </row>
    <row r="966" spans="5:21" ht="15.6">
      <c r="E966" s="1"/>
      <c r="F966" s="1"/>
      <c r="G966" s="1"/>
      <c r="H966" s="1"/>
      <c r="I966" s="1"/>
      <c r="J966" s="1"/>
      <c r="K966" s="1"/>
      <c r="P966" s="414"/>
      <c r="Q966" s="414"/>
      <c r="R966" s="414"/>
      <c r="S966" s="414"/>
      <c r="T966" s="414"/>
      <c r="U966" s="414"/>
    </row>
    <row r="967" spans="5:21" ht="15.6">
      <c r="E967" s="1"/>
      <c r="F967" s="1"/>
      <c r="G967" s="1"/>
      <c r="H967" s="1"/>
      <c r="I967" s="1"/>
      <c r="J967" s="1"/>
      <c r="K967" s="1"/>
      <c r="P967" s="414"/>
      <c r="Q967" s="414"/>
      <c r="R967" s="414"/>
      <c r="S967" s="414"/>
      <c r="T967" s="414"/>
      <c r="U967" s="414"/>
    </row>
    <row r="968" spans="5:21" ht="15.6">
      <c r="E968" s="1"/>
      <c r="F968" s="1"/>
      <c r="G968" s="1"/>
      <c r="H968" s="1"/>
      <c r="I968" s="1"/>
      <c r="J968" s="1"/>
      <c r="K968" s="1"/>
      <c r="P968" s="414"/>
      <c r="Q968" s="414"/>
      <c r="R968" s="414"/>
      <c r="S968" s="414"/>
      <c r="T968" s="414"/>
      <c r="U968" s="414"/>
    </row>
    <row r="969" spans="5:21" ht="15.6">
      <c r="E969" s="1"/>
      <c r="F969" s="1"/>
      <c r="G969" s="1"/>
      <c r="H969" s="1"/>
      <c r="I969" s="1"/>
      <c r="J969" s="1"/>
      <c r="K969" s="1"/>
      <c r="P969" s="414"/>
      <c r="Q969" s="414"/>
      <c r="R969" s="414"/>
      <c r="S969" s="414"/>
      <c r="T969" s="414"/>
      <c r="U969" s="414"/>
    </row>
    <row r="970" spans="5:21" ht="15.6">
      <c r="E970" s="1"/>
      <c r="F970" s="1"/>
      <c r="G970" s="1"/>
      <c r="H970" s="1"/>
      <c r="I970" s="1"/>
      <c r="J970" s="1"/>
      <c r="K970" s="1"/>
      <c r="P970" s="414"/>
      <c r="Q970" s="414"/>
      <c r="R970" s="414"/>
      <c r="S970" s="414"/>
      <c r="T970" s="414"/>
      <c r="U970" s="414"/>
    </row>
    <row r="971" spans="5:21" ht="15.6">
      <c r="E971" s="1"/>
      <c r="F971" s="1"/>
      <c r="G971" s="1"/>
      <c r="H971" s="1"/>
      <c r="I971" s="1"/>
      <c r="J971" s="1"/>
      <c r="K971" s="1"/>
      <c r="P971" s="414"/>
      <c r="Q971" s="414"/>
      <c r="R971" s="414"/>
      <c r="S971" s="414"/>
      <c r="T971" s="414"/>
      <c r="U971" s="414"/>
    </row>
    <row r="972" spans="5:21" ht="15.6">
      <c r="E972" s="1"/>
      <c r="F972" s="1"/>
      <c r="G972" s="1"/>
      <c r="H972" s="1"/>
      <c r="I972" s="1"/>
      <c r="J972" s="1"/>
      <c r="K972" s="1"/>
      <c r="P972" s="414"/>
      <c r="Q972" s="414"/>
      <c r="R972" s="414"/>
      <c r="S972" s="414"/>
      <c r="T972" s="414"/>
      <c r="U972" s="414"/>
    </row>
    <row r="973" spans="5:21" ht="15.6">
      <c r="E973" s="1"/>
      <c r="F973" s="1"/>
      <c r="G973" s="1"/>
      <c r="H973" s="1"/>
      <c r="I973" s="1"/>
      <c r="J973" s="1"/>
      <c r="K973" s="1"/>
      <c r="P973" s="414"/>
      <c r="Q973" s="414"/>
      <c r="R973" s="414"/>
      <c r="S973" s="414"/>
      <c r="T973" s="414"/>
      <c r="U973" s="414"/>
    </row>
    <row r="974" spans="5:21" ht="15.6">
      <c r="E974" s="1"/>
      <c r="F974" s="1"/>
      <c r="G974" s="1"/>
      <c r="H974" s="1"/>
      <c r="I974" s="1"/>
      <c r="J974" s="1"/>
      <c r="K974" s="1"/>
      <c r="P974" s="414"/>
      <c r="Q974" s="414"/>
      <c r="R974" s="414"/>
      <c r="S974" s="414"/>
      <c r="T974" s="414"/>
      <c r="U974" s="414"/>
    </row>
    <row r="975" spans="5:21" ht="15.6">
      <c r="E975" s="1"/>
      <c r="F975" s="1"/>
      <c r="G975" s="1"/>
      <c r="H975" s="1"/>
      <c r="I975" s="1"/>
      <c r="J975" s="1"/>
      <c r="K975" s="1"/>
      <c r="P975" s="414"/>
      <c r="Q975" s="414"/>
      <c r="R975" s="414"/>
      <c r="S975" s="414"/>
      <c r="T975" s="414"/>
      <c r="U975" s="414"/>
    </row>
    <row r="976" spans="5:21" ht="15.6">
      <c r="E976" s="1"/>
      <c r="F976" s="1"/>
      <c r="G976" s="1"/>
      <c r="H976" s="1"/>
      <c r="I976" s="1"/>
      <c r="J976" s="1"/>
      <c r="K976" s="1"/>
      <c r="P976" s="414"/>
      <c r="Q976" s="414"/>
      <c r="R976" s="414"/>
      <c r="S976" s="414"/>
      <c r="T976" s="414"/>
      <c r="U976" s="414"/>
    </row>
    <row r="977" spans="5:21" ht="15.6">
      <c r="E977" s="1"/>
      <c r="F977" s="1"/>
      <c r="G977" s="1"/>
      <c r="H977" s="1"/>
      <c r="I977" s="1"/>
      <c r="J977" s="1"/>
      <c r="K977" s="1"/>
      <c r="P977" s="414"/>
      <c r="Q977" s="414"/>
      <c r="R977" s="414"/>
      <c r="S977" s="414"/>
      <c r="T977" s="414"/>
      <c r="U977" s="414"/>
    </row>
    <row r="978" spans="5:21" ht="15.6">
      <c r="E978" s="1"/>
      <c r="F978" s="1"/>
      <c r="G978" s="1"/>
      <c r="H978" s="1"/>
      <c r="I978" s="1"/>
      <c r="J978" s="1"/>
      <c r="K978" s="1"/>
      <c r="P978" s="414"/>
      <c r="Q978" s="414"/>
      <c r="R978" s="414"/>
      <c r="S978" s="414"/>
      <c r="T978" s="414"/>
      <c r="U978" s="414"/>
    </row>
    <row r="979" spans="5:21" ht="15.6">
      <c r="E979" s="1"/>
      <c r="F979" s="1"/>
      <c r="G979" s="1"/>
      <c r="H979" s="1"/>
      <c r="I979" s="1"/>
      <c r="J979" s="1"/>
      <c r="K979" s="1"/>
      <c r="P979" s="414"/>
      <c r="Q979" s="414"/>
      <c r="R979" s="414"/>
      <c r="S979" s="414"/>
      <c r="T979" s="414"/>
      <c r="U979" s="414"/>
    </row>
    <row r="980" spans="5:21" ht="15.6">
      <c r="E980" s="1"/>
      <c r="F980" s="1"/>
      <c r="G980" s="1"/>
      <c r="H980" s="1"/>
      <c r="I980" s="1"/>
      <c r="J980" s="1"/>
      <c r="K980" s="1"/>
      <c r="P980" s="414"/>
      <c r="Q980" s="414"/>
      <c r="R980" s="414"/>
      <c r="S980" s="414"/>
      <c r="T980" s="414"/>
      <c r="U980" s="414"/>
    </row>
    <row r="981" spans="5:21" ht="15.6">
      <c r="E981" s="1"/>
      <c r="F981" s="1"/>
      <c r="G981" s="1"/>
      <c r="H981" s="1"/>
      <c r="I981" s="1"/>
      <c r="J981" s="1"/>
      <c r="K981" s="1"/>
      <c r="P981" s="414"/>
      <c r="Q981" s="414"/>
      <c r="R981" s="414"/>
      <c r="S981" s="414"/>
      <c r="T981" s="414"/>
      <c r="U981" s="414"/>
    </row>
    <row r="982" spans="5:21" ht="15.6">
      <c r="E982" s="1"/>
      <c r="F982" s="1"/>
      <c r="G982" s="1"/>
      <c r="H982" s="1"/>
      <c r="I982" s="1"/>
      <c r="J982" s="1"/>
      <c r="K982" s="1"/>
      <c r="P982" s="414"/>
      <c r="Q982" s="414"/>
      <c r="R982" s="414"/>
      <c r="S982" s="414"/>
      <c r="T982" s="414"/>
      <c r="U982" s="414"/>
    </row>
    <row r="983" spans="5:21" ht="15.6">
      <c r="E983" s="1"/>
      <c r="F983" s="1"/>
      <c r="G983" s="1"/>
      <c r="H983" s="1"/>
      <c r="I983" s="1"/>
      <c r="J983" s="1"/>
      <c r="K983" s="1"/>
      <c r="P983" s="414"/>
      <c r="Q983" s="414"/>
      <c r="R983" s="414"/>
      <c r="S983" s="414"/>
      <c r="T983" s="414"/>
      <c r="U983" s="414"/>
    </row>
    <row r="984" spans="5:21" ht="15.6">
      <c r="E984" s="1"/>
      <c r="F984" s="1"/>
      <c r="G984" s="1"/>
      <c r="H984" s="1"/>
      <c r="I984" s="1"/>
      <c r="J984" s="1"/>
      <c r="K984" s="1"/>
      <c r="P984" s="414"/>
      <c r="Q984" s="414"/>
      <c r="R984" s="414"/>
      <c r="S984" s="414"/>
      <c r="T984" s="414"/>
      <c r="U984" s="414"/>
    </row>
    <row r="985" spans="5:21" ht="15.6">
      <c r="E985" s="1"/>
      <c r="F985" s="1"/>
      <c r="G985" s="1"/>
      <c r="H985" s="1"/>
      <c r="I985" s="1"/>
      <c r="J985" s="1"/>
      <c r="K985" s="1"/>
      <c r="P985" s="414"/>
      <c r="Q985" s="414"/>
      <c r="R985" s="414"/>
      <c r="S985" s="414"/>
      <c r="T985" s="414"/>
      <c r="U985" s="414"/>
    </row>
    <row r="986" spans="5:21" ht="15.6">
      <c r="E986" s="1"/>
      <c r="F986" s="1"/>
      <c r="G986" s="1"/>
      <c r="H986" s="1"/>
      <c r="I986" s="1"/>
      <c r="J986" s="1"/>
      <c r="K986" s="1"/>
      <c r="P986" s="414"/>
      <c r="Q986" s="414"/>
      <c r="R986" s="414"/>
      <c r="S986" s="414"/>
      <c r="T986" s="414"/>
      <c r="U986" s="414"/>
    </row>
    <row r="987" spans="5:21" ht="15.6">
      <c r="E987" s="1"/>
      <c r="F987" s="1"/>
      <c r="G987" s="1"/>
      <c r="H987" s="1"/>
      <c r="I987" s="1"/>
      <c r="J987" s="1"/>
      <c r="K987" s="1"/>
      <c r="P987" s="414"/>
      <c r="Q987" s="414"/>
      <c r="R987" s="414"/>
      <c r="S987" s="414"/>
      <c r="T987" s="414"/>
      <c r="U987" s="414"/>
    </row>
    <row r="988" spans="5:21" ht="15.6">
      <c r="E988" s="1"/>
      <c r="F988" s="1"/>
      <c r="G988" s="1"/>
      <c r="H988" s="1"/>
      <c r="I988" s="1"/>
      <c r="J988" s="1"/>
      <c r="K988" s="1"/>
      <c r="P988" s="414"/>
      <c r="Q988" s="414"/>
      <c r="R988" s="414"/>
      <c r="S988" s="414"/>
      <c r="T988" s="414"/>
      <c r="U988" s="414"/>
    </row>
    <row r="989" spans="5:21" ht="15.6">
      <c r="E989" s="1"/>
      <c r="F989" s="1"/>
      <c r="G989" s="1"/>
      <c r="H989" s="1"/>
      <c r="I989" s="1"/>
      <c r="J989" s="1"/>
      <c r="K989" s="1"/>
      <c r="P989" s="414"/>
      <c r="Q989" s="414"/>
      <c r="R989" s="414"/>
      <c r="S989" s="414"/>
      <c r="T989" s="414"/>
      <c r="U989" s="414"/>
    </row>
    <row r="990" spans="5:21" ht="15.6">
      <c r="E990" s="1"/>
      <c r="F990" s="1"/>
      <c r="G990" s="1"/>
      <c r="H990" s="1"/>
      <c r="I990" s="1"/>
      <c r="J990" s="1"/>
      <c r="K990" s="1"/>
      <c r="P990" s="414"/>
      <c r="Q990" s="414"/>
      <c r="R990" s="414"/>
      <c r="S990" s="414"/>
      <c r="T990" s="414"/>
      <c r="U990" s="414"/>
    </row>
    <row r="991" spans="5:21" ht="15.6">
      <c r="E991" s="1"/>
      <c r="F991" s="1"/>
      <c r="G991" s="1"/>
      <c r="H991" s="1"/>
      <c r="I991" s="1"/>
      <c r="J991" s="1"/>
      <c r="K991" s="1"/>
      <c r="P991" s="414"/>
      <c r="Q991" s="414"/>
      <c r="R991" s="414"/>
      <c r="S991" s="414"/>
      <c r="T991" s="414"/>
      <c r="U991" s="414"/>
    </row>
    <row r="992" spans="5:21" ht="15.6">
      <c r="E992" s="1"/>
      <c r="F992" s="1"/>
      <c r="G992" s="1"/>
      <c r="H992" s="1"/>
      <c r="I992" s="1"/>
      <c r="J992" s="1"/>
      <c r="K992" s="1"/>
      <c r="P992" s="414"/>
      <c r="Q992" s="414"/>
      <c r="R992" s="414"/>
      <c r="S992" s="414"/>
      <c r="T992" s="414"/>
      <c r="U992" s="414"/>
    </row>
    <row r="993" spans="5:21" ht="15.6">
      <c r="E993" s="1"/>
      <c r="F993" s="1"/>
      <c r="G993" s="1"/>
      <c r="H993" s="1"/>
      <c r="I993" s="1"/>
      <c r="J993" s="1"/>
      <c r="K993" s="1"/>
      <c r="P993" s="414"/>
      <c r="Q993" s="414"/>
      <c r="R993" s="414"/>
      <c r="S993" s="414"/>
      <c r="T993" s="414"/>
      <c r="U993" s="414"/>
    </row>
    <row r="994" spans="5:21" ht="15.6">
      <c r="E994" s="1"/>
      <c r="F994" s="1"/>
      <c r="G994" s="1"/>
      <c r="H994" s="1"/>
      <c r="I994" s="1"/>
      <c r="J994" s="1"/>
      <c r="K994" s="1"/>
      <c r="P994" s="414"/>
      <c r="Q994" s="414"/>
      <c r="R994" s="414"/>
      <c r="S994" s="414"/>
      <c r="T994" s="414"/>
      <c r="U994" s="414"/>
    </row>
    <row r="995" spans="5:21" ht="15.6">
      <c r="E995" s="1"/>
      <c r="F995" s="1"/>
      <c r="G995" s="1"/>
      <c r="H995" s="1"/>
      <c r="I995" s="1"/>
      <c r="J995" s="1"/>
      <c r="K995" s="1"/>
      <c r="P995" s="414"/>
      <c r="Q995" s="414"/>
      <c r="R995" s="414"/>
      <c r="S995" s="414"/>
      <c r="T995" s="414"/>
      <c r="U995" s="414"/>
    </row>
    <row r="996" spans="5:21" ht="15.6">
      <c r="E996" s="1"/>
      <c r="F996" s="1"/>
      <c r="G996" s="1"/>
      <c r="H996" s="1"/>
      <c r="I996" s="1"/>
      <c r="J996" s="1"/>
      <c r="K996" s="1"/>
      <c r="P996" s="414"/>
      <c r="Q996" s="414"/>
      <c r="R996" s="414"/>
      <c r="S996" s="414"/>
      <c r="T996" s="414"/>
      <c r="U996" s="414"/>
    </row>
    <row r="997" spans="5:21" ht="15.6">
      <c r="E997" s="1"/>
      <c r="F997" s="1"/>
      <c r="G997" s="1"/>
      <c r="H997" s="1"/>
      <c r="I997" s="1"/>
      <c r="J997" s="1"/>
      <c r="K997" s="1"/>
      <c r="P997" s="414"/>
      <c r="Q997" s="414"/>
      <c r="R997" s="414"/>
      <c r="S997" s="414"/>
      <c r="T997" s="414"/>
      <c r="U997" s="414"/>
    </row>
  </sheetData>
  <mergeCells count="10">
    <mergeCell ref="D87:F87"/>
    <mergeCell ref="E78:F78"/>
    <mergeCell ref="D80:L80"/>
    <mergeCell ref="D2:L2"/>
    <mergeCell ref="D4:L4"/>
    <mergeCell ref="D21:L21"/>
    <mergeCell ref="C48:L48"/>
    <mergeCell ref="D45:F45"/>
    <mergeCell ref="D18:F18"/>
    <mergeCell ref="D77:F77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3:AG65"/>
  <sheetViews>
    <sheetView showGridLines="0" zoomScale="60" zoomScaleNormal="60" workbookViewId="0">
      <pane xSplit="2" ySplit="4" topLeftCell="C5" activePane="bottomRight" state="frozen"/>
      <selection pane="bottomRight" activeCell="C5" sqref="C5:F5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2.77734375" customWidth="1"/>
    <col min="3" max="3" width="15.109375" customWidth="1"/>
    <col min="4" max="4" width="16.5546875" customWidth="1"/>
    <col min="5" max="5" width="10.5546875" customWidth="1"/>
    <col min="6" max="6" width="11.44140625" customWidth="1"/>
    <col min="7" max="9" width="11.6640625" customWidth="1"/>
    <col min="10" max="10" width="12.66406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10.6640625" style="1" customWidth="1"/>
    <col min="18" max="18" width="14.6640625" customWidth="1"/>
    <col min="19" max="20" width="14.77734375" customWidth="1"/>
    <col min="21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4" t="s">
        <v>2</v>
      </c>
      <c r="D4" s="125" t="s">
        <v>3</v>
      </c>
      <c r="E4" s="125" t="s">
        <v>4</v>
      </c>
      <c r="F4" s="126" t="s">
        <v>5</v>
      </c>
      <c r="G4" s="128" t="s">
        <v>7</v>
      </c>
      <c r="H4" s="129" t="s">
        <v>9</v>
      </c>
      <c r="I4" s="127" t="s">
        <v>337</v>
      </c>
      <c r="J4" s="128" t="s">
        <v>8</v>
      </c>
      <c r="K4" s="274" t="s">
        <v>182</v>
      </c>
      <c r="L4" s="128" t="s">
        <v>338</v>
      </c>
      <c r="M4" s="129" t="s">
        <v>339</v>
      </c>
      <c r="N4" s="127" t="s">
        <v>340</v>
      </c>
      <c r="O4" s="128" t="s">
        <v>341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1.25" customHeight="1">
      <c r="B5" s="130">
        <v>44228</v>
      </c>
      <c r="C5" s="131">
        <v>8810</v>
      </c>
      <c r="D5" s="135">
        <v>22100</v>
      </c>
      <c r="E5" s="135">
        <v>4190</v>
      </c>
      <c r="F5" s="136">
        <v>15170</v>
      </c>
      <c r="G5" s="137">
        <v>24320</v>
      </c>
      <c r="H5" s="138">
        <v>10300</v>
      </c>
      <c r="I5" s="140">
        <v>3918</v>
      </c>
      <c r="J5" s="137">
        <v>0</v>
      </c>
      <c r="K5" s="276">
        <f>SUM(Table2523467891011[[#This Row],[Jones Creek Prod (bopd)]:[Egwa Prod (bopd)]])</f>
        <v>38538</v>
      </c>
      <c r="L5" s="131">
        <f>Table2523467891011[[#This Row],[Jones Creek Target (bopd)]]-Table2523467891011[[#This Row],[Jones Creek Prod (bopd)]]</f>
        <v>-2220</v>
      </c>
      <c r="M5" s="132">
        <f>Table2523467891011[[#This Row],[Odidi Target (bopd)]]-Table2523467891011[[#This Row],[Odidi prod (bopd)]]</f>
        <v>4870</v>
      </c>
      <c r="N5" s="132">
        <f>Table2523467891011[[#This Row],[Batan Target (bopd)]]-Table2523467891011[[#This Row],[Batan Daily Prod (bopd)2]]</f>
        <v>4892</v>
      </c>
      <c r="O5" s="134">
        <f>Table2523467891011[[#This Row],[Egwa Target (bopd)]]-Table2523467891011[[#This Row],[Egwa Prod (bopd)]]</f>
        <v>4190</v>
      </c>
      <c r="R5" s="144"/>
      <c r="S5" s="148" t="s">
        <v>148</v>
      </c>
      <c r="T5" s="152">
        <f>B36</f>
        <v>44259</v>
      </c>
      <c r="U5" s="152">
        <f>T5+1</f>
        <v>44260</v>
      </c>
      <c r="V5" s="152">
        <f>U5+1</f>
        <v>44261</v>
      </c>
      <c r="W5" s="152">
        <f>V5+1</f>
        <v>44262</v>
      </c>
      <c r="X5" s="152">
        <f>W5+1</f>
        <v>44263</v>
      </c>
    </row>
    <row r="6" spans="2:33" ht="21.6">
      <c r="B6" s="130">
        <v>44229</v>
      </c>
      <c r="C6" s="131">
        <v>8810</v>
      </c>
      <c r="D6" s="135">
        <v>22100</v>
      </c>
      <c r="E6" s="135">
        <v>4190</v>
      </c>
      <c r="F6" s="136">
        <v>15170</v>
      </c>
      <c r="G6" s="137">
        <v>23816</v>
      </c>
      <c r="H6" s="134">
        <v>9796</v>
      </c>
      <c r="I6" s="131">
        <v>3902</v>
      </c>
      <c r="J6" s="132">
        <v>0</v>
      </c>
      <c r="K6" s="276">
        <f>SUM(Table2523467891011[[#This Row],[Jones Creek Prod (bopd)]:[Egwa Prod (bopd)]])</f>
        <v>37514</v>
      </c>
      <c r="L6" s="131">
        <f>Table2523467891011[[#This Row],[Jones Creek Target (bopd)]]-Table2523467891011[[#This Row],[Jones Creek Prod (bopd)]]</f>
        <v>-1716</v>
      </c>
      <c r="M6" s="132">
        <f>Table2523467891011[[#This Row],[Odidi Target (bopd)]]-Table2523467891011[[#This Row],[Odidi prod (bopd)]]</f>
        <v>5374</v>
      </c>
      <c r="N6" s="132">
        <f>Table2523467891011[[#This Row],[Batan Target (bopd)]]-Table2523467891011[[#This Row],[Batan Daily Prod (bopd)2]]</f>
        <v>4908</v>
      </c>
      <c r="O6" s="134">
        <f>Table2523467891011[[#This Row],[Egwa Target (bopd)]]-Table2523467891011[[#This Row],[Egwa Prod (bopd)]]</f>
        <v>4190</v>
      </c>
      <c r="R6" s="145" t="s">
        <v>17</v>
      </c>
      <c r="S6" s="272">
        <v>22</v>
      </c>
      <c r="T6" s="268">
        <v>20.75</v>
      </c>
      <c r="U6" s="267">
        <v>21.966000000000001</v>
      </c>
      <c r="V6" s="268">
        <v>21.85</v>
      </c>
      <c r="W6" s="267">
        <v>21.751000000000001</v>
      </c>
      <c r="X6" s="268">
        <v>21.63</v>
      </c>
      <c r="Z6" s="297"/>
      <c r="AA6" s="452"/>
      <c r="AB6" s="452"/>
      <c r="AC6" s="453"/>
      <c r="AD6" s="452"/>
      <c r="AE6" s="452"/>
      <c r="AF6" s="453"/>
      <c r="AG6" s="452"/>
    </row>
    <row r="7" spans="2:33" ht="21.6">
      <c r="B7" s="130">
        <v>44230</v>
      </c>
      <c r="C7" s="131">
        <v>8810</v>
      </c>
      <c r="D7" s="135">
        <v>22100</v>
      </c>
      <c r="E7" s="135">
        <v>4190</v>
      </c>
      <c r="F7" s="136">
        <v>15170</v>
      </c>
      <c r="G7" s="137">
        <v>22945</v>
      </c>
      <c r="H7" s="138">
        <v>10431</v>
      </c>
      <c r="I7" s="131">
        <v>3903</v>
      </c>
      <c r="J7" s="137">
        <v>0</v>
      </c>
      <c r="K7" s="276">
        <f>SUM(Table2523467891011[[#This Row],[Jones Creek Prod (bopd)]:[Egwa Prod (bopd)]])</f>
        <v>37279</v>
      </c>
      <c r="L7" s="131">
        <f>Table2523467891011[[#This Row],[Jones Creek Target (bopd)]]-Table2523467891011[[#This Row],[Jones Creek Prod (bopd)]]</f>
        <v>-845</v>
      </c>
      <c r="M7" s="132">
        <f>Table2523467891011[[#This Row],[Odidi Target (bopd)]]-Table2523467891011[[#This Row],[Odidi prod (bopd)]]</f>
        <v>4739</v>
      </c>
      <c r="N7" s="132">
        <f>Table2523467891011[[#This Row],[Batan Target (bopd)]]-Table2523467891011[[#This Row],[Batan Daily Prod (bopd)2]]</f>
        <v>4907</v>
      </c>
      <c r="O7" s="134">
        <f>Table2523467891011[[#This Row],[Egwa Target (bopd)]]-Table2523467891011[[#This Row],[Egwa Prod (bopd)]]</f>
        <v>4190</v>
      </c>
      <c r="R7" s="145" t="s">
        <v>19</v>
      </c>
      <c r="S7" s="272">
        <v>15.5</v>
      </c>
      <c r="T7" s="268">
        <v>8.7330000000000005</v>
      </c>
      <c r="U7" s="267">
        <v>9.5090000000000003</v>
      </c>
      <c r="V7" s="268">
        <v>8.4640000000000004</v>
      </c>
      <c r="W7" s="267">
        <v>10.066000000000001</v>
      </c>
      <c r="X7" s="300">
        <v>10.066000000000001</v>
      </c>
      <c r="Z7" s="297"/>
      <c r="AA7" s="454"/>
      <c r="AB7" s="454"/>
      <c r="AC7" s="454"/>
      <c r="AD7" s="454"/>
      <c r="AE7" s="454"/>
      <c r="AF7" s="454"/>
      <c r="AG7" s="454"/>
    </row>
    <row r="8" spans="2:33" ht="21.6">
      <c r="B8" s="130">
        <v>44231</v>
      </c>
      <c r="C8" s="131">
        <v>8810</v>
      </c>
      <c r="D8" s="135">
        <v>22100</v>
      </c>
      <c r="E8" s="135">
        <v>4190</v>
      </c>
      <c r="F8" s="136">
        <v>15170</v>
      </c>
      <c r="G8" s="132">
        <v>23100</v>
      </c>
      <c r="H8" s="134">
        <v>9984</v>
      </c>
      <c r="I8" s="131">
        <v>697</v>
      </c>
      <c r="J8" s="132">
        <v>0</v>
      </c>
      <c r="K8" s="276">
        <f>SUM(Table2523467891011[[#This Row],[Jones Creek Prod (bopd)]:[Egwa Prod (bopd)]])</f>
        <v>33781</v>
      </c>
      <c r="L8" s="131">
        <f>Table2523467891011[[#This Row],[Jones Creek Target (bopd)]]-Table2523467891011[[#This Row],[Jones Creek Prod (bopd)]]</f>
        <v>-1000</v>
      </c>
      <c r="M8" s="132">
        <f>Table2523467891011[[#This Row],[Odidi Target (bopd)]]-Table2523467891011[[#This Row],[Odidi prod (bopd)]]</f>
        <v>5186</v>
      </c>
      <c r="N8" s="132">
        <f>Table2523467891011[[#This Row],[Batan Target (bopd)]]-Table2523467891011[[#This Row],[Batan Daily Prod (bopd)2]]</f>
        <v>8113</v>
      </c>
      <c r="O8" s="134">
        <f>Table2523467891011[[#This Row],[Egwa Target (bopd)]]-Table2523467891011[[#This Row],[Egwa Prod (bopd)]]</f>
        <v>4190</v>
      </c>
      <c r="R8" s="145" t="s">
        <v>16</v>
      </c>
      <c r="S8" s="272">
        <v>8.8000000000000007</v>
      </c>
      <c r="T8" s="268">
        <v>3.9470000000000001</v>
      </c>
      <c r="U8" s="269">
        <v>3.9529999999999998</v>
      </c>
      <c r="V8" s="268">
        <v>3.9550000000000001</v>
      </c>
      <c r="W8" s="269">
        <v>3.95</v>
      </c>
      <c r="X8" s="268">
        <v>0.85299999999999998</v>
      </c>
      <c r="Z8" s="298"/>
      <c r="AA8" s="452"/>
      <c r="AB8" s="452"/>
      <c r="AC8" s="452"/>
      <c r="AD8" s="452"/>
      <c r="AE8" s="452"/>
      <c r="AF8" s="452"/>
      <c r="AG8" s="452"/>
    </row>
    <row r="9" spans="2:33" ht="21.6">
      <c r="B9" s="130">
        <v>44232</v>
      </c>
      <c r="C9" s="131">
        <v>8810</v>
      </c>
      <c r="D9" s="135">
        <v>22100</v>
      </c>
      <c r="E9" s="135">
        <v>4190</v>
      </c>
      <c r="F9" s="136">
        <v>15170</v>
      </c>
      <c r="G9" s="132">
        <v>23269</v>
      </c>
      <c r="H9" s="134">
        <v>10200</v>
      </c>
      <c r="I9" s="131">
        <v>0</v>
      </c>
      <c r="J9" s="132">
        <v>0</v>
      </c>
      <c r="K9" s="276">
        <f>SUM(Table2523467891011[[#This Row],[Jones Creek Prod (bopd)]:[Egwa Prod (bopd)]])</f>
        <v>33469</v>
      </c>
      <c r="L9" s="131">
        <f>Table2523467891011[[#This Row],[Jones Creek Target (bopd)]]-Table2523467891011[[#This Row],[Jones Creek Prod (bopd)]]</f>
        <v>-1169</v>
      </c>
      <c r="M9" s="132">
        <f>Table2523467891011[[#This Row],[Odidi Target (bopd)]]-Table2523467891011[[#This Row],[Odidi prod (bopd)]]</f>
        <v>4970</v>
      </c>
      <c r="N9" s="132">
        <f>Table2523467891011[[#This Row],[Batan Target (bopd)]]-Table2523467891011[[#This Row],[Batan Daily Prod (bopd)2]]</f>
        <v>8810</v>
      </c>
      <c r="O9" s="134">
        <f>Table2523467891011[[#This Row],[Egwa Target (bopd)]]-Table2523467891011[[#This Row],[Egwa Prod (bopd)]]</f>
        <v>4190</v>
      </c>
      <c r="R9" s="145" t="s">
        <v>18</v>
      </c>
      <c r="S9" s="273">
        <v>4.0999999999999996</v>
      </c>
      <c r="T9" s="270">
        <v>3.8919999999999999</v>
      </c>
      <c r="U9" s="269">
        <v>3.915</v>
      </c>
      <c r="V9" s="270">
        <v>3.9140000000000001</v>
      </c>
      <c r="W9" s="269">
        <v>3.8980000000000001</v>
      </c>
      <c r="X9" s="270">
        <v>3.98</v>
      </c>
      <c r="AA9" s="454"/>
      <c r="AB9" s="454"/>
      <c r="AC9" s="454"/>
      <c r="AD9" s="454"/>
      <c r="AE9" s="454"/>
      <c r="AF9" s="454"/>
      <c r="AG9" s="454"/>
    </row>
    <row r="10" spans="2:33" ht="21.6">
      <c r="B10" s="130">
        <v>44233</v>
      </c>
      <c r="C10" s="131">
        <v>8810</v>
      </c>
      <c r="D10" s="135">
        <v>22100</v>
      </c>
      <c r="E10" s="135">
        <v>4190</v>
      </c>
      <c r="F10" s="136">
        <v>15170</v>
      </c>
      <c r="G10" s="132">
        <v>22626</v>
      </c>
      <c r="H10" s="134">
        <v>11838</v>
      </c>
      <c r="I10" s="131">
        <v>0</v>
      </c>
      <c r="J10" s="132">
        <v>0</v>
      </c>
      <c r="K10" s="276">
        <f>SUM(Table2523467891011[[#This Row],[Jones Creek Prod (bopd)]:[Egwa Prod (bopd)]])</f>
        <v>34464</v>
      </c>
      <c r="L10" s="131">
        <f>Table2523467891011[[#This Row],[Jones Creek Target (bopd)]]-Table2523467891011[[#This Row],[Jones Creek Prod (bopd)]]</f>
        <v>-526</v>
      </c>
      <c r="M10" s="132">
        <f>Table2523467891011[[#This Row],[Odidi Target (bopd)]]-Table2523467891011[[#This Row],[Odidi prod (bopd)]]</f>
        <v>3332</v>
      </c>
      <c r="N10" s="132">
        <f>Table2523467891011[[#This Row],[Batan Target (bopd)]]-Table2523467891011[[#This Row],[Batan Daily Prod (bopd)2]]</f>
        <v>8810</v>
      </c>
      <c r="O10" s="134">
        <f>Table2523467891011[[#This Row],[Egwa Target (bopd)]]-Table2523467891011[[#This Row],[Egwa Prod (bopd)]]</f>
        <v>4190</v>
      </c>
      <c r="AA10" s="453"/>
      <c r="AB10" s="453"/>
      <c r="AC10" s="453"/>
      <c r="AD10" s="453"/>
      <c r="AE10" s="452"/>
      <c r="AF10" s="453"/>
      <c r="AG10" s="452"/>
    </row>
    <row r="11" spans="2:33" ht="21.6">
      <c r="B11" s="130">
        <v>44234</v>
      </c>
      <c r="C11" s="131">
        <v>8810</v>
      </c>
      <c r="D11" s="135">
        <v>22100</v>
      </c>
      <c r="E11" s="135">
        <v>4190</v>
      </c>
      <c r="F11" s="136">
        <v>15170</v>
      </c>
      <c r="G11" s="137">
        <v>23780</v>
      </c>
      <c r="H11" s="138">
        <v>11378</v>
      </c>
      <c r="I11" s="131">
        <v>0</v>
      </c>
      <c r="J11" s="132">
        <v>0</v>
      </c>
      <c r="K11" s="276">
        <f>SUM(Table2523467891011[[#This Row],[Jones Creek Prod (bopd)]:[Egwa Prod (bopd)]])</f>
        <v>35158</v>
      </c>
      <c r="L11" s="131">
        <f>Table2523467891011[[#This Row],[Jones Creek Target (bopd)]]-Table2523467891011[[#This Row],[Jones Creek Prod (bopd)]]</f>
        <v>-1680</v>
      </c>
      <c r="M11" s="132">
        <f>Table2523467891011[[#This Row],[Odidi Target (bopd)]]-Table2523467891011[[#This Row],[Odidi prod (bopd)]]</f>
        <v>3792</v>
      </c>
      <c r="N11" s="132">
        <f>Table2523467891011[[#This Row],[Batan Target (bopd)]]-Table2523467891011[[#This Row],[Batan Daily Prod (bopd)2]]</f>
        <v>8810</v>
      </c>
      <c r="O11" s="134">
        <f>Table2523467891011[[#This Row],[Egwa Target (bopd)]]-Table2523467891011[[#This Row],[Egwa Prod (bopd)]]</f>
        <v>4190</v>
      </c>
    </row>
    <row r="12" spans="2:33" ht="21.6">
      <c r="B12" s="130">
        <v>44235</v>
      </c>
      <c r="C12" s="131">
        <v>8810</v>
      </c>
      <c r="D12" s="135">
        <v>22100</v>
      </c>
      <c r="E12" s="135">
        <v>4190</v>
      </c>
      <c r="F12" s="136">
        <v>15170</v>
      </c>
      <c r="G12" s="137">
        <v>15893</v>
      </c>
      <c r="H12" s="134">
        <v>11320</v>
      </c>
      <c r="I12" s="131">
        <v>2348</v>
      </c>
      <c r="J12" s="132">
        <v>0</v>
      </c>
      <c r="K12" s="276">
        <f>SUM(Table2523467891011[[#This Row],[Jones Creek Prod (bopd)]:[Egwa Prod (bopd)]])</f>
        <v>29561</v>
      </c>
      <c r="L12" s="131">
        <f>Table2523467891011[[#This Row],[Jones Creek Target (bopd)]]-Table2523467891011[[#This Row],[Jones Creek Prod (bopd)]]</f>
        <v>6207</v>
      </c>
      <c r="M12" s="132">
        <f>Table2523467891011[[#This Row],[Odidi Target (bopd)]]-Table2523467891011[[#This Row],[Odidi prod (bopd)]]</f>
        <v>3850</v>
      </c>
      <c r="N12" s="132">
        <f>Table2523467891011[[#This Row],[Batan Target (bopd)]]-Table2523467891011[[#This Row],[Batan Daily Prod (bopd)2]]</f>
        <v>6462</v>
      </c>
      <c r="O12" s="134">
        <f>Table2523467891011[[#This Row],[Egwa Target (bopd)]]-Table2523467891011[[#This Row],[Egwa Prod (bopd)]]</f>
        <v>4190</v>
      </c>
      <c r="P12" s="42"/>
      <c r="Q12" s="42"/>
    </row>
    <row r="13" spans="2:33" ht="21.6">
      <c r="B13" s="130">
        <v>44236</v>
      </c>
      <c r="C13" s="131">
        <v>8810</v>
      </c>
      <c r="D13" s="135">
        <v>22100</v>
      </c>
      <c r="E13" s="135">
        <v>4190</v>
      </c>
      <c r="F13" s="136">
        <v>15170</v>
      </c>
      <c r="G13" s="137">
        <v>6752</v>
      </c>
      <c r="H13" s="137">
        <v>11621</v>
      </c>
      <c r="I13" s="131">
        <v>3731</v>
      </c>
      <c r="J13" s="132">
        <v>0</v>
      </c>
      <c r="K13" s="276">
        <f>SUM(Table2523467891011[[#This Row],[Jones Creek Prod (bopd)]:[Egwa Prod (bopd)]])</f>
        <v>22104</v>
      </c>
      <c r="L13" s="131">
        <f>Table2523467891011[[#This Row],[Jones Creek Target (bopd)]]-Table2523467891011[[#This Row],[Jones Creek Prod (bopd)]]</f>
        <v>15348</v>
      </c>
      <c r="M13" s="132">
        <f>Table2523467891011[[#This Row],[Odidi Target (bopd)]]-Table2523467891011[[#This Row],[Odidi prod (bopd)]]</f>
        <v>3549</v>
      </c>
      <c r="N13" s="132">
        <f>Table2523467891011[[#This Row],[Batan Target (bopd)]]-Table2523467891011[[#This Row],[Batan Daily Prod (bopd)2]]</f>
        <v>5079</v>
      </c>
      <c r="O13" s="134">
        <f>Table2523467891011[[#This Row],[Egwa Target (bopd)]]-Table2523467891011[[#This Row],[Egwa Prod (bopd)]]</f>
        <v>4190</v>
      </c>
    </row>
    <row r="14" spans="2:33" ht="21.6">
      <c r="B14" s="130">
        <v>44237</v>
      </c>
      <c r="C14" s="131">
        <v>8810</v>
      </c>
      <c r="D14" s="135">
        <v>22100</v>
      </c>
      <c r="E14" s="135">
        <v>4190</v>
      </c>
      <c r="F14" s="136">
        <v>15170</v>
      </c>
      <c r="G14" s="137">
        <v>10869</v>
      </c>
      <c r="H14" s="137">
        <v>3352</v>
      </c>
      <c r="I14" s="131">
        <v>3877.5</v>
      </c>
      <c r="J14" s="132">
        <v>0</v>
      </c>
      <c r="K14" s="276">
        <f>SUM(Table2523467891011[[#This Row],[Jones Creek Prod (bopd)]:[Egwa Prod (bopd)]])</f>
        <v>18098.5</v>
      </c>
      <c r="L14" s="131">
        <f>Table2523467891011[[#This Row],[Jones Creek Target (bopd)]]-Table2523467891011[[#This Row],[Jones Creek Prod (bopd)]]</f>
        <v>11231</v>
      </c>
      <c r="M14" s="132">
        <f>Table2523467891011[[#This Row],[Odidi Target (bopd)]]-Table2523467891011[[#This Row],[Odidi prod (bopd)]]</f>
        <v>11818</v>
      </c>
      <c r="N14" s="132">
        <f>Table2523467891011[[#This Row],[Batan Target (bopd)]]-Table2523467891011[[#This Row],[Batan Daily Prod (bopd)2]]</f>
        <v>4932.5</v>
      </c>
      <c r="O14" s="134">
        <f>Table2523467891011[[#This Row],[Egwa Target (bopd)]]-Table2523467891011[[#This Row],[Egwa Prod (bopd)]]</f>
        <v>4190</v>
      </c>
    </row>
    <row r="15" spans="2:33" ht="21.6">
      <c r="B15" s="130">
        <v>44238</v>
      </c>
      <c r="C15" s="131">
        <v>8810</v>
      </c>
      <c r="D15" s="135">
        <v>22100</v>
      </c>
      <c r="E15" s="135">
        <v>4190</v>
      </c>
      <c r="F15" s="136">
        <v>15170</v>
      </c>
      <c r="G15" s="137">
        <v>12737</v>
      </c>
      <c r="H15" s="137">
        <v>0</v>
      </c>
      <c r="I15" s="131">
        <v>3882</v>
      </c>
      <c r="J15" s="132">
        <v>0</v>
      </c>
      <c r="K15" s="276">
        <f>SUM(Table2523467891011[[#This Row],[Jones Creek Prod (bopd)]:[Egwa Prod (bopd)]])</f>
        <v>16619</v>
      </c>
      <c r="L15" s="131">
        <f>Table2523467891011[[#This Row],[Jones Creek Target (bopd)]]-Table2523467891011[[#This Row],[Jones Creek Prod (bopd)]]</f>
        <v>9363</v>
      </c>
      <c r="M15" s="132">
        <f>Table2523467891011[[#This Row],[Odidi Target (bopd)]]-Table2523467891011[[#This Row],[Odidi prod (bopd)]]</f>
        <v>15170</v>
      </c>
      <c r="N15" s="132">
        <f>Table2523467891011[[#This Row],[Batan Target (bopd)]]-Table2523467891011[[#This Row],[Batan Daily Prod (bopd)2]]</f>
        <v>4928</v>
      </c>
      <c r="O15" s="134">
        <f>Table2523467891011[[#This Row],[Egwa Target (bopd)]]-Table2523467891011[[#This Row],[Egwa Prod (bopd)]]</f>
        <v>4190</v>
      </c>
    </row>
    <row r="16" spans="2:33" ht="21.6">
      <c r="B16" s="130">
        <v>44239</v>
      </c>
      <c r="C16" s="131">
        <v>8810</v>
      </c>
      <c r="D16" s="135">
        <v>22100</v>
      </c>
      <c r="E16" s="135">
        <v>4190</v>
      </c>
      <c r="F16" s="136">
        <v>15170</v>
      </c>
      <c r="G16" s="137">
        <v>19669</v>
      </c>
      <c r="H16" s="137">
        <v>7165</v>
      </c>
      <c r="I16" s="131">
        <v>3920</v>
      </c>
      <c r="J16" s="132">
        <v>0</v>
      </c>
      <c r="K16" s="276">
        <f>SUM(Table2523467891011[[#This Row],[Jones Creek Prod (bopd)]:[Egwa Prod (bopd)]])</f>
        <v>30754</v>
      </c>
      <c r="L16" s="131">
        <f>Table2523467891011[[#This Row],[Jones Creek Target (bopd)]]-Table2523467891011[[#This Row],[Jones Creek Prod (bopd)]]</f>
        <v>2431</v>
      </c>
      <c r="M16" s="132">
        <f>Table2523467891011[[#This Row],[Odidi Target (bopd)]]-Table2523467891011[[#This Row],[Odidi prod (bopd)]]</f>
        <v>8005</v>
      </c>
      <c r="N16" s="132">
        <f>Table2523467891011[[#This Row],[Batan Target (bopd)]]-Table2523467891011[[#This Row],[Batan Daily Prod (bopd)2]]</f>
        <v>4890</v>
      </c>
      <c r="O16" s="134">
        <f>Table2523467891011[[#This Row],[Egwa Target (bopd)]]-Table2523467891011[[#This Row],[Egwa Prod (bopd)]]</f>
        <v>4190</v>
      </c>
    </row>
    <row r="17" spans="2:15" ht="21.6">
      <c r="B17" s="130">
        <v>44240</v>
      </c>
      <c r="C17" s="131">
        <v>8810</v>
      </c>
      <c r="D17" s="135">
        <v>22100</v>
      </c>
      <c r="E17" s="135">
        <v>4190</v>
      </c>
      <c r="F17" s="136">
        <v>15170</v>
      </c>
      <c r="G17" s="137">
        <v>21999</v>
      </c>
      <c r="H17" s="138">
        <v>9580</v>
      </c>
      <c r="I17" s="140">
        <v>3886</v>
      </c>
      <c r="J17" s="132">
        <v>2268</v>
      </c>
      <c r="K17" s="276">
        <f>SUM(Table2523467891011[[#This Row],[Jones Creek Prod (bopd)]:[Egwa Prod (bopd)]])</f>
        <v>37733</v>
      </c>
      <c r="L17" s="131">
        <f>Table2523467891011[[#This Row],[Jones Creek Target (bopd)]]-Table2523467891011[[#This Row],[Jones Creek Prod (bopd)]]</f>
        <v>101</v>
      </c>
      <c r="M17" s="132">
        <f>Table2523467891011[[#This Row],[Odidi Target (bopd)]]-Table2523467891011[[#This Row],[Odidi prod (bopd)]]</f>
        <v>5590</v>
      </c>
      <c r="N17" s="132">
        <f>Table2523467891011[[#This Row],[Batan Target (bopd)]]-Table2523467891011[[#This Row],[Batan Daily Prod (bopd)2]]</f>
        <v>4924</v>
      </c>
      <c r="O17" s="134">
        <f>Table2523467891011[[#This Row],[Egwa Target (bopd)]]-Table2523467891011[[#This Row],[Egwa Prod (bopd)]]</f>
        <v>1922</v>
      </c>
    </row>
    <row r="18" spans="2:15" ht="21.6">
      <c r="B18" s="130">
        <v>44241</v>
      </c>
      <c r="C18" s="131">
        <v>8810</v>
      </c>
      <c r="D18" s="135">
        <v>22100</v>
      </c>
      <c r="E18" s="135">
        <v>4190</v>
      </c>
      <c r="F18" s="136">
        <v>15170</v>
      </c>
      <c r="G18" s="137">
        <v>13148</v>
      </c>
      <c r="H18" s="138">
        <v>8607</v>
      </c>
      <c r="I18" s="131">
        <v>3928</v>
      </c>
      <c r="J18" s="132">
        <v>3241</v>
      </c>
      <c r="K18" s="276">
        <f>SUM(Table2523467891011[[#This Row],[Jones Creek Prod (bopd)]:[Egwa Prod (bopd)]])</f>
        <v>28924</v>
      </c>
      <c r="L18" s="131">
        <f>Table2523467891011[[#This Row],[Jones Creek Target (bopd)]]-Table2523467891011[[#This Row],[Jones Creek Prod (bopd)]]</f>
        <v>8952</v>
      </c>
      <c r="M18" s="132">
        <f>Table2523467891011[[#This Row],[Odidi Target (bopd)]]-Table2523467891011[[#This Row],[Odidi prod (bopd)]]</f>
        <v>6563</v>
      </c>
      <c r="N18" s="132">
        <f>Table2523467891011[[#This Row],[Batan Target (bopd)]]-Table2523467891011[[#This Row],[Batan Daily Prod (bopd)2]]</f>
        <v>4882</v>
      </c>
      <c r="O18" s="134">
        <f>Table2523467891011[[#This Row],[Egwa Target (bopd)]]-Table2523467891011[[#This Row],[Egwa Prod (bopd)]]</f>
        <v>949</v>
      </c>
    </row>
    <row r="19" spans="2:15" ht="21.6">
      <c r="B19" s="130">
        <v>44242</v>
      </c>
      <c r="C19" s="131">
        <v>8810</v>
      </c>
      <c r="D19" s="135">
        <v>22100</v>
      </c>
      <c r="E19" s="135">
        <v>4190</v>
      </c>
      <c r="F19" s="136">
        <v>15170</v>
      </c>
      <c r="G19" s="137">
        <v>3670</v>
      </c>
      <c r="H19" s="138">
        <v>8300</v>
      </c>
      <c r="I19" s="140">
        <v>3817</v>
      </c>
      <c r="J19" s="132">
        <v>3242</v>
      </c>
      <c r="K19" s="276">
        <f>SUM(Table2523467891011[[#This Row],[Jones Creek Prod (bopd)]:[Egwa Prod (bopd)]])</f>
        <v>19029</v>
      </c>
      <c r="L19" s="131">
        <f>Table2523467891011[[#This Row],[Jones Creek Target (bopd)]]-Table2523467891011[[#This Row],[Jones Creek Prod (bopd)]]</f>
        <v>18430</v>
      </c>
      <c r="M19" s="132">
        <f>Table2523467891011[[#This Row],[Odidi Target (bopd)]]-Table2523467891011[[#This Row],[Odidi prod (bopd)]]</f>
        <v>6870</v>
      </c>
      <c r="N19" s="132">
        <f>Table2523467891011[[#This Row],[Batan Target (bopd)]]-Table2523467891011[[#This Row],[Batan Daily Prod (bopd)2]]</f>
        <v>4993</v>
      </c>
      <c r="O19" s="134">
        <f>Table2523467891011[[#This Row],[Egwa Target (bopd)]]-Table2523467891011[[#This Row],[Egwa Prod (bopd)]]</f>
        <v>948</v>
      </c>
    </row>
    <row r="20" spans="2:15" ht="21.6">
      <c r="B20" s="130">
        <v>44243</v>
      </c>
      <c r="C20" s="131">
        <v>8810</v>
      </c>
      <c r="D20" s="135">
        <v>22100</v>
      </c>
      <c r="E20" s="135">
        <v>4190</v>
      </c>
      <c r="F20" s="136">
        <v>15170</v>
      </c>
      <c r="G20" s="137">
        <v>13860</v>
      </c>
      <c r="H20" s="137">
        <v>8649</v>
      </c>
      <c r="I20" s="137">
        <v>3966</v>
      </c>
      <c r="J20" s="132">
        <v>3533</v>
      </c>
      <c r="K20" s="276">
        <f>SUM(Table2523467891011[[#This Row],[Jones Creek Prod (bopd)]:[Egwa Prod (bopd)]])</f>
        <v>30008</v>
      </c>
      <c r="L20" s="131">
        <f>Table2523467891011[[#This Row],[Jones Creek Target (bopd)]]-Table2523467891011[[#This Row],[Jones Creek Prod (bopd)]]</f>
        <v>8240</v>
      </c>
      <c r="M20" s="132">
        <f>Table2523467891011[[#This Row],[Odidi Target (bopd)]]-Table2523467891011[[#This Row],[Odidi prod (bopd)]]</f>
        <v>6521</v>
      </c>
      <c r="N20" s="132">
        <f>Table2523467891011[[#This Row],[Batan Target (bopd)]]-Table2523467891011[[#This Row],[Batan Daily Prod (bopd)2]]</f>
        <v>4844</v>
      </c>
      <c r="O20" s="134">
        <f>Table2523467891011[[#This Row],[Egwa Target (bopd)]]-Table2523467891011[[#This Row],[Egwa Prod (bopd)]]</f>
        <v>657</v>
      </c>
    </row>
    <row r="21" spans="2:15" ht="21.6">
      <c r="B21" s="130">
        <v>44244</v>
      </c>
      <c r="C21" s="131">
        <v>8810</v>
      </c>
      <c r="D21" s="135">
        <v>22100</v>
      </c>
      <c r="E21" s="135">
        <v>4190</v>
      </c>
      <c r="F21" s="136">
        <v>15170</v>
      </c>
      <c r="G21" s="137">
        <v>22182</v>
      </c>
      <c r="H21" s="137">
        <v>11460</v>
      </c>
      <c r="I21" s="137">
        <v>3993</v>
      </c>
      <c r="J21" s="132">
        <v>3129</v>
      </c>
      <c r="K21" s="276">
        <f>SUM(Table2523467891011[[#This Row],[Jones Creek Prod (bopd)]:[Egwa Prod (bopd)]])</f>
        <v>40764</v>
      </c>
      <c r="L21" s="131">
        <f>Table2523467891011[[#This Row],[Jones Creek Target (bopd)]]-Table2523467891011[[#This Row],[Jones Creek Prod (bopd)]]</f>
        <v>-82</v>
      </c>
      <c r="M21" s="132">
        <f>Table2523467891011[[#This Row],[Odidi Target (bopd)]]-Table2523467891011[[#This Row],[Odidi prod (bopd)]]</f>
        <v>3710</v>
      </c>
      <c r="N21" s="132">
        <f>Table2523467891011[[#This Row],[Batan Target (bopd)]]-Table2523467891011[[#This Row],[Batan Daily Prod (bopd)2]]</f>
        <v>4817</v>
      </c>
      <c r="O21" s="134">
        <f>Table2523467891011[[#This Row],[Egwa Target (bopd)]]-Table2523467891011[[#This Row],[Egwa Prod (bopd)]]</f>
        <v>1061</v>
      </c>
    </row>
    <row r="22" spans="2:15" ht="21.6">
      <c r="B22" s="130">
        <v>44245</v>
      </c>
      <c r="C22" s="131">
        <v>8810</v>
      </c>
      <c r="D22" s="135">
        <v>22100</v>
      </c>
      <c r="E22" s="135">
        <v>4190</v>
      </c>
      <c r="F22" s="136">
        <v>15170</v>
      </c>
      <c r="G22" s="137">
        <v>22515</v>
      </c>
      <c r="H22" s="137">
        <v>11556</v>
      </c>
      <c r="I22" s="137">
        <v>3300</v>
      </c>
      <c r="J22" s="137">
        <v>2141</v>
      </c>
      <c r="K22" s="276">
        <f>SUM(Table2523467891011[[#This Row],[Jones Creek Prod (bopd)]:[Egwa Prod (bopd)]])</f>
        <v>39512</v>
      </c>
      <c r="L22" s="131">
        <f>Table2523467891011[[#This Row],[Jones Creek Target (bopd)]]-Table2523467891011[[#This Row],[Jones Creek Prod (bopd)]]</f>
        <v>-415</v>
      </c>
      <c r="M22" s="132">
        <f>Table2523467891011[[#This Row],[Odidi Target (bopd)]]-Table2523467891011[[#This Row],[Odidi prod (bopd)]]</f>
        <v>3614</v>
      </c>
      <c r="N22" s="132">
        <f>Table2523467891011[[#This Row],[Batan Target (bopd)]]-Table2523467891011[[#This Row],[Batan Daily Prod (bopd)2]]</f>
        <v>5510</v>
      </c>
      <c r="O22" s="134">
        <f>Table2523467891011[[#This Row],[Egwa Target (bopd)]]-Table2523467891011[[#This Row],[Egwa Prod (bopd)]]</f>
        <v>2049</v>
      </c>
    </row>
    <row r="23" spans="2:15" ht="21.6">
      <c r="B23" s="130">
        <v>44246</v>
      </c>
      <c r="C23" s="131">
        <v>8810</v>
      </c>
      <c r="D23" s="135">
        <v>22100</v>
      </c>
      <c r="E23" s="135">
        <v>4190</v>
      </c>
      <c r="F23" s="136">
        <v>15170</v>
      </c>
      <c r="G23" s="137">
        <v>20429</v>
      </c>
      <c r="H23" s="137">
        <v>10609</v>
      </c>
      <c r="I23" s="137">
        <v>3903</v>
      </c>
      <c r="J23" s="137">
        <v>3270</v>
      </c>
      <c r="K23" s="276">
        <f>SUM(Table2523467891011[[#This Row],[Jones Creek Prod (bopd)]:[Egwa Prod (bopd)]])</f>
        <v>38211</v>
      </c>
      <c r="L23" s="131">
        <f>Table2523467891011[[#This Row],[Jones Creek Target (bopd)]]-Table2523467891011[[#This Row],[Jones Creek Prod (bopd)]]</f>
        <v>1671</v>
      </c>
      <c r="M23" s="132">
        <f>Table2523467891011[[#This Row],[Odidi Target (bopd)]]-Table2523467891011[[#This Row],[Odidi prod (bopd)]]</f>
        <v>4561</v>
      </c>
      <c r="N23" s="132">
        <f>Table2523467891011[[#This Row],[Batan Target (bopd)]]-Table2523467891011[[#This Row],[Batan Daily Prod (bopd)2]]</f>
        <v>4907</v>
      </c>
      <c r="O23" s="134">
        <f>Table2523467891011[[#This Row],[Egwa Target (bopd)]]-Table2523467891011[[#This Row],[Egwa Prod (bopd)]]</f>
        <v>920</v>
      </c>
    </row>
    <row r="24" spans="2:15" ht="21.6">
      <c r="B24" s="130">
        <v>44247</v>
      </c>
      <c r="C24" s="131">
        <v>8810</v>
      </c>
      <c r="D24" s="135">
        <v>22100</v>
      </c>
      <c r="E24" s="135">
        <v>4190</v>
      </c>
      <c r="F24" s="136">
        <v>15170</v>
      </c>
      <c r="G24" s="132">
        <v>21182</v>
      </c>
      <c r="H24" s="132">
        <v>10239</v>
      </c>
      <c r="I24" s="132">
        <v>3873</v>
      </c>
      <c r="J24" s="137">
        <v>3893.5</v>
      </c>
      <c r="K24" s="276">
        <f>SUM(Table2523467891011[[#This Row],[Jones Creek Prod (bopd)]:[Egwa Prod (bopd)]])</f>
        <v>39187.5</v>
      </c>
      <c r="L24" s="131">
        <f>Table2523467891011[[#This Row],[Jones Creek Target (bopd)]]-Table2523467891011[[#This Row],[Jones Creek Prod (bopd)]]</f>
        <v>918</v>
      </c>
      <c r="M24" s="132">
        <f>Table2523467891011[[#This Row],[Odidi Target (bopd)]]-Table2523467891011[[#This Row],[Odidi prod (bopd)]]</f>
        <v>4931</v>
      </c>
      <c r="N24" s="132">
        <f>Table2523467891011[[#This Row],[Batan Target (bopd)]]-Table2523467891011[[#This Row],[Batan Daily Prod (bopd)2]]</f>
        <v>4937</v>
      </c>
      <c r="O24" s="134">
        <f>Table2523467891011[[#This Row],[Egwa Target (bopd)]]-Table2523467891011[[#This Row],[Egwa Prod (bopd)]]</f>
        <v>296.5</v>
      </c>
    </row>
    <row r="25" spans="2:15" ht="21.6">
      <c r="B25" s="130">
        <v>44248</v>
      </c>
      <c r="C25" s="131">
        <v>8810</v>
      </c>
      <c r="D25" s="135">
        <v>22100</v>
      </c>
      <c r="E25" s="135">
        <v>4190</v>
      </c>
      <c r="F25" s="136">
        <v>15170</v>
      </c>
      <c r="G25" s="137">
        <v>21992</v>
      </c>
      <c r="H25" s="137">
        <v>10545</v>
      </c>
      <c r="I25" s="137">
        <v>308.8</v>
      </c>
      <c r="J25" s="137">
        <v>3892</v>
      </c>
      <c r="K25" s="276">
        <f>SUM(Table2523467891011[[#This Row],[Jones Creek Prod (bopd)]:[Egwa Prod (bopd)]])</f>
        <v>36737.800000000003</v>
      </c>
      <c r="L25" s="131">
        <f>Table2523467891011[[#This Row],[Jones Creek Target (bopd)]]-Table2523467891011[[#This Row],[Jones Creek Prod (bopd)]]</f>
        <v>108</v>
      </c>
      <c r="M25" s="132">
        <f>Table2523467891011[[#This Row],[Odidi Target (bopd)]]-Table2523467891011[[#This Row],[Odidi prod (bopd)]]</f>
        <v>4625</v>
      </c>
      <c r="N25" s="132">
        <f>Table2523467891011[[#This Row],[Batan Target (bopd)]]-Table2523467891011[[#This Row],[Batan Daily Prod (bopd)2]]</f>
        <v>8501.2000000000007</v>
      </c>
      <c r="O25" s="134">
        <f>Table2523467891011[[#This Row],[Egwa Target (bopd)]]-Table2523467891011[[#This Row],[Egwa Prod (bopd)]]</f>
        <v>298</v>
      </c>
    </row>
    <row r="26" spans="2:15" ht="21.6">
      <c r="B26" s="130">
        <v>44249</v>
      </c>
      <c r="C26" s="131">
        <v>8810</v>
      </c>
      <c r="D26" s="135">
        <v>22100</v>
      </c>
      <c r="E26" s="135">
        <v>4190</v>
      </c>
      <c r="F26" s="136">
        <v>15170</v>
      </c>
      <c r="G26" s="137">
        <v>22091</v>
      </c>
      <c r="H26" s="137">
        <v>11178</v>
      </c>
      <c r="I26" s="137">
        <v>0</v>
      </c>
      <c r="J26" s="132">
        <v>3889</v>
      </c>
      <c r="K26" s="276">
        <f>SUM(Table2523467891011[[#This Row],[Jones Creek Prod (bopd)]:[Egwa Prod (bopd)]])</f>
        <v>37158</v>
      </c>
      <c r="L26" s="131">
        <f>Table2523467891011[[#This Row],[Jones Creek Target (bopd)]]-Table2523467891011[[#This Row],[Jones Creek Prod (bopd)]]</f>
        <v>9</v>
      </c>
      <c r="M26" s="132">
        <f>Table2523467891011[[#This Row],[Odidi Target (bopd)]]-Table2523467891011[[#This Row],[Odidi prod (bopd)]]</f>
        <v>3992</v>
      </c>
      <c r="N26" s="132">
        <f>Table2523467891011[[#This Row],[Batan Target (bopd)]]-Table2523467891011[[#This Row],[Batan Daily Prod (bopd)2]]</f>
        <v>8810</v>
      </c>
      <c r="O26" s="134">
        <f>Table2523467891011[[#This Row],[Egwa Target (bopd)]]-Table2523467891011[[#This Row],[Egwa Prod (bopd)]]</f>
        <v>301</v>
      </c>
    </row>
    <row r="27" spans="2:15" ht="21.6">
      <c r="B27" s="130">
        <v>44250</v>
      </c>
      <c r="C27" s="131">
        <v>8810</v>
      </c>
      <c r="D27" s="135">
        <v>22100</v>
      </c>
      <c r="E27" s="135">
        <v>4190</v>
      </c>
      <c r="F27" s="136">
        <v>15170</v>
      </c>
      <c r="G27" s="137">
        <v>22089</v>
      </c>
      <c r="H27" s="137">
        <v>11412</v>
      </c>
      <c r="I27" s="137">
        <v>0</v>
      </c>
      <c r="J27" s="132">
        <v>3890</v>
      </c>
      <c r="K27" s="276">
        <f>SUM(Table2523467891011[[#This Row],[Jones Creek Prod (bopd)]:[Egwa Prod (bopd)]])</f>
        <v>37391</v>
      </c>
      <c r="L27" s="131">
        <f>Table2523467891011[[#This Row],[Jones Creek Target (bopd)]]-Table2523467891011[[#This Row],[Jones Creek Prod (bopd)]]</f>
        <v>11</v>
      </c>
      <c r="M27" s="132">
        <f>Table2523467891011[[#This Row],[Odidi Target (bopd)]]-Table2523467891011[[#This Row],[Odidi prod (bopd)]]</f>
        <v>3758</v>
      </c>
      <c r="N27" s="132">
        <f>Table2523467891011[[#This Row],[Batan Target (bopd)]]-Table2523467891011[[#This Row],[Batan Daily Prod (bopd)2]]</f>
        <v>8810</v>
      </c>
      <c r="O27" s="134">
        <f>Table2523467891011[[#This Row],[Egwa Target (bopd)]]-Table2523467891011[[#This Row],[Egwa Prod (bopd)]]</f>
        <v>300</v>
      </c>
    </row>
    <row r="28" spans="2:15" ht="21.6">
      <c r="B28" s="130">
        <v>44251</v>
      </c>
      <c r="C28" s="131">
        <v>8810</v>
      </c>
      <c r="D28" s="135">
        <v>22100</v>
      </c>
      <c r="E28" s="135">
        <v>4190</v>
      </c>
      <c r="F28" s="136">
        <v>15170</v>
      </c>
      <c r="G28" s="137">
        <v>21635</v>
      </c>
      <c r="H28" s="137">
        <v>13280</v>
      </c>
      <c r="I28" s="137">
        <v>2413</v>
      </c>
      <c r="J28" s="132">
        <v>3875</v>
      </c>
      <c r="K28" s="276">
        <f>SUM(Table2523467891011[[#This Row],[Jones Creek Prod (bopd)]:[Egwa Prod (bopd)]])</f>
        <v>41203</v>
      </c>
      <c r="L28" s="131">
        <f>Table2523467891011[[#This Row],[Jones Creek Target (bopd)]]-Table2523467891011[[#This Row],[Jones Creek Prod (bopd)]]</f>
        <v>465</v>
      </c>
      <c r="M28" s="132">
        <f>Table2523467891011[[#This Row],[Odidi Target (bopd)]]-Table2523467891011[[#This Row],[Odidi prod (bopd)]]</f>
        <v>1890</v>
      </c>
      <c r="N28" s="132">
        <f>Table2523467891011[[#This Row],[Batan Target (bopd)]]-Table2523467891011[[#This Row],[Batan Daily Prod (bopd)2]]</f>
        <v>6397</v>
      </c>
      <c r="O28" s="134">
        <f>Table2523467891011[[#This Row],[Egwa Target (bopd)]]-Table2523467891011[[#This Row],[Egwa Prod (bopd)]]</f>
        <v>315</v>
      </c>
    </row>
    <row r="29" spans="2:15" ht="21.6">
      <c r="B29" s="130">
        <v>44252</v>
      </c>
      <c r="C29" s="131">
        <v>8810</v>
      </c>
      <c r="D29" s="135">
        <v>22100</v>
      </c>
      <c r="E29" s="135">
        <v>4190</v>
      </c>
      <c r="F29" s="136">
        <v>15170</v>
      </c>
      <c r="G29" s="137">
        <v>20831</v>
      </c>
      <c r="H29" s="137">
        <v>13260</v>
      </c>
      <c r="I29" s="137">
        <v>3913.7</v>
      </c>
      <c r="J29" s="132">
        <v>3877</v>
      </c>
      <c r="K29" s="276">
        <f>SUM(Table2523467891011[[#This Row],[Jones Creek Prod (bopd)]:[Egwa Prod (bopd)]])</f>
        <v>41881.699999999997</v>
      </c>
      <c r="L29" s="131">
        <f>Table2523467891011[[#This Row],[Jones Creek Target (bopd)]]-Table2523467891011[[#This Row],[Jones Creek Prod (bopd)]]</f>
        <v>1269</v>
      </c>
      <c r="M29" s="132">
        <f>Table2523467891011[[#This Row],[Odidi Target (bopd)]]-Table2523467891011[[#This Row],[Odidi prod (bopd)]]</f>
        <v>1910</v>
      </c>
      <c r="N29" s="132">
        <f>Table2523467891011[[#This Row],[Batan Target (bopd)]]-Table2523467891011[[#This Row],[Batan Daily Prod (bopd)2]]</f>
        <v>4896.3</v>
      </c>
      <c r="O29" s="134">
        <f>Table2523467891011[[#This Row],[Egwa Target (bopd)]]-Table2523467891011[[#This Row],[Egwa Prod (bopd)]]</f>
        <v>313</v>
      </c>
    </row>
    <row r="30" spans="2:15" ht="21.6">
      <c r="B30" s="130">
        <v>44253</v>
      </c>
      <c r="C30" s="131">
        <v>8810</v>
      </c>
      <c r="D30" s="135">
        <v>22100</v>
      </c>
      <c r="E30" s="135">
        <v>4190</v>
      </c>
      <c r="F30" s="136">
        <v>15170</v>
      </c>
      <c r="G30" s="137">
        <v>21112</v>
      </c>
      <c r="H30" s="137">
        <v>13216</v>
      </c>
      <c r="I30" s="137">
        <v>3984</v>
      </c>
      <c r="J30" s="137">
        <v>3882</v>
      </c>
      <c r="K30" s="276">
        <f>SUM(Table2523467891011[[#This Row],[Jones Creek Prod (bopd)]:[Egwa Prod (bopd)]])</f>
        <v>42194</v>
      </c>
      <c r="L30" s="131">
        <f>Table2523467891011[[#This Row],[Jones Creek Target (bopd)]]-Table2523467891011[[#This Row],[Jones Creek Prod (bopd)]]</f>
        <v>988</v>
      </c>
      <c r="M30" s="132">
        <f>Table2523467891011[[#This Row],[Odidi Target (bopd)]]-Table2523467891011[[#This Row],[Odidi prod (bopd)]]</f>
        <v>1954</v>
      </c>
      <c r="N30" s="132">
        <f>Table2523467891011[[#This Row],[Batan Target (bopd)]]-Table2523467891011[[#This Row],[Batan Daily Prod (bopd)2]]</f>
        <v>4826</v>
      </c>
      <c r="O30" s="134">
        <f>Table2523467891011[[#This Row],[Egwa Target (bopd)]]-Table2523467891011[[#This Row],[Egwa Prod (bopd)]]</f>
        <v>308</v>
      </c>
    </row>
    <row r="31" spans="2:15" ht="21.6">
      <c r="B31" s="130">
        <v>44254</v>
      </c>
      <c r="C31" s="131">
        <v>8810</v>
      </c>
      <c r="D31" s="135">
        <v>22100</v>
      </c>
      <c r="E31" s="135">
        <v>4190</v>
      </c>
      <c r="F31" s="136">
        <v>15170</v>
      </c>
      <c r="G31" s="137">
        <v>21791</v>
      </c>
      <c r="H31" s="137">
        <v>9240</v>
      </c>
      <c r="I31" s="137">
        <v>3927</v>
      </c>
      <c r="J31" s="137">
        <v>3867</v>
      </c>
      <c r="K31" s="276">
        <f>SUM(Table2523467891011[[#This Row],[Jones Creek Prod (bopd)]:[Egwa Prod (bopd)]])</f>
        <v>38825</v>
      </c>
      <c r="L31" s="131">
        <f>Table2523467891011[[#This Row],[Jones Creek Target (bopd)]]-Table2523467891011[[#This Row],[Jones Creek Prod (bopd)]]</f>
        <v>309</v>
      </c>
      <c r="M31" s="132">
        <f>Table2523467891011[[#This Row],[Odidi Target (bopd)]]-Table2523467891011[[#This Row],[Odidi prod (bopd)]]</f>
        <v>5930</v>
      </c>
      <c r="N31" s="132">
        <f>Table2523467891011[[#This Row],[Batan Target (bopd)]]-Table2523467891011[[#This Row],[Batan Daily Prod (bopd)2]]</f>
        <v>4883</v>
      </c>
      <c r="O31" s="134">
        <f>Table2523467891011[[#This Row],[Egwa Target (bopd)]]-Table2523467891011[[#This Row],[Egwa Prod (bopd)]]</f>
        <v>323</v>
      </c>
    </row>
    <row r="32" spans="2:15" ht="21.6">
      <c r="B32" s="130">
        <v>44255</v>
      </c>
      <c r="C32" s="131">
        <v>8810</v>
      </c>
      <c r="D32" s="135">
        <v>22100</v>
      </c>
      <c r="E32" s="135">
        <v>4190</v>
      </c>
      <c r="F32" s="136">
        <v>15170</v>
      </c>
      <c r="G32" s="132">
        <v>14162</v>
      </c>
      <c r="H32" s="132">
        <v>8193</v>
      </c>
      <c r="I32" s="132">
        <v>3962</v>
      </c>
      <c r="J32" s="132">
        <v>3886</v>
      </c>
      <c r="K32" s="276">
        <f>SUM(Table2523467891011[[#This Row],[Jones Creek Prod (bopd)]:[Egwa Prod (bopd)]])</f>
        <v>30203</v>
      </c>
      <c r="L32" s="131">
        <f>Table2523467891011[[#This Row],[Jones Creek Target (bopd)]]-Table2523467891011[[#This Row],[Jones Creek Prod (bopd)]]</f>
        <v>7938</v>
      </c>
      <c r="M32" s="132">
        <f>Table2523467891011[[#This Row],[Odidi Target (bopd)]]-Table2523467891011[[#This Row],[Odidi prod (bopd)]]</f>
        <v>6977</v>
      </c>
      <c r="N32" s="132">
        <f>Table2523467891011[[#This Row],[Batan Target (bopd)]]-Table2523467891011[[#This Row],[Batan Daily Prod (bopd)2]]</f>
        <v>4848</v>
      </c>
      <c r="O32" s="134">
        <f>Table2523467891011[[#This Row],[Egwa Target (bopd)]]-Table2523467891011[[#This Row],[Egwa Prod (bopd)]]</f>
        <v>304</v>
      </c>
    </row>
    <row r="33" spans="2:19" ht="21.6">
      <c r="B33" s="130">
        <v>44256</v>
      </c>
      <c r="C33" s="131">
        <v>8800</v>
      </c>
      <c r="D33" s="135">
        <v>22000</v>
      </c>
      <c r="E33" s="135">
        <v>4100</v>
      </c>
      <c r="F33" s="136">
        <v>14500</v>
      </c>
      <c r="G33" s="132">
        <v>19067</v>
      </c>
      <c r="H33" s="132">
        <v>10006</v>
      </c>
      <c r="I33" s="137">
        <v>3997</v>
      </c>
      <c r="J33" s="137">
        <v>3873</v>
      </c>
      <c r="K33" s="276">
        <f>SUM(Table2523467891011[[#This Row],[Jones Creek Prod (bopd)]:[Egwa Prod (bopd)]])</f>
        <v>36943</v>
      </c>
      <c r="L33" s="131">
        <f>Table2523467891011[[#This Row],[Jones Creek Target (bopd)]]-Table2523467891011[[#This Row],[Jones Creek Prod (bopd)]]</f>
        <v>2933</v>
      </c>
      <c r="M33" s="132">
        <f>Table2523467891011[[#This Row],[Odidi Target (bopd)]]-Table2523467891011[[#This Row],[Odidi prod (bopd)]]</f>
        <v>4494</v>
      </c>
      <c r="N33" s="132">
        <f>Table2523467891011[[#This Row],[Batan Target (bopd)]]-Table2523467891011[[#This Row],[Batan Daily Prod (bopd)2]]</f>
        <v>4803</v>
      </c>
      <c r="O33" s="134">
        <f>Table2523467891011[[#This Row],[Egwa Target (bopd)]]-Table2523467891011[[#This Row],[Egwa Prod (bopd)]]</f>
        <v>227</v>
      </c>
    </row>
    <row r="34" spans="2:19" ht="21.6">
      <c r="B34" s="130">
        <v>44257</v>
      </c>
      <c r="C34" s="131">
        <v>8800</v>
      </c>
      <c r="D34" s="135">
        <v>22000</v>
      </c>
      <c r="E34" s="135">
        <v>4100</v>
      </c>
      <c r="F34" s="136">
        <v>14500</v>
      </c>
      <c r="G34" s="137">
        <v>21832</v>
      </c>
      <c r="H34" s="137">
        <v>8357</v>
      </c>
      <c r="I34" s="137">
        <v>3949</v>
      </c>
      <c r="J34" s="137">
        <v>3877</v>
      </c>
      <c r="K34" s="276">
        <f>SUM(Table2523467891011[[#This Row],[Jones Creek Prod (bopd)]:[Egwa Prod (bopd)]])</f>
        <v>38015</v>
      </c>
      <c r="L34" s="131">
        <f>Table2523467891011[[#This Row],[Jones Creek Target (bopd)]]-Table2523467891011[[#This Row],[Jones Creek Prod (bopd)]]</f>
        <v>168</v>
      </c>
      <c r="M34" s="132">
        <f>Table2523467891011[[#This Row],[Odidi Target (bopd)]]-Table2523467891011[[#This Row],[Odidi prod (bopd)]]</f>
        <v>6143</v>
      </c>
      <c r="N34" s="132">
        <f>Table2523467891011[[#This Row],[Batan Target (bopd)]]-Table2523467891011[[#This Row],[Batan Daily Prod (bopd)2]]</f>
        <v>4851</v>
      </c>
      <c r="O34" s="134">
        <f>Table2523467891011[[#This Row],[Egwa Target (bopd)]]-Table2523467891011[[#This Row],[Egwa Prod (bopd)]]</f>
        <v>223</v>
      </c>
    </row>
    <row r="35" spans="2:19" ht="21.6">
      <c r="B35" s="130">
        <v>44258</v>
      </c>
      <c r="C35" s="131">
        <v>8800</v>
      </c>
      <c r="D35" s="135">
        <v>22000</v>
      </c>
      <c r="E35" s="135">
        <v>4100</v>
      </c>
      <c r="F35" s="136">
        <v>14500</v>
      </c>
      <c r="G35" s="137">
        <v>21324</v>
      </c>
      <c r="H35" s="137">
        <v>8626</v>
      </c>
      <c r="I35" s="137">
        <v>3973.9</v>
      </c>
      <c r="J35" s="137">
        <v>3890.77</v>
      </c>
      <c r="K35" s="276">
        <f>SUM(Table2523467891011[[#This Row],[Jones Creek Prod (bopd)]:[Egwa Prod (bopd)]])</f>
        <v>37814.67</v>
      </c>
      <c r="L35" s="131">
        <f>Table2523467891011[[#This Row],[Jones Creek Target (bopd)]]-Table2523467891011[[#This Row],[Jones Creek Prod (bopd)]]</f>
        <v>676</v>
      </c>
      <c r="M35" s="132">
        <f>Table2523467891011[[#This Row],[Odidi Target (bopd)]]-Table2523467891011[[#This Row],[Odidi prod (bopd)]]</f>
        <v>5874</v>
      </c>
      <c r="N35" s="132">
        <f>Table2523467891011[[#This Row],[Batan Target (bopd)]]-Table2523467891011[[#This Row],[Batan Daily Prod (bopd)2]]</f>
        <v>4826.1000000000004</v>
      </c>
      <c r="O35" s="134">
        <f>Table2523467891011[[#This Row],[Egwa Target (bopd)]]-Table2523467891011[[#This Row],[Egwa Prod (bopd)]]</f>
        <v>209.23000000000002</v>
      </c>
    </row>
    <row r="36" spans="2:19" ht="21.6">
      <c r="B36" s="130">
        <v>44259</v>
      </c>
      <c r="C36" s="131">
        <v>8800</v>
      </c>
      <c r="D36" s="135">
        <v>22000</v>
      </c>
      <c r="E36" s="135">
        <v>4100</v>
      </c>
      <c r="F36" s="136">
        <v>14500</v>
      </c>
      <c r="G36" s="137">
        <v>20751</v>
      </c>
      <c r="H36" s="137">
        <v>8733</v>
      </c>
      <c r="I36" s="137">
        <v>3947</v>
      </c>
      <c r="J36" s="137">
        <v>3892</v>
      </c>
      <c r="K36" s="276">
        <f>SUM(Table2523467891011[[#This Row],[Jones Creek Prod (bopd)]:[Egwa Prod (bopd)]])</f>
        <v>37323</v>
      </c>
      <c r="L36" s="131">
        <f>Table2523467891011[[#This Row],[Jones Creek Target (bopd)]]-Table2523467891011[[#This Row],[Jones Creek Prod (bopd)]]</f>
        <v>1249</v>
      </c>
      <c r="M36" s="132">
        <f>Table2523467891011[[#This Row],[Odidi Target (bopd)]]-Table2523467891011[[#This Row],[Odidi prod (bopd)]]</f>
        <v>5767</v>
      </c>
      <c r="N36" s="132">
        <f>Table2523467891011[[#This Row],[Batan Target (bopd)]]-Table2523467891011[[#This Row],[Batan Daily Prod (bopd)2]]</f>
        <v>4853</v>
      </c>
      <c r="O36" s="134">
        <f>Table2523467891011[[#This Row],[Egwa Target (bopd)]]-Table2523467891011[[#This Row],[Egwa Prod (bopd)]]</f>
        <v>208</v>
      </c>
    </row>
    <row r="37" spans="2:19" ht="21.6">
      <c r="B37" s="130">
        <v>44260</v>
      </c>
      <c r="C37" s="131">
        <v>8800</v>
      </c>
      <c r="D37" s="135">
        <v>22000</v>
      </c>
      <c r="E37" s="135">
        <v>4100</v>
      </c>
      <c r="F37" s="136">
        <v>14500</v>
      </c>
      <c r="G37" s="137">
        <v>21966</v>
      </c>
      <c r="H37" s="137">
        <v>9509</v>
      </c>
      <c r="I37" s="137">
        <v>3953</v>
      </c>
      <c r="J37" s="137">
        <v>3914.9</v>
      </c>
      <c r="K37" s="276">
        <f>SUM(Table2523467891011[[#This Row],[Jones Creek Prod (bopd)]:[Egwa Prod (bopd)]])</f>
        <v>39342.9</v>
      </c>
      <c r="L37" s="131">
        <f>Table2523467891011[[#This Row],[Jones Creek Target (bopd)]]-Table2523467891011[[#This Row],[Jones Creek Prod (bopd)]]</f>
        <v>34</v>
      </c>
      <c r="M37" s="132">
        <f>Table2523467891011[[#This Row],[Odidi Target (bopd)]]-Table2523467891011[[#This Row],[Odidi prod (bopd)]]</f>
        <v>4991</v>
      </c>
      <c r="N37" s="132">
        <f>Table2523467891011[[#This Row],[Batan Target (bopd)]]-Table2523467891011[[#This Row],[Batan Daily Prod (bopd)2]]</f>
        <v>4847</v>
      </c>
      <c r="O37" s="134">
        <f>Table2523467891011[[#This Row],[Egwa Target (bopd)]]-Table2523467891011[[#This Row],[Egwa Prod (bopd)]]</f>
        <v>185.09999999999991</v>
      </c>
    </row>
    <row r="38" spans="2:19" ht="21.6">
      <c r="B38" s="130">
        <v>44261</v>
      </c>
      <c r="C38" s="131">
        <v>8800</v>
      </c>
      <c r="D38" s="135">
        <v>22000</v>
      </c>
      <c r="E38" s="135">
        <v>4100</v>
      </c>
      <c r="F38" s="136">
        <v>14500</v>
      </c>
      <c r="G38" s="137">
        <v>21850</v>
      </c>
      <c r="H38" s="137">
        <v>8464</v>
      </c>
      <c r="I38" s="137">
        <v>3955</v>
      </c>
      <c r="J38" s="132">
        <v>3914</v>
      </c>
      <c r="K38" s="276">
        <f>SUM(Table2523467891011[[#This Row],[Jones Creek Prod (bopd)]:[Egwa Prod (bopd)]])</f>
        <v>38183</v>
      </c>
      <c r="L38" s="131">
        <f>Table2523467891011[[#This Row],[Jones Creek Target (bopd)]]-Table2523467891011[[#This Row],[Jones Creek Prod (bopd)]]</f>
        <v>150</v>
      </c>
      <c r="M38" s="132">
        <f>Table2523467891011[[#This Row],[Odidi Target (bopd)]]-Table2523467891011[[#This Row],[Odidi prod (bopd)]]</f>
        <v>6036</v>
      </c>
      <c r="N38" s="132">
        <f>Table2523467891011[[#This Row],[Batan Target (bopd)]]-Table2523467891011[[#This Row],[Batan Daily Prod (bopd)2]]</f>
        <v>4845</v>
      </c>
      <c r="O38" s="134">
        <f>Table2523467891011[[#This Row],[Egwa Target (bopd)]]-Table2523467891011[[#This Row],[Egwa Prod (bopd)]]</f>
        <v>186</v>
      </c>
    </row>
    <row r="39" spans="2:19" ht="21.6">
      <c r="B39" s="130">
        <v>44262</v>
      </c>
      <c r="C39" s="131">
        <v>8800</v>
      </c>
      <c r="D39" s="135">
        <v>22000</v>
      </c>
      <c r="E39" s="135">
        <v>4100</v>
      </c>
      <c r="F39" s="136">
        <v>14500</v>
      </c>
      <c r="G39" s="137">
        <v>21751</v>
      </c>
      <c r="H39" s="137">
        <v>10066</v>
      </c>
      <c r="I39" s="137">
        <v>3950</v>
      </c>
      <c r="J39" s="137">
        <v>3898</v>
      </c>
      <c r="K39" s="276">
        <f>SUM(Table2523467891011[[#This Row],[Jones Creek Prod (bopd)]:[Egwa Prod (bopd)]])</f>
        <v>39665</v>
      </c>
      <c r="L39" s="131">
        <f>Table2523467891011[[#This Row],[Jones Creek Target (bopd)]]-Table2523467891011[[#This Row],[Jones Creek Prod (bopd)]]</f>
        <v>249</v>
      </c>
      <c r="M39" s="132">
        <f>Table2523467891011[[#This Row],[Odidi Target (bopd)]]-Table2523467891011[[#This Row],[Odidi prod (bopd)]]</f>
        <v>4434</v>
      </c>
      <c r="N39" s="132">
        <f>Table2523467891011[[#This Row],[Batan Target (bopd)]]-Table2523467891011[[#This Row],[Batan Daily Prod (bopd)2]]</f>
        <v>4850</v>
      </c>
      <c r="O39" s="134">
        <f>Table2523467891011[[#This Row],[Egwa Target (bopd)]]-Table2523467891011[[#This Row],[Egwa Prod (bopd)]]</f>
        <v>202</v>
      </c>
    </row>
    <row r="40" spans="2:19" ht="21.6">
      <c r="B40" s="130">
        <v>44263</v>
      </c>
      <c r="C40" s="131">
        <v>8800</v>
      </c>
      <c r="D40" s="135">
        <v>22000</v>
      </c>
      <c r="E40" s="135">
        <v>4100</v>
      </c>
      <c r="F40" s="136">
        <v>14500</v>
      </c>
      <c r="G40" s="132">
        <v>21630</v>
      </c>
      <c r="H40" s="301">
        <v>10066</v>
      </c>
      <c r="I40" s="137">
        <v>853</v>
      </c>
      <c r="J40" s="132">
        <v>3980</v>
      </c>
      <c r="K40" s="276">
        <f>SUM(Table2523467891011[[#This Row],[Jones Creek Prod (bopd)]:[Egwa Prod (bopd)]])</f>
        <v>36529</v>
      </c>
      <c r="L40" s="131">
        <f>Table2523467891011[[#This Row],[Jones Creek Target (bopd)]]-Table2523467891011[[#This Row],[Jones Creek Prod (bopd)]]</f>
        <v>370</v>
      </c>
      <c r="M40" s="132">
        <f>Table2523467891011[[#This Row],[Odidi Target (bopd)]]-Table2523467891011[[#This Row],[Odidi prod (bopd)]]</f>
        <v>4434</v>
      </c>
      <c r="N40" s="132">
        <f>Table2523467891011[[#This Row],[Batan Target (bopd)]]-Table2523467891011[[#This Row],[Batan Daily Prod (bopd)2]]</f>
        <v>7947</v>
      </c>
      <c r="O40" s="134">
        <f>Table2523467891011[[#This Row],[Egwa Target (bopd)]]-Table2523467891011[[#This Row],[Egwa Prod (bopd)]]</f>
        <v>120</v>
      </c>
    </row>
    <row r="41" spans="2:19" ht="21.6">
      <c r="B41" s="130">
        <v>44264</v>
      </c>
      <c r="C41" s="131">
        <v>8800</v>
      </c>
      <c r="D41" s="135">
        <v>22000</v>
      </c>
      <c r="E41" s="135">
        <v>4100</v>
      </c>
      <c r="F41" s="136">
        <v>14500</v>
      </c>
      <c r="G41" s="132"/>
      <c r="H41" s="132"/>
      <c r="I41" s="132"/>
      <c r="J41" s="132"/>
      <c r="K41" s="276"/>
      <c r="L41" s="131"/>
      <c r="M41" s="132"/>
      <c r="N41" s="132"/>
      <c r="O41" s="134"/>
    </row>
    <row r="42" spans="2:19" ht="21.6">
      <c r="B42" s="130">
        <v>44265</v>
      </c>
      <c r="C42" s="131">
        <v>8800</v>
      </c>
      <c r="D42" s="135">
        <v>22000</v>
      </c>
      <c r="E42" s="135">
        <v>4100</v>
      </c>
      <c r="F42" s="136">
        <v>14500</v>
      </c>
      <c r="G42" s="132"/>
      <c r="H42" s="132"/>
      <c r="I42" s="132"/>
      <c r="J42" s="132"/>
      <c r="K42" s="276"/>
      <c r="L42" s="131"/>
      <c r="M42" s="132"/>
      <c r="N42" s="132"/>
      <c r="O42" s="134"/>
      <c r="Q42" s="42"/>
    </row>
    <row r="43" spans="2:19" ht="21.6">
      <c r="B43" s="130">
        <v>44266</v>
      </c>
      <c r="C43" s="131">
        <v>8800</v>
      </c>
      <c r="D43" s="135">
        <v>22000</v>
      </c>
      <c r="E43" s="135">
        <v>4100</v>
      </c>
      <c r="F43" s="136">
        <v>14500</v>
      </c>
      <c r="G43" s="137"/>
      <c r="H43" s="137"/>
      <c r="I43" s="137"/>
      <c r="J43" s="132"/>
      <c r="K43" s="276"/>
      <c r="L43" s="131"/>
      <c r="M43" s="132"/>
      <c r="N43" s="132"/>
      <c r="O43" s="134"/>
    </row>
    <row r="44" spans="2:19" ht="21.6">
      <c r="B44" s="130">
        <v>44267</v>
      </c>
      <c r="C44" s="131">
        <v>8800</v>
      </c>
      <c r="D44" s="135">
        <v>22000</v>
      </c>
      <c r="E44" s="135">
        <v>4100</v>
      </c>
      <c r="F44" s="136">
        <v>14500</v>
      </c>
      <c r="G44" s="137"/>
      <c r="H44" s="137"/>
      <c r="I44" s="137"/>
      <c r="J44" s="132"/>
      <c r="K44" s="276"/>
      <c r="L44" s="131"/>
      <c r="M44" s="132"/>
      <c r="N44" s="132"/>
      <c r="O44" s="134"/>
    </row>
    <row r="46" spans="2:19" ht="15.6" thickBot="1"/>
    <row r="47" spans="2:19" ht="33.950000000000003" customHeight="1" thickBot="1">
      <c r="C47" s="1228" t="s">
        <v>149</v>
      </c>
      <c r="D47" s="1229"/>
      <c r="E47" s="1229"/>
      <c r="F47" s="1229"/>
      <c r="G47" s="1229"/>
      <c r="H47" s="1229"/>
      <c r="I47" s="1229"/>
      <c r="J47" s="1229"/>
      <c r="K47" s="1229"/>
      <c r="L47" s="1229"/>
      <c r="M47" s="1229"/>
      <c r="N47" s="1230"/>
      <c r="R47" s="23"/>
      <c r="S47" s="117"/>
    </row>
    <row r="48" spans="2:19" ht="30.95" customHeight="1">
      <c r="C48" s="247" t="s">
        <v>22</v>
      </c>
      <c r="D48" s="248" t="s">
        <v>342</v>
      </c>
      <c r="E48" s="1242" t="s">
        <v>24</v>
      </c>
      <c r="F48" s="1243"/>
      <c r="G48" s="1243"/>
      <c r="H48" s="1243"/>
      <c r="I48" s="1243"/>
      <c r="J48" s="1243"/>
      <c r="K48" s="1243"/>
      <c r="L48" s="1243"/>
      <c r="M48" s="1243"/>
      <c r="N48" s="1244"/>
      <c r="R48" s="118"/>
      <c r="S48" s="119"/>
    </row>
    <row r="49" spans="3:19" ht="38.450000000000003" customHeight="1">
      <c r="C49" s="249" t="s">
        <v>17</v>
      </c>
      <c r="D49" s="250">
        <v>0.37</v>
      </c>
      <c r="E49" s="1280" t="s">
        <v>343</v>
      </c>
      <c r="F49" s="1281"/>
      <c r="G49" s="1281"/>
      <c r="H49" s="1281"/>
      <c r="I49" s="1281"/>
      <c r="J49" s="1281"/>
      <c r="K49" s="1281"/>
      <c r="L49" s="1281"/>
      <c r="M49" s="1281"/>
      <c r="N49" s="1282"/>
      <c r="R49" s="118"/>
      <c r="S49" s="119"/>
    </row>
    <row r="50" spans="3:19" ht="39.950000000000003" customHeight="1">
      <c r="C50" s="249" t="s">
        <v>19</v>
      </c>
      <c r="D50" s="250">
        <v>4.99</v>
      </c>
      <c r="E50" s="1274" t="s">
        <v>344</v>
      </c>
      <c r="F50" s="1283"/>
      <c r="G50" s="1283"/>
      <c r="H50" s="1283"/>
      <c r="I50" s="1283"/>
      <c r="J50" s="1283"/>
      <c r="K50" s="1283"/>
      <c r="L50" s="1283"/>
      <c r="M50" s="1283"/>
      <c r="N50" s="1284"/>
      <c r="R50" s="23"/>
    </row>
    <row r="51" spans="3:19" ht="39.950000000000003" customHeight="1">
      <c r="C51" s="249" t="s">
        <v>16</v>
      </c>
      <c r="D51" s="250">
        <v>7.95</v>
      </c>
      <c r="E51" s="1274" t="s">
        <v>345</v>
      </c>
      <c r="F51" s="1285"/>
      <c r="G51" s="1285"/>
      <c r="H51" s="1285"/>
      <c r="I51" s="1285"/>
      <c r="J51" s="1285"/>
      <c r="K51" s="1285"/>
      <c r="L51" s="1285"/>
      <c r="M51" s="1285"/>
      <c r="N51" s="1286"/>
      <c r="P51" s="30"/>
      <c r="R51" s="118"/>
      <c r="S51" s="119"/>
    </row>
    <row r="52" spans="3:19" ht="21.6">
      <c r="C52" s="249" t="s">
        <v>18</v>
      </c>
      <c r="D52" s="250">
        <v>0.12</v>
      </c>
      <c r="E52" s="1274" t="s">
        <v>152</v>
      </c>
      <c r="F52" s="1275"/>
      <c r="G52" s="1275"/>
      <c r="H52" s="1275"/>
      <c r="I52" s="1275"/>
      <c r="J52" s="1275"/>
      <c r="K52" s="1275"/>
      <c r="L52" s="1275"/>
      <c r="M52" s="1275"/>
      <c r="N52" s="1276"/>
      <c r="R52" s="118"/>
      <c r="S52" s="119"/>
    </row>
    <row r="53" spans="3:19" ht="22.15" thickBot="1">
      <c r="C53" s="251" t="s">
        <v>187</v>
      </c>
      <c r="D53" s="252">
        <f>SUM(D49:D52)</f>
        <v>13.43</v>
      </c>
      <c r="E53" s="1277" t="s">
        <v>346</v>
      </c>
      <c r="F53" s="1278"/>
      <c r="G53" s="1278"/>
      <c r="H53" s="1278"/>
      <c r="I53" s="1278"/>
      <c r="J53" s="1278"/>
      <c r="K53" s="1278"/>
      <c r="L53" s="1278"/>
      <c r="M53" s="1278"/>
      <c r="N53" s="1279"/>
    </row>
    <row r="56" spans="3:19" ht="21" thickBot="1">
      <c r="E56" s="30"/>
    </row>
    <row r="57" spans="3:19" ht="35.450000000000003" customHeight="1" thickBot="1">
      <c r="D57" s="172">
        <f>1.18+6.9+4.78</f>
        <v>12.86</v>
      </c>
      <c r="E57" s="271"/>
      <c r="F57" s="402"/>
      <c r="G57" s="31"/>
      <c r="H57" s="31"/>
      <c r="I57" s="31"/>
    </row>
    <row r="58" spans="3:19" ht="24.75" customHeight="1">
      <c r="F58" s="30"/>
      <c r="G58" s="36"/>
      <c r="H58" s="36"/>
      <c r="I58" s="36"/>
    </row>
    <row r="59" spans="3:19" ht="20.25" customHeight="1">
      <c r="G59" s="23"/>
      <c r="H59" s="23"/>
      <c r="I59" s="23"/>
      <c r="J59" s="23"/>
      <c r="K59" s="23"/>
      <c r="L59" s="23"/>
    </row>
    <row r="60" spans="3:19" ht="17.45">
      <c r="D60" s="147"/>
      <c r="G60" s="23"/>
      <c r="H60" s="23"/>
      <c r="I60" s="23"/>
      <c r="J60" s="23"/>
      <c r="K60" s="23"/>
      <c r="L60" s="23"/>
    </row>
    <row r="61" spans="3:19" ht="22.9">
      <c r="D61" s="325"/>
      <c r="G61" s="23"/>
      <c r="H61" s="23"/>
      <c r="I61" s="23"/>
      <c r="J61" s="23"/>
      <c r="K61" s="23"/>
      <c r="L61" s="23"/>
    </row>
    <row r="62" spans="3:19" ht="17.45">
      <c r="D62" s="444"/>
      <c r="E62" s="444"/>
      <c r="F62" s="444"/>
      <c r="G62" s="23"/>
      <c r="H62" s="23"/>
      <c r="I62" s="23"/>
      <c r="J62" s="23"/>
      <c r="K62" s="23"/>
      <c r="L62" s="23"/>
    </row>
    <row r="63" spans="3:19">
      <c r="D63" s="444"/>
      <c r="E63" s="444"/>
      <c r="F63" s="444"/>
    </row>
    <row r="64" spans="3:19">
      <c r="D64" s="444"/>
      <c r="E64" s="444"/>
      <c r="F64" s="444"/>
    </row>
    <row r="65" spans="4:6">
      <c r="D65" s="444"/>
      <c r="E65" s="444"/>
      <c r="F65" s="444"/>
    </row>
  </sheetData>
  <mergeCells count="8">
    <mergeCell ref="E52:N52"/>
    <mergeCell ref="E53:N53"/>
    <mergeCell ref="T3:X3"/>
    <mergeCell ref="C47:N47"/>
    <mergeCell ref="E48:N48"/>
    <mergeCell ref="E49:N49"/>
    <mergeCell ref="E50:N50"/>
    <mergeCell ref="E51:N51"/>
  </mergeCells>
  <pageMargins left="0.7" right="0.7" top="0.75" bottom="0.75" header="0.3" footer="0.3"/>
  <pageSetup orientation="portrait" r:id="rId1"/>
  <ignoredErrors>
    <ignoredError sqref="K5:K21 L5:O5 K22:K23 L6:L23 M6:M23 N6:N23 O6:O23 K24:O26 K27:O28 K29:O29 K30 L30:O30 K31:O35 K36:O36" calculatedColumn="1"/>
  </ignoredErrors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997"/>
  <sheetViews>
    <sheetView topLeftCell="C55" zoomScaleNormal="100" workbookViewId="0">
      <selection activeCell="G76" sqref="G76:K76"/>
    </sheetView>
  </sheetViews>
  <sheetFormatPr defaultColWidth="12.21875" defaultRowHeight="15.75" customHeight="1"/>
  <cols>
    <col min="1" max="1" width="6.77734375" style="465" hidden="1" customWidth="1"/>
    <col min="2" max="2" width="7.44140625" style="465" hidden="1" customWidth="1"/>
    <col min="3" max="3" width="9.33203125" style="465" customWidth="1"/>
    <col min="4" max="4" width="11" style="465" customWidth="1"/>
    <col min="5" max="5" width="10.33203125" style="465" customWidth="1"/>
    <col min="6" max="6" width="10" style="465" customWidth="1"/>
    <col min="7" max="7" width="11.77734375" style="465" customWidth="1"/>
    <col min="8" max="9" width="10.77734375" style="465" customWidth="1"/>
    <col min="10" max="10" width="10" style="465" customWidth="1"/>
    <col min="11" max="11" width="13.6640625" style="465" customWidth="1"/>
    <col min="12" max="12" width="21" style="465" customWidth="1"/>
    <col min="13" max="13" width="8.5546875" style="465" customWidth="1"/>
    <col min="14" max="14" width="9.77734375" style="465" customWidth="1"/>
    <col min="15" max="15" width="3.21875" style="465" customWidth="1"/>
    <col min="16" max="16" width="6.77734375" style="465" customWidth="1"/>
    <col min="17" max="17" width="9.33203125" style="465" hidden="1" customWidth="1"/>
    <col min="18" max="19" width="9.109375" style="465" hidden="1" customWidth="1"/>
    <col min="20" max="20" width="6.77734375" style="465" hidden="1" customWidth="1"/>
    <col min="21" max="21" width="11.77734375" style="465" hidden="1" customWidth="1"/>
    <col min="22" max="22" width="12.33203125" style="465" hidden="1" customWidth="1"/>
    <col min="23" max="23" width="10.6640625" style="465" hidden="1" customWidth="1"/>
    <col min="24" max="24" width="12.6640625" style="465" hidden="1" customWidth="1"/>
    <col min="25" max="25" width="13.109375" style="465" hidden="1" customWidth="1"/>
    <col min="26" max="26" width="19.77734375" style="465" hidden="1" customWidth="1"/>
    <col min="27" max="49" width="9.33203125" style="465" customWidth="1"/>
    <col min="50" max="16384" width="12.21875" style="465"/>
  </cols>
  <sheetData>
    <row r="1" spans="2:33" ht="15" customHeight="1">
      <c r="E1" s="466"/>
      <c r="F1" s="466"/>
      <c r="G1" s="466"/>
      <c r="H1" s="466"/>
      <c r="I1" s="466"/>
      <c r="J1" s="466"/>
      <c r="K1" s="466"/>
      <c r="R1" s="467"/>
      <c r="S1" s="467"/>
      <c r="T1" s="467"/>
      <c r="U1" s="467"/>
      <c r="V1" s="467"/>
      <c r="W1" s="467"/>
      <c r="AA1" s="467"/>
      <c r="AB1" s="467"/>
      <c r="AC1" s="467"/>
      <c r="AD1" s="467"/>
      <c r="AE1" s="467"/>
      <c r="AF1" s="467"/>
      <c r="AG1" s="467"/>
    </row>
    <row r="2" spans="2:33" ht="21">
      <c r="D2" s="1301" t="s">
        <v>347</v>
      </c>
      <c r="E2" s="1388"/>
      <c r="F2" s="1388"/>
      <c r="G2" s="1388"/>
      <c r="H2" s="1388"/>
      <c r="I2" s="1388"/>
      <c r="J2" s="1388"/>
      <c r="K2" s="1388"/>
      <c r="L2" s="1388"/>
      <c r="R2" s="467"/>
      <c r="S2" s="467"/>
      <c r="T2" s="467"/>
      <c r="U2" s="467"/>
      <c r="V2" s="467"/>
      <c r="W2" s="467"/>
      <c r="AA2" s="467"/>
      <c r="AB2" s="467"/>
      <c r="AC2" s="467"/>
      <c r="AD2" s="467"/>
      <c r="AE2" s="467"/>
      <c r="AF2" s="467"/>
      <c r="AG2" s="467"/>
    </row>
    <row r="3" spans="2:33" ht="18" customHeight="1" thickBot="1">
      <c r="E3" s="466"/>
      <c r="F3" s="466"/>
      <c r="G3" s="466"/>
      <c r="H3" s="466"/>
      <c r="I3" s="466"/>
      <c r="J3" s="466"/>
      <c r="K3" s="466"/>
      <c r="R3" s="467"/>
      <c r="S3" s="467"/>
      <c r="T3" s="467"/>
      <c r="U3" s="467"/>
      <c r="V3" s="467"/>
      <c r="W3" s="467"/>
      <c r="AA3" s="467"/>
      <c r="AB3" s="467"/>
      <c r="AC3" s="467"/>
      <c r="AD3" s="467"/>
      <c r="AE3" s="467"/>
      <c r="AF3" s="467"/>
      <c r="AG3" s="467"/>
    </row>
    <row r="4" spans="2:33" ht="24" customHeight="1" thickBot="1">
      <c r="D4" s="1300" t="s">
        <v>348</v>
      </c>
      <c r="E4" s="1389"/>
      <c r="F4" s="1389"/>
      <c r="G4" s="1389"/>
      <c r="H4" s="1389"/>
      <c r="I4" s="1389"/>
      <c r="J4" s="1389"/>
      <c r="K4" s="1389"/>
      <c r="L4" s="1390"/>
      <c r="R4" s="467"/>
      <c r="S4" s="467"/>
      <c r="T4" s="467"/>
      <c r="U4" s="467"/>
      <c r="V4" s="467"/>
      <c r="W4" s="467"/>
      <c r="AA4" s="467"/>
      <c r="AB4" s="467"/>
      <c r="AC4" s="467"/>
      <c r="AD4" s="467"/>
      <c r="AE4" s="467"/>
      <c r="AF4" s="467"/>
      <c r="AG4" s="467"/>
    </row>
    <row r="5" spans="2:33" ht="27" thickBot="1">
      <c r="B5" s="468"/>
      <c r="C5" s="469" t="s">
        <v>156</v>
      </c>
      <c r="D5" s="469" t="s">
        <v>31</v>
      </c>
      <c r="E5" s="470" t="s">
        <v>32</v>
      </c>
      <c r="F5" s="470" t="s">
        <v>33</v>
      </c>
      <c r="G5" s="470" t="s">
        <v>34</v>
      </c>
      <c r="H5" s="470" t="s">
        <v>35</v>
      </c>
      <c r="I5" s="471" t="s">
        <v>37</v>
      </c>
      <c r="J5" s="472" t="s">
        <v>38</v>
      </c>
      <c r="K5" s="472" t="s">
        <v>39</v>
      </c>
      <c r="L5" s="473" t="s">
        <v>40</v>
      </c>
      <c r="Q5" s="474"/>
      <c r="R5" s="475"/>
      <c r="S5" s="475"/>
      <c r="T5" s="475"/>
      <c r="U5" s="475"/>
      <c r="V5" s="476"/>
      <c r="W5" s="475"/>
      <c r="AA5" s="467"/>
      <c r="AB5" s="467"/>
      <c r="AC5" s="467"/>
      <c r="AD5" s="467"/>
      <c r="AE5" s="467"/>
      <c r="AF5" s="467"/>
      <c r="AG5" s="467"/>
    </row>
    <row r="6" spans="2:33" ht="15" customHeight="1">
      <c r="B6" s="477"/>
      <c r="C6" s="478">
        <v>1</v>
      </c>
      <c r="D6" s="479" t="s">
        <v>41</v>
      </c>
      <c r="E6" s="480" t="s">
        <v>42</v>
      </c>
      <c r="F6" s="481">
        <v>28</v>
      </c>
      <c r="G6" s="482">
        <v>2051.0158273588454</v>
      </c>
      <c r="H6" s="482">
        <v>533.26411511329979</v>
      </c>
      <c r="I6" s="483">
        <v>74</v>
      </c>
      <c r="J6" s="482">
        <v>521</v>
      </c>
      <c r="K6" s="482">
        <v>435</v>
      </c>
      <c r="L6" s="484" t="s">
        <v>235</v>
      </c>
      <c r="P6" s="485"/>
      <c r="Q6" s="486"/>
      <c r="R6" s="475"/>
      <c r="S6" s="475"/>
      <c r="T6" s="475"/>
      <c r="U6" s="475"/>
      <c r="V6" s="475"/>
      <c r="W6" s="475"/>
      <c r="AA6" s="467"/>
      <c r="AB6" s="467"/>
      <c r="AC6" s="467"/>
      <c r="AD6" s="467"/>
      <c r="AE6" s="467"/>
      <c r="AF6" s="467"/>
      <c r="AG6" s="467"/>
    </row>
    <row r="7" spans="2:33" ht="15" customHeight="1">
      <c r="B7" s="477"/>
      <c r="C7" s="487">
        <v>2</v>
      </c>
      <c r="D7" s="488" t="s">
        <v>43</v>
      </c>
      <c r="E7" s="489" t="s">
        <v>44</v>
      </c>
      <c r="F7" s="490">
        <v>28</v>
      </c>
      <c r="G7" s="483">
        <v>1231.9335982362411</v>
      </c>
      <c r="H7" s="482">
        <v>628.28613510048297</v>
      </c>
      <c r="I7" s="483">
        <v>49</v>
      </c>
      <c r="J7" s="483">
        <v>606</v>
      </c>
      <c r="K7" s="483">
        <v>132</v>
      </c>
      <c r="L7" s="484" t="s">
        <v>235</v>
      </c>
      <c r="P7" s="485"/>
      <c r="Q7" s="486"/>
      <c r="R7" s="475"/>
      <c r="S7" s="475"/>
      <c r="T7" s="475"/>
      <c r="U7" s="475"/>
      <c r="V7" s="475"/>
      <c r="W7" s="475"/>
      <c r="AA7" s="467"/>
      <c r="AB7" s="467"/>
      <c r="AC7" s="467"/>
      <c r="AD7" s="467"/>
      <c r="AE7" s="467"/>
      <c r="AF7" s="467"/>
      <c r="AG7" s="467"/>
    </row>
    <row r="8" spans="2:33" ht="15" customHeight="1">
      <c r="B8" s="477"/>
      <c r="C8" s="487">
        <v>3</v>
      </c>
      <c r="D8" s="488" t="s">
        <v>45</v>
      </c>
      <c r="E8" s="489" t="s">
        <v>44</v>
      </c>
      <c r="F8" s="490">
        <v>32</v>
      </c>
      <c r="G8" s="483">
        <v>2223.5427159729697</v>
      </c>
      <c r="H8" s="482">
        <v>1027.276734779512</v>
      </c>
      <c r="I8" s="483">
        <v>53.8</v>
      </c>
      <c r="J8" s="483">
        <v>336</v>
      </c>
      <c r="K8" s="483">
        <v>261</v>
      </c>
      <c r="L8" s="484" t="s">
        <v>235</v>
      </c>
      <c r="P8" s="485"/>
      <c r="Q8" s="486"/>
      <c r="R8" s="475"/>
      <c r="S8" s="475"/>
      <c r="T8" s="475"/>
      <c r="U8" s="475"/>
      <c r="V8" s="475"/>
      <c r="W8" s="475"/>
      <c r="AA8" s="467"/>
      <c r="AB8" s="467"/>
      <c r="AC8" s="467"/>
      <c r="AD8" s="467"/>
      <c r="AE8" s="467"/>
      <c r="AF8" s="467"/>
      <c r="AG8" s="467"/>
    </row>
    <row r="9" spans="2:33" ht="15" customHeight="1">
      <c r="B9" s="477"/>
      <c r="C9" s="487">
        <v>4</v>
      </c>
      <c r="D9" s="487" t="s">
        <v>46</v>
      </c>
      <c r="E9" s="491" t="s">
        <v>47</v>
      </c>
      <c r="F9" s="492">
        <v>40</v>
      </c>
      <c r="G9" s="493">
        <v>1782.6197918132709</v>
      </c>
      <c r="H9" s="494">
        <v>1140.8766667604934</v>
      </c>
      <c r="I9" s="493">
        <v>36</v>
      </c>
      <c r="J9" s="493">
        <v>310</v>
      </c>
      <c r="K9" s="493">
        <v>159</v>
      </c>
      <c r="L9" s="495"/>
      <c r="P9" s="485"/>
      <c r="Q9" s="486"/>
      <c r="R9" s="475"/>
      <c r="S9" s="475"/>
      <c r="T9" s="475"/>
      <c r="U9" s="475"/>
      <c r="V9" s="475"/>
      <c r="W9" s="475"/>
      <c r="AA9" s="467"/>
      <c r="AB9" s="467"/>
      <c r="AC9" s="467"/>
      <c r="AD9" s="496"/>
      <c r="AE9" s="467"/>
      <c r="AF9" s="467"/>
      <c r="AG9" s="467"/>
    </row>
    <row r="10" spans="2:33" ht="15" customHeight="1">
      <c r="B10" s="477"/>
      <c r="C10" s="487">
        <v>5</v>
      </c>
      <c r="D10" s="487" t="s">
        <v>48</v>
      </c>
      <c r="E10" s="491" t="s">
        <v>47</v>
      </c>
      <c r="F10" s="492" t="s">
        <v>49</v>
      </c>
      <c r="G10" s="493">
        <v>1816.7772945869699</v>
      </c>
      <c r="H10" s="494">
        <v>1144.5696955897911</v>
      </c>
      <c r="I10" s="493">
        <v>37</v>
      </c>
      <c r="J10" s="493">
        <v>311</v>
      </c>
      <c r="K10" s="493">
        <v>174</v>
      </c>
      <c r="L10" s="495"/>
      <c r="P10" s="485"/>
      <c r="Q10" s="486"/>
      <c r="R10" s="475"/>
      <c r="S10" s="475"/>
      <c r="T10" s="475"/>
      <c r="U10" s="475"/>
      <c r="V10" s="475"/>
      <c r="W10" s="475"/>
      <c r="AA10" s="467"/>
      <c r="AB10" s="467"/>
      <c r="AC10" s="467"/>
      <c r="AD10" s="496"/>
      <c r="AE10" s="467"/>
      <c r="AF10" s="467"/>
      <c r="AG10" s="467"/>
    </row>
    <row r="11" spans="2:33" ht="15" customHeight="1">
      <c r="B11" s="477"/>
      <c r="C11" s="487">
        <v>6</v>
      </c>
      <c r="D11" s="488" t="s">
        <v>50</v>
      </c>
      <c r="E11" s="489" t="s">
        <v>47</v>
      </c>
      <c r="F11" s="490" t="s">
        <v>51</v>
      </c>
      <c r="G11" s="483">
        <v>1468.6721560255978</v>
      </c>
      <c r="H11" s="482">
        <v>440.60164680767934</v>
      </c>
      <c r="I11" s="483">
        <v>70</v>
      </c>
      <c r="J11" s="483">
        <v>761</v>
      </c>
      <c r="K11" s="483">
        <v>145</v>
      </c>
      <c r="L11" s="484" t="s">
        <v>235</v>
      </c>
      <c r="P11" s="485"/>
      <c r="Q11" s="486"/>
      <c r="R11" s="475"/>
      <c r="S11" s="475"/>
      <c r="T11" s="475"/>
      <c r="U11" s="475"/>
      <c r="V11" s="475"/>
      <c r="W11" s="475"/>
      <c r="AA11" s="467"/>
      <c r="AB11" s="467"/>
      <c r="AC11" s="467"/>
      <c r="AD11" s="467"/>
      <c r="AE11" s="467"/>
      <c r="AF11" s="467"/>
      <c r="AG11" s="467"/>
    </row>
    <row r="12" spans="2:33" ht="15" customHeight="1">
      <c r="B12" s="477"/>
      <c r="C12" s="487">
        <v>7</v>
      </c>
      <c r="D12" s="488" t="s">
        <v>52</v>
      </c>
      <c r="E12" s="489" t="s">
        <v>47</v>
      </c>
      <c r="F12" s="490">
        <v>40</v>
      </c>
      <c r="G12" s="483">
        <v>1616.7991807010462</v>
      </c>
      <c r="H12" s="482">
        <v>630.55168047340806</v>
      </c>
      <c r="I12" s="483">
        <v>61</v>
      </c>
      <c r="J12" s="483">
        <v>448</v>
      </c>
      <c r="K12" s="483">
        <v>205</v>
      </c>
      <c r="L12" s="484" t="s">
        <v>235</v>
      </c>
      <c r="P12" s="485"/>
      <c r="Q12" s="486"/>
      <c r="R12" s="475"/>
      <c r="S12" s="475"/>
      <c r="T12" s="475"/>
      <c r="U12" s="475"/>
      <c r="V12" s="475"/>
      <c r="W12" s="475"/>
      <c r="AA12" s="467"/>
      <c r="AB12" s="467"/>
      <c r="AC12" s="467"/>
      <c r="AD12" s="467"/>
      <c r="AE12" s="467"/>
      <c r="AF12" s="467"/>
      <c r="AG12" s="467"/>
    </row>
    <row r="13" spans="2:33" ht="15" customHeight="1">
      <c r="B13" s="477"/>
      <c r="C13" s="487">
        <v>8</v>
      </c>
      <c r="D13" s="487" t="s">
        <v>53</v>
      </c>
      <c r="E13" s="491" t="s">
        <v>47</v>
      </c>
      <c r="F13" s="492" t="s">
        <v>51</v>
      </c>
      <c r="G13" s="493">
        <v>1459.7871867746981</v>
      </c>
      <c r="H13" s="494">
        <v>681.28268006775158</v>
      </c>
      <c r="I13" s="493">
        <v>53.33</v>
      </c>
      <c r="J13" s="493">
        <v>447</v>
      </c>
      <c r="K13" s="493">
        <v>348</v>
      </c>
      <c r="L13" s="495"/>
      <c r="P13" s="485"/>
      <c r="Q13" s="486"/>
      <c r="R13" s="475"/>
      <c r="S13" s="475"/>
      <c r="T13" s="475"/>
      <c r="U13" s="475"/>
      <c r="V13" s="475"/>
      <c r="W13" s="475"/>
      <c r="AA13" s="467"/>
      <c r="AB13" s="467"/>
      <c r="AC13" s="467"/>
      <c r="AD13" s="496"/>
      <c r="AE13" s="467"/>
      <c r="AF13" s="467"/>
      <c r="AG13" s="467"/>
    </row>
    <row r="14" spans="2:33" ht="15" customHeight="1">
      <c r="B14" s="477"/>
      <c r="C14" s="487">
        <v>9</v>
      </c>
      <c r="D14" s="488" t="s">
        <v>54</v>
      </c>
      <c r="E14" s="489" t="s">
        <v>47</v>
      </c>
      <c r="F14" s="490" t="s">
        <v>55</v>
      </c>
      <c r="G14" s="483">
        <v>1641.6851861515806</v>
      </c>
      <c r="H14" s="482">
        <v>761.74192637433339</v>
      </c>
      <c r="I14" s="483">
        <v>53.6</v>
      </c>
      <c r="J14" s="483">
        <v>495</v>
      </c>
      <c r="K14" s="483">
        <v>324</v>
      </c>
      <c r="L14" s="497" t="s">
        <v>349</v>
      </c>
      <c r="P14" s="485"/>
      <c r="Q14" s="486"/>
      <c r="R14" s="475"/>
      <c r="S14" s="475"/>
      <c r="T14" s="475"/>
      <c r="U14" s="475"/>
      <c r="V14" s="475"/>
      <c r="W14" s="475"/>
      <c r="AA14" s="467"/>
      <c r="AB14" s="467"/>
      <c r="AC14" s="467"/>
      <c r="AD14" s="467"/>
      <c r="AE14" s="467"/>
      <c r="AF14" s="467"/>
      <c r="AG14" s="467"/>
    </row>
    <row r="15" spans="2:33" ht="15" customHeight="1">
      <c r="B15" s="477"/>
      <c r="C15" s="487">
        <v>10</v>
      </c>
      <c r="D15" s="488" t="s">
        <v>56</v>
      </c>
      <c r="E15" s="489" t="s">
        <v>47</v>
      </c>
      <c r="F15" s="490">
        <v>44</v>
      </c>
      <c r="G15" s="483">
        <v>3810.7235282665083</v>
      </c>
      <c r="H15" s="483">
        <v>1524.2894113066034</v>
      </c>
      <c r="I15" s="483">
        <v>60</v>
      </c>
      <c r="J15" s="483">
        <v>281</v>
      </c>
      <c r="K15" s="483">
        <v>363</v>
      </c>
      <c r="L15" s="497" t="s">
        <v>235</v>
      </c>
      <c r="P15" s="485"/>
      <c r="Q15" s="486"/>
      <c r="R15" s="475"/>
      <c r="S15" s="475"/>
      <c r="T15" s="475"/>
      <c r="U15" s="475"/>
      <c r="V15" s="475"/>
      <c r="W15" s="475"/>
      <c r="AA15" s="467"/>
      <c r="AB15" s="467"/>
      <c r="AC15" s="467"/>
      <c r="AD15" s="467"/>
      <c r="AE15" s="467"/>
      <c r="AF15" s="467"/>
      <c r="AG15" s="467"/>
    </row>
    <row r="16" spans="2:33" ht="15" customHeight="1" thickBot="1">
      <c r="B16" s="477"/>
      <c r="C16" s="498">
        <v>11</v>
      </c>
      <c r="D16" s="498" t="s">
        <v>57</v>
      </c>
      <c r="E16" s="499" t="s">
        <v>47</v>
      </c>
      <c r="F16" s="500" t="s">
        <v>55</v>
      </c>
      <c r="G16" s="501">
        <v>1796.4435341122739</v>
      </c>
      <c r="H16" s="502">
        <v>299.4671371365161</v>
      </c>
      <c r="I16" s="501">
        <v>83.33</v>
      </c>
      <c r="J16" s="501">
        <v>350</v>
      </c>
      <c r="K16" s="501">
        <v>261</v>
      </c>
      <c r="L16" s="503"/>
      <c r="P16" s="485"/>
      <c r="Q16" s="486"/>
      <c r="R16" s="475"/>
      <c r="S16" s="475"/>
      <c r="T16" s="475"/>
      <c r="U16" s="475"/>
      <c r="V16" s="475"/>
      <c r="W16" s="475"/>
      <c r="AA16" s="467"/>
      <c r="AB16" s="467"/>
      <c r="AC16" s="467"/>
      <c r="AD16" s="496"/>
      <c r="AE16" s="467"/>
      <c r="AF16" s="467"/>
      <c r="AG16" s="467"/>
    </row>
    <row r="17" spans="2:33" ht="15" customHeight="1" thickBot="1">
      <c r="D17" s="504"/>
      <c r="E17" s="505"/>
      <c r="F17" s="505"/>
      <c r="G17" s="506">
        <f>SUM(G6:G16)</f>
        <v>20900</v>
      </c>
      <c r="H17" s="506">
        <f>SUM(H6:H16)</f>
        <v>8812.2078295098709</v>
      </c>
      <c r="I17" s="507"/>
      <c r="J17" s="508"/>
      <c r="K17" s="507"/>
      <c r="L17" s="509"/>
      <c r="R17" s="467"/>
      <c r="S17" s="510"/>
      <c r="T17" s="510"/>
      <c r="U17" s="467"/>
      <c r="V17" s="467"/>
      <c r="W17" s="467"/>
      <c r="AA17" s="467"/>
      <c r="AB17" s="467"/>
      <c r="AC17" s="467"/>
      <c r="AD17" s="467"/>
      <c r="AE17" s="467"/>
      <c r="AF17" s="467"/>
      <c r="AG17" s="467"/>
    </row>
    <row r="18" spans="2:33" ht="30" customHeight="1" thickBot="1">
      <c r="D18" s="1302" t="s">
        <v>168</v>
      </c>
      <c r="E18" s="1302"/>
      <c r="F18" s="1302"/>
      <c r="G18" s="466"/>
      <c r="H18" s="511">
        <v>8800</v>
      </c>
      <c r="I18" s="512"/>
      <c r="J18" s="513">
        <f>H1</f>
        <v>0</v>
      </c>
      <c r="K18" s="466"/>
      <c r="R18" s="467"/>
      <c r="S18" s="467"/>
      <c r="T18" s="467"/>
      <c r="U18" s="467"/>
      <c r="V18" s="467"/>
      <c r="W18" s="467"/>
      <c r="AA18" s="467"/>
      <c r="AB18" s="467"/>
      <c r="AC18" s="467"/>
      <c r="AD18" s="467"/>
      <c r="AE18" s="467"/>
      <c r="AF18" s="467"/>
      <c r="AG18" s="467"/>
    </row>
    <row r="19" spans="2:33" ht="15" customHeight="1">
      <c r="E19" s="466"/>
      <c r="F19" s="466"/>
      <c r="G19" s="466"/>
      <c r="H19" s="466"/>
      <c r="I19" s="466"/>
      <c r="K19" s="466"/>
      <c r="R19" s="467"/>
      <c r="S19" s="467"/>
      <c r="T19" s="467"/>
      <c r="U19" s="467"/>
      <c r="V19" s="467"/>
      <c r="W19" s="467"/>
      <c r="AA19" s="467"/>
      <c r="AB19" s="467"/>
      <c r="AC19" s="467"/>
      <c r="AD19" s="467"/>
      <c r="AE19" s="467"/>
      <c r="AF19" s="467"/>
      <c r="AG19" s="467"/>
    </row>
    <row r="20" spans="2:33" ht="15" customHeight="1" thickBot="1">
      <c r="E20" s="466"/>
      <c r="F20" s="466"/>
      <c r="G20" s="466"/>
      <c r="H20" s="466"/>
      <c r="I20" s="466"/>
      <c r="J20" s="466"/>
      <c r="K20" s="466"/>
      <c r="R20" s="514"/>
      <c r="S20" s="514"/>
      <c r="T20" s="514"/>
      <c r="U20" s="514"/>
      <c r="V20" s="514"/>
      <c r="W20" s="514"/>
      <c r="AA20" s="467"/>
      <c r="AB20" s="467"/>
      <c r="AC20" s="467"/>
      <c r="AD20" s="467"/>
      <c r="AE20" s="467"/>
      <c r="AF20" s="467"/>
      <c r="AG20" s="467"/>
    </row>
    <row r="21" spans="2:33" ht="28.5" customHeight="1" thickBot="1">
      <c r="D21" s="1300" t="s">
        <v>350</v>
      </c>
      <c r="E21" s="1389"/>
      <c r="F21" s="1389"/>
      <c r="G21" s="1389"/>
      <c r="H21" s="1389"/>
      <c r="I21" s="1389"/>
      <c r="J21" s="1389"/>
      <c r="K21" s="1389"/>
      <c r="L21" s="1390"/>
      <c r="R21" s="514"/>
      <c r="S21" s="514"/>
      <c r="T21" s="514"/>
      <c r="U21" s="514"/>
      <c r="V21" s="514"/>
      <c r="W21" s="467"/>
      <c r="Z21" s="515"/>
      <c r="AA21" s="467"/>
      <c r="AB21" s="467"/>
      <c r="AC21" s="467"/>
      <c r="AD21" s="467"/>
      <c r="AE21" s="467"/>
      <c r="AF21" s="467"/>
      <c r="AG21" s="467"/>
    </row>
    <row r="22" spans="2:33" ht="27" thickBot="1">
      <c r="B22" s="468"/>
      <c r="C22" s="469" t="s">
        <v>156</v>
      </c>
      <c r="D22" s="469" t="s">
        <v>31</v>
      </c>
      <c r="E22" s="470" t="s">
        <v>32</v>
      </c>
      <c r="F22" s="470" t="s">
        <v>33</v>
      </c>
      <c r="G22" s="470" t="s">
        <v>34</v>
      </c>
      <c r="H22" s="470" t="s">
        <v>35</v>
      </c>
      <c r="I22" s="470" t="s">
        <v>37</v>
      </c>
      <c r="J22" s="472" t="s">
        <v>38</v>
      </c>
      <c r="K22" s="472" t="s">
        <v>39</v>
      </c>
      <c r="L22" s="473" t="s">
        <v>40</v>
      </c>
      <c r="R22" s="514"/>
      <c r="S22" s="514"/>
      <c r="T22" s="467"/>
      <c r="U22" s="467"/>
      <c r="V22" s="467"/>
      <c r="W22" s="467"/>
      <c r="X22" s="467"/>
      <c r="Y22" s="467"/>
      <c r="Z22" s="515"/>
      <c r="AA22" s="467"/>
      <c r="AB22" s="467"/>
      <c r="AC22" s="467"/>
      <c r="AD22" s="467"/>
      <c r="AE22" s="467"/>
      <c r="AF22" s="467"/>
      <c r="AG22" s="467"/>
    </row>
    <row r="23" spans="2:33" ht="15.95" customHeight="1">
      <c r="B23" s="516"/>
      <c r="C23" s="517">
        <v>1</v>
      </c>
      <c r="D23" s="517" t="s">
        <v>61</v>
      </c>
      <c r="E23" s="491" t="s">
        <v>62</v>
      </c>
      <c r="F23" s="494">
        <v>28</v>
      </c>
      <c r="G23" s="493">
        <v>888</v>
      </c>
      <c r="H23" s="493">
        <v>355</v>
      </c>
      <c r="I23" s="493">
        <v>60</v>
      </c>
      <c r="J23" s="493">
        <v>782</v>
      </c>
      <c r="K23" s="493">
        <v>377</v>
      </c>
      <c r="L23" s="518"/>
      <c r="R23" s="519"/>
      <c r="S23" s="467"/>
      <c r="T23" s="467"/>
      <c r="U23" s="467"/>
      <c r="V23" s="467"/>
      <c r="W23" s="490"/>
      <c r="X23" s="467"/>
      <c r="Y23" s="467"/>
      <c r="AA23" s="467"/>
      <c r="AB23" s="467"/>
      <c r="AC23" s="467"/>
      <c r="AD23" s="496"/>
      <c r="AE23" s="467"/>
      <c r="AF23" s="467"/>
      <c r="AG23" s="467"/>
    </row>
    <row r="24" spans="2:33" ht="15.95" customHeight="1">
      <c r="B24" s="516"/>
      <c r="C24" s="488">
        <v>2</v>
      </c>
      <c r="D24" s="488" t="s">
        <v>64</v>
      </c>
      <c r="E24" s="489" t="s">
        <v>65</v>
      </c>
      <c r="F24" s="482">
        <v>32</v>
      </c>
      <c r="G24" s="483">
        <v>2666</v>
      </c>
      <c r="H24" s="483">
        <v>1733</v>
      </c>
      <c r="I24" s="483">
        <v>35</v>
      </c>
      <c r="J24" s="483">
        <v>430</v>
      </c>
      <c r="K24" s="483">
        <v>435</v>
      </c>
      <c r="L24" s="520" t="s">
        <v>235</v>
      </c>
      <c r="R24" s="519"/>
      <c r="S24" s="467"/>
      <c r="T24" s="467"/>
      <c r="U24" s="467"/>
      <c r="V24" s="467"/>
      <c r="W24" s="467"/>
      <c r="X24" s="467"/>
      <c r="Y24" s="467"/>
      <c r="AA24" s="467"/>
      <c r="AB24" s="467"/>
      <c r="AC24" s="467"/>
      <c r="AD24" s="496"/>
      <c r="AE24" s="467"/>
      <c r="AF24" s="467"/>
      <c r="AG24" s="467"/>
    </row>
    <row r="25" spans="2:33" ht="15.95" customHeight="1">
      <c r="B25" s="516"/>
      <c r="C25" s="517">
        <v>3</v>
      </c>
      <c r="D25" s="517" t="s">
        <v>69</v>
      </c>
      <c r="E25" s="491" t="s">
        <v>70</v>
      </c>
      <c r="F25" s="494">
        <v>24</v>
      </c>
      <c r="G25" s="493">
        <v>963</v>
      </c>
      <c r="H25" s="493">
        <v>347</v>
      </c>
      <c r="I25" s="493">
        <v>64</v>
      </c>
      <c r="J25" s="493">
        <v>2411</v>
      </c>
      <c r="K25" s="493">
        <v>841</v>
      </c>
      <c r="L25" s="518"/>
      <c r="R25" s="519"/>
      <c r="S25" s="467"/>
      <c r="T25" s="467"/>
      <c r="U25" s="467"/>
      <c r="V25" s="467"/>
      <c r="W25" s="467"/>
      <c r="X25" s="467"/>
      <c r="Y25" s="467"/>
      <c r="AA25" s="467"/>
      <c r="AB25" s="467"/>
      <c r="AC25" s="467"/>
      <c r="AD25" s="496"/>
      <c r="AE25" s="467"/>
      <c r="AF25" s="467"/>
      <c r="AG25" s="467"/>
    </row>
    <row r="26" spans="2:33" ht="15.95" customHeight="1">
      <c r="B26" s="516"/>
      <c r="C26" s="517">
        <v>4</v>
      </c>
      <c r="D26" s="517" t="s">
        <v>71</v>
      </c>
      <c r="E26" s="491" t="s">
        <v>72</v>
      </c>
      <c r="F26" s="494">
        <v>28</v>
      </c>
      <c r="G26" s="493">
        <v>859</v>
      </c>
      <c r="H26" s="493">
        <v>326</v>
      </c>
      <c r="I26" s="493">
        <v>62</v>
      </c>
      <c r="J26" s="493">
        <v>3000</v>
      </c>
      <c r="K26" s="493">
        <v>841</v>
      </c>
      <c r="L26" s="518"/>
      <c r="R26" s="519"/>
      <c r="S26" s="467"/>
      <c r="T26" s="467"/>
      <c r="U26" s="467"/>
      <c r="V26" s="467"/>
      <c r="W26" s="467"/>
      <c r="X26" s="467"/>
      <c r="Y26" s="467"/>
      <c r="AA26" s="467"/>
      <c r="AB26" s="467"/>
      <c r="AC26" s="467"/>
      <c r="AD26" s="496"/>
      <c r="AE26" s="467"/>
      <c r="AF26" s="467"/>
      <c r="AG26" s="467"/>
    </row>
    <row r="27" spans="2:33" ht="15.95" customHeight="1">
      <c r="B27" s="516"/>
      <c r="C27" s="566">
        <v>5</v>
      </c>
      <c r="D27" s="566" t="s">
        <v>73</v>
      </c>
      <c r="E27" s="567" t="s">
        <v>72</v>
      </c>
      <c r="F27" s="568">
        <v>44</v>
      </c>
      <c r="G27" s="569">
        <v>1099</v>
      </c>
      <c r="H27" s="569">
        <v>659</v>
      </c>
      <c r="I27" s="569">
        <v>40</v>
      </c>
      <c r="J27" s="569">
        <v>3206</v>
      </c>
      <c r="K27" s="569">
        <v>493</v>
      </c>
      <c r="L27" s="570"/>
      <c r="R27" s="519"/>
      <c r="S27" s="467"/>
      <c r="T27" s="467"/>
      <c r="U27" s="467"/>
      <c r="V27" s="467"/>
      <c r="W27" s="467"/>
      <c r="X27" s="467"/>
      <c r="Y27" s="467"/>
      <c r="AA27" s="467"/>
      <c r="AB27" s="467"/>
      <c r="AC27" s="467"/>
      <c r="AD27" s="496"/>
      <c r="AE27" s="467"/>
      <c r="AF27" s="467"/>
      <c r="AG27" s="467"/>
    </row>
    <row r="28" spans="2:33" ht="15.95" customHeight="1">
      <c r="B28" s="516"/>
      <c r="C28" s="488">
        <v>6</v>
      </c>
      <c r="D28" s="488" t="s">
        <v>74</v>
      </c>
      <c r="E28" s="489" t="s">
        <v>75</v>
      </c>
      <c r="F28" s="482">
        <v>36</v>
      </c>
      <c r="G28" s="483">
        <v>3196</v>
      </c>
      <c r="H28" s="483">
        <v>1406</v>
      </c>
      <c r="I28" s="483">
        <v>56</v>
      </c>
      <c r="J28" s="483">
        <v>1306</v>
      </c>
      <c r="K28" s="483">
        <v>812</v>
      </c>
      <c r="L28" s="520" t="s">
        <v>235</v>
      </c>
      <c r="R28" s="519"/>
      <c r="S28" s="467"/>
      <c r="T28" s="467"/>
      <c r="U28" s="467"/>
      <c r="V28" s="467"/>
      <c r="W28" s="467"/>
      <c r="X28" s="467"/>
      <c r="Y28" s="467"/>
      <c r="AA28" s="467"/>
      <c r="AB28" s="467"/>
      <c r="AC28" s="467"/>
      <c r="AD28" s="496"/>
      <c r="AE28" s="467"/>
      <c r="AF28" s="467"/>
      <c r="AG28" s="467"/>
    </row>
    <row r="29" spans="2:33" ht="15.95" customHeight="1">
      <c r="B29" s="516"/>
      <c r="C29" s="566">
        <v>7</v>
      </c>
      <c r="D29" s="566" t="s">
        <v>76</v>
      </c>
      <c r="E29" s="567" t="s">
        <v>77</v>
      </c>
      <c r="F29" s="568">
        <v>20</v>
      </c>
      <c r="G29" s="569">
        <v>717</v>
      </c>
      <c r="H29" s="569">
        <v>323</v>
      </c>
      <c r="I29" s="569">
        <v>55</v>
      </c>
      <c r="J29" s="569">
        <v>264</v>
      </c>
      <c r="K29" s="569">
        <v>203</v>
      </c>
      <c r="L29" s="570"/>
      <c r="R29" s="519"/>
      <c r="S29" s="467"/>
      <c r="T29" s="467"/>
      <c r="U29" s="467"/>
      <c r="V29" s="467"/>
      <c r="W29" s="467"/>
      <c r="X29" s="467"/>
      <c r="Y29" s="467"/>
      <c r="AA29" s="467"/>
      <c r="AB29" s="467"/>
      <c r="AC29" s="467"/>
      <c r="AD29" s="496"/>
      <c r="AE29" s="467"/>
      <c r="AF29" s="467"/>
      <c r="AG29" s="467"/>
    </row>
    <row r="30" spans="2:33" ht="15.95" customHeight="1">
      <c r="B30" s="516"/>
      <c r="C30" s="517">
        <v>8</v>
      </c>
      <c r="D30" s="517" t="s">
        <v>78</v>
      </c>
      <c r="E30" s="491" t="s">
        <v>79</v>
      </c>
      <c r="F30" s="494">
        <v>52</v>
      </c>
      <c r="G30" s="493">
        <v>1046</v>
      </c>
      <c r="H30" s="493">
        <v>1025</v>
      </c>
      <c r="I30" s="493">
        <v>2</v>
      </c>
      <c r="J30" s="493">
        <v>553</v>
      </c>
      <c r="K30" s="493">
        <v>218</v>
      </c>
      <c r="L30" s="518"/>
      <c r="R30" s="519"/>
      <c r="S30" s="467"/>
      <c r="T30" s="467"/>
      <c r="U30" s="467"/>
      <c r="V30" s="467"/>
      <c r="W30" s="467"/>
      <c r="X30" s="467"/>
      <c r="Y30" s="467"/>
      <c r="AA30" s="467"/>
      <c r="AB30" s="467"/>
      <c r="AC30" s="467"/>
      <c r="AD30" s="496"/>
      <c r="AE30" s="467"/>
      <c r="AF30" s="467"/>
      <c r="AG30" s="467"/>
    </row>
    <row r="31" spans="2:33" ht="15.95" customHeight="1">
      <c r="B31" s="516"/>
      <c r="C31" s="517">
        <v>9</v>
      </c>
      <c r="D31" s="517" t="s">
        <v>80</v>
      </c>
      <c r="E31" s="491" t="s">
        <v>81</v>
      </c>
      <c r="F31" s="494">
        <v>32</v>
      </c>
      <c r="G31" s="493">
        <v>1639</v>
      </c>
      <c r="H31" s="493">
        <v>492</v>
      </c>
      <c r="I31" s="493">
        <v>70</v>
      </c>
      <c r="J31" s="493">
        <v>1849</v>
      </c>
      <c r="K31" s="493">
        <v>609</v>
      </c>
      <c r="L31" s="518"/>
      <c r="R31" s="519"/>
      <c r="S31" s="467"/>
      <c r="T31" s="467"/>
      <c r="U31" s="467"/>
      <c r="V31" s="467"/>
      <c r="W31" s="467"/>
      <c r="X31" s="467"/>
      <c r="Y31" s="467"/>
      <c r="AA31" s="467"/>
      <c r="AB31" s="467"/>
      <c r="AC31" s="467"/>
      <c r="AD31" s="496"/>
      <c r="AE31" s="467"/>
      <c r="AF31" s="467"/>
      <c r="AG31" s="467"/>
    </row>
    <row r="32" spans="2:33" ht="15.95" customHeight="1">
      <c r="B32" s="516"/>
      <c r="C32" s="517">
        <v>10</v>
      </c>
      <c r="D32" s="517" t="s">
        <v>82</v>
      </c>
      <c r="E32" s="491" t="s">
        <v>65</v>
      </c>
      <c r="F32" s="494">
        <v>28</v>
      </c>
      <c r="G32" s="493">
        <v>1023</v>
      </c>
      <c r="H32" s="493">
        <v>1003</v>
      </c>
      <c r="I32" s="493">
        <v>13</v>
      </c>
      <c r="J32" s="493">
        <v>587</v>
      </c>
      <c r="K32" s="493">
        <v>464</v>
      </c>
      <c r="L32" s="518"/>
      <c r="R32" s="519"/>
      <c r="S32" s="467"/>
      <c r="T32" s="467"/>
      <c r="U32" s="467"/>
      <c r="V32" s="467"/>
      <c r="W32" s="467"/>
      <c r="X32" s="467"/>
      <c r="Y32" s="467"/>
      <c r="Z32" s="521"/>
      <c r="AA32" s="467"/>
      <c r="AB32" s="467"/>
      <c r="AC32" s="467"/>
      <c r="AD32" s="496"/>
      <c r="AE32" s="467"/>
      <c r="AF32" s="467"/>
      <c r="AG32" s="467"/>
    </row>
    <row r="33" spans="1:49" ht="15.95" customHeight="1">
      <c r="B33" s="516"/>
      <c r="C33" s="517">
        <v>11</v>
      </c>
      <c r="D33" s="517" t="s">
        <v>351</v>
      </c>
      <c r="E33" s="491" t="s">
        <v>352</v>
      </c>
      <c r="F33" s="494">
        <v>20</v>
      </c>
      <c r="G33" s="493">
        <f>H33/0.4</f>
        <v>750</v>
      </c>
      <c r="H33" s="493">
        <v>300</v>
      </c>
      <c r="I33" s="493">
        <v>60</v>
      </c>
      <c r="J33" s="493" t="s">
        <v>164</v>
      </c>
      <c r="K33" s="493">
        <v>1000</v>
      </c>
      <c r="L33" s="522" t="s">
        <v>353</v>
      </c>
      <c r="R33" s="519"/>
      <c r="S33" s="467"/>
      <c r="T33" s="467"/>
      <c r="U33" s="467"/>
      <c r="V33" s="467"/>
      <c r="W33" s="467"/>
      <c r="X33" s="467"/>
      <c r="Y33" s="467"/>
      <c r="AA33" s="467"/>
      <c r="AB33" s="467"/>
      <c r="AC33" s="467"/>
      <c r="AD33" s="496"/>
      <c r="AE33" s="467"/>
      <c r="AF33" s="467"/>
      <c r="AG33" s="467"/>
    </row>
    <row r="34" spans="1:49" ht="15.95" customHeight="1">
      <c r="B34" s="516"/>
      <c r="C34" s="566">
        <v>12</v>
      </c>
      <c r="D34" s="566" t="s">
        <v>83</v>
      </c>
      <c r="E34" s="567" t="s">
        <v>84</v>
      </c>
      <c r="F34" s="568">
        <v>44</v>
      </c>
      <c r="G34" s="569">
        <v>3273</v>
      </c>
      <c r="H34" s="569">
        <v>1047</v>
      </c>
      <c r="I34" s="569">
        <v>68</v>
      </c>
      <c r="J34" s="569">
        <v>4131</v>
      </c>
      <c r="K34" s="569">
        <v>1218</v>
      </c>
      <c r="L34" s="570"/>
      <c r="R34" s="519"/>
      <c r="S34" s="467"/>
      <c r="T34" s="467"/>
      <c r="U34" s="467"/>
      <c r="V34" s="467"/>
      <c r="W34" s="467"/>
      <c r="X34" s="467"/>
      <c r="Y34" s="467"/>
      <c r="AA34" s="467"/>
      <c r="AB34" s="467"/>
      <c r="AC34" s="467"/>
      <c r="AD34" s="496"/>
      <c r="AE34" s="467"/>
      <c r="AF34" s="467"/>
      <c r="AG34" s="467"/>
    </row>
    <row r="35" spans="1:49" ht="15.95" customHeight="1">
      <c r="B35" s="516"/>
      <c r="C35" s="517">
        <v>13</v>
      </c>
      <c r="D35" s="517" t="s">
        <v>85</v>
      </c>
      <c r="E35" s="491" t="s">
        <v>72</v>
      </c>
      <c r="F35" s="494">
        <v>32</v>
      </c>
      <c r="G35" s="493">
        <v>1427</v>
      </c>
      <c r="H35" s="493">
        <v>899</v>
      </c>
      <c r="I35" s="493">
        <v>37</v>
      </c>
      <c r="J35" s="493">
        <v>1058</v>
      </c>
      <c r="K35" s="493">
        <v>522</v>
      </c>
      <c r="L35" s="518"/>
      <c r="R35" s="519"/>
      <c r="S35" s="467"/>
      <c r="T35" s="467"/>
      <c r="U35" s="467"/>
      <c r="V35" s="467"/>
      <c r="W35" s="467"/>
      <c r="X35" s="467"/>
      <c r="Y35" s="467"/>
      <c r="AA35" s="467"/>
      <c r="AB35" s="467"/>
      <c r="AC35" s="467"/>
      <c r="AD35" s="496"/>
      <c r="AE35" s="467"/>
      <c r="AF35" s="467"/>
      <c r="AG35" s="467"/>
    </row>
    <row r="36" spans="1:49" ht="15.95" customHeight="1">
      <c r="B36" s="516"/>
      <c r="C36" s="517">
        <v>14</v>
      </c>
      <c r="D36" s="517" t="s">
        <v>86</v>
      </c>
      <c r="E36" s="491" t="s">
        <v>87</v>
      </c>
      <c r="F36" s="494">
        <v>28</v>
      </c>
      <c r="G36" s="493">
        <v>901</v>
      </c>
      <c r="H36" s="493">
        <v>405</v>
      </c>
      <c r="I36" s="493">
        <v>55</v>
      </c>
      <c r="J36" s="493">
        <v>5513</v>
      </c>
      <c r="K36" s="493">
        <v>2030</v>
      </c>
      <c r="L36" s="518"/>
      <c r="R36" s="519"/>
      <c r="S36" s="467"/>
      <c r="T36" s="467"/>
      <c r="U36" s="467"/>
      <c r="V36" s="467"/>
      <c r="W36" s="467"/>
      <c r="X36" s="467"/>
      <c r="Y36" s="467"/>
      <c r="AA36" s="467"/>
      <c r="AB36" s="467"/>
      <c r="AC36" s="467"/>
      <c r="AD36" s="496"/>
      <c r="AE36" s="467"/>
      <c r="AF36" s="467"/>
      <c r="AG36" s="467"/>
    </row>
    <row r="37" spans="1:49" ht="15.95" customHeight="1">
      <c r="B37" s="516"/>
      <c r="C37" s="488">
        <v>15</v>
      </c>
      <c r="D37" s="488" t="s">
        <v>88</v>
      </c>
      <c r="E37" s="489" t="s">
        <v>89</v>
      </c>
      <c r="F37" s="482">
        <v>28</v>
      </c>
      <c r="G37" s="483">
        <v>1172</v>
      </c>
      <c r="H37" s="483">
        <v>527</v>
      </c>
      <c r="I37" s="483">
        <v>55</v>
      </c>
      <c r="J37" s="483">
        <v>2051</v>
      </c>
      <c r="K37" s="483">
        <v>522</v>
      </c>
      <c r="L37" s="520" t="s">
        <v>235</v>
      </c>
      <c r="R37" s="519"/>
      <c r="S37" s="467"/>
      <c r="T37" s="467"/>
      <c r="U37" s="467"/>
      <c r="V37" s="467"/>
      <c r="W37" s="467"/>
      <c r="X37" s="467"/>
      <c r="Y37" s="467"/>
      <c r="AA37" s="467"/>
      <c r="AB37" s="467"/>
      <c r="AC37" s="467"/>
      <c r="AD37" s="496"/>
      <c r="AE37" s="467"/>
      <c r="AF37" s="467"/>
      <c r="AG37" s="467"/>
    </row>
    <row r="38" spans="1:49" ht="15.95" customHeight="1">
      <c r="B38" s="516"/>
      <c r="C38" s="566">
        <v>16</v>
      </c>
      <c r="D38" s="566" t="s">
        <v>90</v>
      </c>
      <c r="E38" s="567" t="s">
        <v>84</v>
      </c>
      <c r="F38" s="568">
        <v>48</v>
      </c>
      <c r="G38" s="569">
        <v>547</v>
      </c>
      <c r="H38" s="569">
        <v>509</v>
      </c>
      <c r="I38" s="569">
        <v>6.5</v>
      </c>
      <c r="J38" s="569">
        <v>6498</v>
      </c>
      <c r="K38" s="569">
        <v>550</v>
      </c>
      <c r="L38" s="570"/>
      <c r="R38" s="519"/>
      <c r="S38" s="467"/>
      <c r="T38" s="467"/>
      <c r="U38" s="467"/>
      <c r="V38" s="467"/>
      <c r="W38" s="467"/>
      <c r="X38" s="467"/>
      <c r="Y38" s="467"/>
      <c r="AA38" s="467"/>
      <c r="AB38" s="467"/>
      <c r="AC38" s="467"/>
      <c r="AD38" s="496"/>
      <c r="AE38" s="467"/>
      <c r="AF38" s="467"/>
      <c r="AG38" s="467"/>
    </row>
    <row r="39" spans="1:49" ht="15.95" customHeight="1">
      <c r="B39" s="516"/>
      <c r="C39" s="517">
        <v>17</v>
      </c>
      <c r="D39" s="517" t="s">
        <v>91</v>
      </c>
      <c r="E39" s="491" t="s">
        <v>89</v>
      </c>
      <c r="F39" s="494">
        <v>36</v>
      </c>
      <c r="G39" s="493">
        <v>497</v>
      </c>
      <c r="H39" s="493">
        <v>496</v>
      </c>
      <c r="I39" s="493">
        <v>0.3</v>
      </c>
      <c r="J39" s="493">
        <v>1297</v>
      </c>
      <c r="K39" s="493">
        <v>200</v>
      </c>
      <c r="L39" s="518"/>
      <c r="R39" s="519"/>
      <c r="S39" s="467"/>
      <c r="T39" s="467"/>
      <c r="U39" s="467"/>
      <c r="V39" s="467"/>
      <c r="W39" s="467"/>
      <c r="X39" s="467"/>
      <c r="Y39" s="467"/>
      <c r="AA39" s="467"/>
      <c r="AB39" s="467"/>
      <c r="AC39" s="467"/>
      <c r="AD39" s="496"/>
      <c r="AE39" s="467"/>
      <c r="AF39" s="467"/>
      <c r="AG39" s="467"/>
    </row>
    <row r="40" spans="1:49" ht="15.95" customHeight="1">
      <c r="B40" s="516"/>
      <c r="C40" s="517">
        <v>18</v>
      </c>
      <c r="D40" s="517" t="s">
        <v>92</v>
      </c>
      <c r="E40" s="491" t="s">
        <v>93</v>
      </c>
      <c r="F40" s="494">
        <v>24</v>
      </c>
      <c r="G40" s="493">
        <v>651</v>
      </c>
      <c r="H40" s="493">
        <v>378</v>
      </c>
      <c r="I40" s="493">
        <v>42</v>
      </c>
      <c r="J40" s="493">
        <v>373</v>
      </c>
      <c r="K40" s="493">
        <v>174</v>
      </c>
      <c r="L40" s="518"/>
      <c r="R40" s="519"/>
      <c r="S40" s="467"/>
      <c r="T40" s="467"/>
      <c r="U40" s="467"/>
      <c r="V40" s="467"/>
      <c r="W40" s="467"/>
      <c r="X40" s="467"/>
      <c r="Y40" s="467"/>
      <c r="AA40" s="467"/>
      <c r="AB40" s="467"/>
      <c r="AC40" s="467"/>
      <c r="AD40" s="496"/>
      <c r="AE40" s="467"/>
      <c r="AF40" s="467"/>
      <c r="AG40" s="467"/>
    </row>
    <row r="41" spans="1:49" ht="15.95" customHeight="1">
      <c r="B41" s="516"/>
      <c r="C41" s="566">
        <v>19</v>
      </c>
      <c r="D41" s="566" t="s">
        <v>94</v>
      </c>
      <c r="E41" s="567" t="s">
        <v>67</v>
      </c>
      <c r="F41" s="568">
        <v>24</v>
      </c>
      <c r="G41" s="569">
        <v>1600</v>
      </c>
      <c r="H41" s="569">
        <v>912</v>
      </c>
      <c r="I41" s="569">
        <v>43</v>
      </c>
      <c r="J41" s="569">
        <v>258</v>
      </c>
      <c r="K41" s="569">
        <v>450</v>
      </c>
      <c r="L41" s="570"/>
      <c r="R41" s="519"/>
      <c r="S41" s="467"/>
      <c r="T41" s="467"/>
      <c r="U41" s="467"/>
      <c r="V41" s="467"/>
      <c r="W41" s="467"/>
      <c r="X41" s="467"/>
      <c r="Y41" s="467"/>
      <c r="AA41" s="467"/>
      <c r="AB41" s="467"/>
      <c r="AC41" s="467"/>
      <c r="AD41" s="496"/>
      <c r="AE41" s="467"/>
      <c r="AF41" s="467"/>
      <c r="AG41" s="467"/>
    </row>
    <row r="42" spans="1:49" ht="15.95" customHeight="1">
      <c r="B42" s="516"/>
      <c r="C42" s="566">
        <v>20</v>
      </c>
      <c r="D42" s="566" t="s">
        <v>95</v>
      </c>
      <c r="E42" s="567" t="s">
        <v>65</v>
      </c>
      <c r="F42" s="568">
        <v>20</v>
      </c>
      <c r="G42" s="569">
        <v>576</v>
      </c>
      <c r="H42" s="569">
        <v>426</v>
      </c>
      <c r="I42" s="569">
        <v>26</v>
      </c>
      <c r="J42" s="569">
        <v>415</v>
      </c>
      <c r="K42" s="569">
        <v>348</v>
      </c>
      <c r="L42" s="570"/>
      <c r="R42" s="519"/>
      <c r="S42" s="467"/>
      <c r="T42" s="467"/>
      <c r="U42" s="467"/>
      <c r="V42" s="467"/>
      <c r="W42" s="467"/>
      <c r="X42" s="467"/>
      <c r="Y42" s="467"/>
      <c r="AA42" s="467"/>
      <c r="AB42" s="467"/>
      <c r="AC42" s="467"/>
      <c r="AD42" s="496"/>
      <c r="AE42" s="467"/>
      <c r="AF42" s="467"/>
      <c r="AG42" s="467"/>
    </row>
    <row r="43" spans="1:49" ht="15.95" customHeight="1" thickBot="1">
      <c r="B43" s="516"/>
      <c r="C43" s="566">
        <v>21</v>
      </c>
      <c r="D43" s="571" t="s">
        <v>96</v>
      </c>
      <c r="E43" s="572" t="s">
        <v>67</v>
      </c>
      <c r="F43" s="568">
        <v>36</v>
      </c>
      <c r="G43" s="569">
        <v>2120</v>
      </c>
      <c r="H43" s="569">
        <v>954</v>
      </c>
      <c r="I43" s="569">
        <v>55</v>
      </c>
      <c r="J43" s="569">
        <v>450</v>
      </c>
      <c r="K43" s="569">
        <v>406</v>
      </c>
      <c r="L43" s="570"/>
      <c r="R43" s="519"/>
      <c r="S43" s="467"/>
      <c r="T43" s="467"/>
      <c r="U43" s="467"/>
      <c r="V43" s="467"/>
      <c r="W43" s="467"/>
      <c r="X43" s="467"/>
      <c r="Y43" s="467"/>
      <c r="AA43" s="467"/>
      <c r="AB43" s="467"/>
      <c r="AC43" s="467"/>
      <c r="AD43" s="496"/>
      <c r="AE43" s="467"/>
      <c r="AF43" s="467"/>
      <c r="AG43" s="467"/>
    </row>
    <row r="44" spans="1:49" ht="15">
      <c r="D44" s="504"/>
      <c r="E44" s="505"/>
      <c r="F44" s="505"/>
      <c r="G44" s="493">
        <f>SUM(G23:G43)</f>
        <v>27610</v>
      </c>
      <c r="H44" s="493">
        <f>SUM(H23:H43)</f>
        <v>14522</v>
      </c>
      <c r="I44" s="493"/>
      <c r="J44" s="493"/>
      <c r="K44" s="493"/>
      <c r="L44" s="509"/>
      <c r="R44" s="523"/>
      <c r="S44" s="467"/>
      <c r="T44" s="467"/>
      <c r="U44" s="510"/>
      <c r="V44" s="510"/>
      <c r="W44" s="467"/>
      <c r="AA44" s="467"/>
      <c r="AB44" s="467"/>
      <c r="AC44" s="467"/>
      <c r="AD44" s="467"/>
      <c r="AE44" s="467"/>
      <c r="AF44" s="467"/>
      <c r="AG44" s="467"/>
    </row>
    <row r="45" spans="1:49" ht="21.75" customHeight="1">
      <c r="D45" s="1298" t="s">
        <v>168</v>
      </c>
      <c r="E45" s="1388"/>
      <c r="F45" s="1388"/>
      <c r="G45" s="466"/>
      <c r="H45" s="524">
        <f>H44</f>
        <v>14522</v>
      </c>
      <c r="I45" s="466"/>
      <c r="J45" s="466"/>
      <c r="R45" s="523"/>
      <c r="S45" s="467"/>
      <c r="T45" s="467"/>
      <c r="U45" s="467"/>
      <c r="V45" s="467"/>
      <c r="W45" s="467"/>
      <c r="AA45" s="467"/>
      <c r="AB45" s="467"/>
      <c r="AC45" s="467"/>
      <c r="AD45" s="467"/>
      <c r="AE45" s="467"/>
      <c r="AF45" s="467"/>
      <c r="AG45" s="467"/>
    </row>
    <row r="46" spans="1:49" ht="20.25" customHeight="1">
      <c r="E46" s="466"/>
      <c r="F46" s="466"/>
      <c r="G46" s="466"/>
      <c r="H46" s="525">
        <v>14500</v>
      </c>
      <c r="I46" s="466"/>
      <c r="J46" s="526"/>
      <c r="R46" s="523"/>
      <c r="S46" s="467"/>
      <c r="T46" s="467"/>
      <c r="U46" s="467"/>
      <c r="V46" s="467"/>
      <c r="W46" s="467"/>
      <c r="AA46" s="467"/>
      <c r="AB46" s="467"/>
      <c r="AC46" s="467"/>
      <c r="AD46" s="467"/>
      <c r="AE46" s="467"/>
      <c r="AF46" s="467"/>
      <c r="AG46" s="467"/>
    </row>
    <row r="47" spans="1:49" ht="18.75" customHeight="1" thickBot="1">
      <c r="E47" s="466"/>
      <c r="F47" s="466"/>
      <c r="G47" s="466"/>
      <c r="H47" s="466"/>
      <c r="I47" s="466"/>
      <c r="J47" s="526"/>
      <c r="R47" s="523"/>
      <c r="S47" s="467"/>
      <c r="T47" s="467"/>
      <c r="U47" s="467"/>
      <c r="V47" s="467"/>
      <c r="W47" s="467"/>
      <c r="AA47" s="467"/>
      <c r="AB47" s="467"/>
      <c r="AC47" s="467"/>
      <c r="AD47" s="467"/>
      <c r="AE47" s="467"/>
      <c r="AF47" s="467"/>
      <c r="AG47" s="467"/>
    </row>
    <row r="48" spans="1:49" ht="30" customHeight="1" thickBot="1">
      <c r="A48" s="527"/>
      <c r="B48" s="527"/>
      <c r="C48" s="527"/>
      <c r="D48" s="1300" t="s">
        <v>354</v>
      </c>
      <c r="E48" s="1389"/>
      <c r="F48" s="1389"/>
      <c r="G48" s="1389"/>
      <c r="H48" s="1389"/>
      <c r="I48" s="1389"/>
      <c r="J48" s="1389"/>
      <c r="K48" s="1389"/>
      <c r="L48" s="1390"/>
      <c r="M48" s="527"/>
      <c r="O48" s="527"/>
      <c r="P48" s="527"/>
      <c r="Q48" s="527"/>
      <c r="R48" s="523"/>
      <c r="S48" s="467"/>
      <c r="T48" s="528"/>
      <c r="U48" s="528"/>
      <c r="V48" s="528"/>
      <c r="W48" s="528"/>
      <c r="X48" s="527"/>
      <c r="Y48" s="527"/>
      <c r="Z48" s="527"/>
      <c r="AA48" s="528"/>
      <c r="AB48" s="528"/>
      <c r="AC48" s="528"/>
      <c r="AD48" s="528"/>
      <c r="AE48" s="528"/>
      <c r="AF48" s="528"/>
      <c r="AG48" s="528"/>
      <c r="AH48" s="527"/>
      <c r="AI48" s="527"/>
      <c r="AJ48" s="527"/>
      <c r="AK48" s="527"/>
      <c r="AL48" s="527"/>
      <c r="AM48" s="527"/>
      <c r="AN48" s="527"/>
      <c r="AO48" s="527"/>
      <c r="AP48" s="527"/>
      <c r="AQ48" s="527"/>
      <c r="AR48" s="527"/>
      <c r="AS48" s="527"/>
      <c r="AT48" s="527"/>
      <c r="AU48" s="527"/>
      <c r="AV48" s="527"/>
      <c r="AW48" s="527"/>
    </row>
    <row r="49" spans="2:33" ht="27" thickBot="1">
      <c r="B49" s="468"/>
      <c r="C49" s="469" t="s">
        <v>156</v>
      </c>
      <c r="D49" s="469" t="s">
        <v>31</v>
      </c>
      <c r="E49" s="470" t="s">
        <v>32</v>
      </c>
      <c r="F49" s="470" t="s">
        <v>33</v>
      </c>
      <c r="G49" s="470" t="s">
        <v>34</v>
      </c>
      <c r="H49" s="470" t="s">
        <v>35</v>
      </c>
      <c r="I49" s="470" t="s">
        <v>37</v>
      </c>
      <c r="J49" s="472" t="s">
        <v>38</v>
      </c>
      <c r="K49" s="472" t="s">
        <v>39</v>
      </c>
      <c r="L49" s="473" t="s">
        <v>40</v>
      </c>
      <c r="R49" s="467"/>
      <c r="S49" s="467"/>
      <c r="T49" s="467"/>
      <c r="U49" s="529"/>
      <c r="V49" s="529"/>
      <c r="W49" s="467"/>
      <c r="X49" s="467"/>
      <c r="Y49" s="529"/>
      <c r="AA49" s="467"/>
      <c r="AB49" s="467"/>
      <c r="AC49" s="467"/>
      <c r="AD49" s="467"/>
      <c r="AE49" s="467"/>
      <c r="AF49" s="467"/>
      <c r="AG49" s="467"/>
    </row>
    <row r="50" spans="2:33" ht="15" customHeight="1">
      <c r="B50" s="516"/>
      <c r="C50" s="517">
        <v>1</v>
      </c>
      <c r="D50" s="530" t="s">
        <v>98</v>
      </c>
      <c r="E50" s="491" t="s">
        <v>99</v>
      </c>
      <c r="F50" s="492">
        <v>36</v>
      </c>
      <c r="G50" s="493">
        <v>1754</v>
      </c>
      <c r="H50" s="493">
        <v>1403</v>
      </c>
      <c r="I50" s="493">
        <v>20</v>
      </c>
      <c r="J50" s="492">
        <v>413</v>
      </c>
      <c r="K50" s="492">
        <v>345</v>
      </c>
      <c r="L50" s="531"/>
      <c r="R50" s="529"/>
      <c r="S50" s="467"/>
      <c r="T50" s="467"/>
      <c r="U50" s="529"/>
      <c r="V50" s="529"/>
      <c r="W50" s="467"/>
      <c r="X50" s="467"/>
      <c r="Y50" s="529"/>
      <c r="AA50" s="467"/>
      <c r="AB50" s="467"/>
      <c r="AC50" s="467"/>
      <c r="AD50" s="467"/>
      <c r="AE50" s="467"/>
      <c r="AF50" s="467"/>
      <c r="AG50" s="467"/>
    </row>
    <row r="51" spans="2:33" ht="15" customHeight="1">
      <c r="B51" s="516"/>
      <c r="C51" s="517">
        <v>2</v>
      </c>
      <c r="D51" s="530" t="s">
        <v>100</v>
      </c>
      <c r="E51" s="491" t="s">
        <v>101</v>
      </c>
      <c r="F51" s="492">
        <v>36</v>
      </c>
      <c r="G51" s="492">
        <v>893</v>
      </c>
      <c r="H51" s="493">
        <v>893</v>
      </c>
      <c r="I51" s="493">
        <v>0</v>
      </c>
      <c r="J51" s="492">
        <v>307</v>
      </c>
      <c r="K51" s="492">
        <v>140</v>
      </c>
      <c r="L51" s="531"/>
      <c r="M51" s="532"/>
      <c r="N51" s="532"/>
      <c r="O51" s="532"/>
      <c r="R51" s="529"/>
      <c r="S51" s="467"/>
      <c r="T51" s="467"/>
      <c r="U51" s="529"/>
      <c r="V51" s="529"/>
      <c r="W51" s="467"/>
      <c r="X51" s="467"/>
      <c r="Y51" s="529"/>
      <c r="AA51" s="467"/>
      <c r="AB51" s="467"/>
      <c r="AC51" s="467"/>
      <c r="AD51" s="467"/>
      <c r="AE51" s="467"/>
      <c r="AF51" s="467"/>
      <c r="AG51" s="467"/>
    </row>
    <row r="52" spans="2:33" ht="15" customHeight="1">
      <c r="B52" s="516"/>
      <c r="C52" s="517">
        <v>3</v>
      </c>
      <c r="D52" s="530" t="s">
        <v>104</v>
      </c>
      <c r="E52" s="491" t="s">
        <v>99</v>
      </c>
      <c r="F52" s="492">
        <v>24</v>
      </c>
      <c r="G52" s="492">
        <v>893</v>
      </c>
      <c r="H52" s="493">
        <v>384</v>
      </c>
      <c r="I52" s="493">
        <v>57</v>
      </c>
      <c r="J52" s="492">
        <v>367</v>
      </c>
      <c r="K52" s="492">
        <v>260</v>
      </c>
      <c r="L52" s="531"/>
      <c r="R52" s="529"/>
      <c r="S52" s="467"/>
      <c r="T52" s="467"/>
      <c r="U52" s="529"/>
      <c r="V52" s="529"/>
      <c r="W52" s="467"/>
      <c r="X52" s="467"/>
      <c r="Y52" s="529"/>
      <c r="AA52" s="467"/>
      <c r="AB52" s="467"/>
      <c r="AC52" s="467"/>
      <c r="AD52" s="467"/>
      <c r="AE52" s="467"/>
      <c r="AF52" s="467"/>
      <c r="AG52" s="467"/>
    </row>
    <row r="53" spans="2:33" ht="15" customHeight="1">
      <c r="B53" s="516"/>
      <c r="C53" s="517">
        <v>4</v>
      </c>
      <c r="D53" s="530" t="s">
        <v>106</v>
      </c>
      <c r="E53" s="491" t="s">
        <v>103</v>
      </c>
      <c r="F53" s="492">
        <v>28</v>
      </c>
      <c r="G53" s="492">
        <v>873</v>
      </c>
      <c r="H53" s="493">
        <v>655</v>
      </c>
      <c r="I53" s="493">
        <v>25</v>
      </c>
      <c r="J53" s="492">
        <v>915</v>
      </c>
      <c r="K53" s="492">
        <v>310</v>
      </c>
      <c r="L53" s="531"/>
      <c r="R53" s="529"/>
      <c r="S53" s="467"/>
      <c r="T53" s="467"/>
      <c r="U53" s="529"/>
      <c r="V53" s="529"/>
      <c r="W53" s="467"/>
      <c r="X53" s="467"/>
      <c r="Y53" s="529"/>
      <c r="AA53" s="467"/>
      <c r="AB53" s="467"/>
      <c r="AC53" s="467"/>
      <c r="AD53" s="467"/>
      <c r="AE53" s="467"/>
      <c r="AF53" s="467"/>
      <c r="AG53" s="467"/>
    </row>
    <row r="54" spans="2:33" ht="15" customHeight="1">
      <c r="B54" s="516"/>
      <c r="C54" s="488">
        <v>5</v>
      </c>
      <c r="D54" s="536" t="s">
        <v>107</v>
      </c>
      <c r="E54" s="489" t="s">
        <v>103</v>
      </c>
      <c r="F54" s="490">
        <v>28</v>
      </c>
      <c r="G54" s="483">
        <v>767</v>
      </c>
      <c r="H54" s="483">
        <v>353</v>
      </c>
      <c r="I54" s="483">
        <v>54</v>
      </c>
      <c r="J54" s="490">
        <v>412</v>
      </c>
      <c r="K54" s="490">
        <v>145</v>
      </c>
      <c r="L54" s="537" t="s">
        <v>235</v>
      </c>
      <c r="R54" s="529"/>
      <c r="S54" s="467"/>
      <c r="T54" s="467"/>
      <c r="U54" s="529"/>
      <c r="V54" s="529"/>
      <c r="W54" s="467"/>
      <c r="X54" s="467"/>
      <c r="Y54" s="529"/>
      <c r="AA54" s="467"/>
      <c r="AB54" s="467"/>
      <c r="AC54" s="467"/>
      <c r="AD54" s="467"/>
      <c r="AE54" s="467"/>
      <c r="AF54" s="467"/>
      <c r="AG54" s="467"/>
    </row>
    <row r="55" spans="2:33" ht="15" customHeight="1">
      <c r="B55" s="516"/>
      <c r="C55" s="517">
        <v>6</v>
      </c>
      <c r="D55" s="530" t="s">
        <v>109</v>
      </c>
      <c r="E55" s="491" t="s">
        <v>110</v>
      </c>
      <c r="F55" s="492">
        <v>32</v>
      </c>
      <c r="G55" s="492">
        <v>1196</v>
      </c>
      <c r="H55" s="493">
        <v>610</v>
      </c>
      <c r="I55" s="493">
        <v>49</v>
      </c>
      <c r="J55" s="492">
        <v>369</v>
      </c>
      <c r="K55" s="492">
        <v>260</v>
      </c>
      <c r="L55" s="531"/>
      <c r="R55" s="529"/>
      <c r="S55" s="467"/>
      <c r="T55" s="467"/>
      <c r="U55" s="529"/>
      <c r="V55" s="529"/>
      <c r="W55" s="467"/>
      <c r="X55" s="467"/>
      <c r="Y55" s="529"/>
      <c r="AA55" s="467"/>
      <c r="AB55" s="467"/>
      <c r="AC55" s="467"/>
      <c r="AD55" s="467"/>
      <c r="AE55" s="467"/>
      <c r="AF55" s="467"/>
      <c r="AG55" s="467"/>
    </row>
    <row r="56" spans="2:33" ht="15" customHeight="1">
      <c r="B56" s="516"/>
      <c r="C56" s="517">
        <v>7</v>
      </c>
      <c r="D56" s="530" t="s">
        <v>111</v>
      </c>
      <c r="E56" s="491" t="s">
        <v>99</v>
      </c>
      <c r="F56" s="492">
        <v>36</v>
      </c>
      <c r="G56" s="492">
        <v>2847</v>
      </c>
      <c r="H56" s="493">
        <v>1281</v>
      </c>
      <c r="I56" s="493">
        <v>55</v>
      </c>
      <c r="J56" s="492">
        <v>416</v>
      </c>
      <c r="K56" s="492">
        <v>385</v>
      </c>
      <c r="L56" s="531"/>
      <c r="R56" s="529"/>
      <c r="S56" s="467"/>
      <c r="T56" s="467"/>
      <c r="U56" s="529"/>
      <c r="V56" s="529"/>
      <c r="W56" s="467"/>
      <c r="X56" s="467"/>
      <c r="Y56" s="529"/>
      <c r="AA56" s="467"/>
      <c r="AB56" s="467"/>
      <c r="AC56" s="467"/>
      <c r="AD56" s="467"/>
      <c r="AE56" s="467"/>
      <c r="AF56" s="467"/>
      <c r="AG56" s="467"/>
    </row>
    <row r="57" spans="2:33" ht="15" customHeight="1">
      <c r="B57" s="516"/>
      <c r="C57" s="517">
        <v>8</v>
      </c>
      <c r="D57" s="530" t="s">
        <v>112</v>
      </c>
      <c r="E57" s="491" t="s">
        <v>103</v>
      </c>
      <c r="F57" s="492">
        <v>56</v>
      </c>
      <c r="G57" s="492">
        <v>5871</v>
      </c>
      <c r="H57" s="493">
        <v>5871</v>
      </c>
      <c r="I57" s="493">
        <v>0</v>
      </c>
      <c r="J57" s="492">
        <v>439</v>
      </c>
      <c r="K57" s="492">
        <v>602</v>
      </c>
      <c r="L57" s="531"/>
      <c r="R57" s="529"/>
      <c r="S57" s="467"/>
      <c r="T57" s="467"/>
      <c r="U57" s="529"/>
      <c r="V57" s="529"/>
      <c r="W57" s="467"/>
      <c r="X57" s="467"/>
      <c r="Y57" s="529"/>
      <c r="AA57" s="467"/>
      <c r="AB57" s="467"/>
      <c r="AC57" s="467"/>
      <c r="AD57" s="467"/>
      <c r="AE57" s="467"/>
      <c r="AF57" s="467"/>
      <c r="AG57" s="467"/>
    </row>
    <row r="58" spans="2:33" ht="15" customHeight="1">
      <c r="B58" s="516"/>
      <c r="C58" s="517">
        <v>9</v>
      </c>
      <c r="D58" s="530" t="s">
        <v>113</v>
      </c>
      <c r="E58" s="491" t="s">
        <v>103</v>
      </c>
      <c r="F58" s="492">
        <v>36</v>
      </c>
      <c r="G58" s="492">
        <v>2065</v>
      </c>
      <c r="H58" s="493">
        <v>1879</v>
      </c>
      <c r="I58" s="493">
        <v>9</v>
      </c>
      <c r="J58" s="492">
        <v>417</v>
      </c>
      <c r="K58" s="492">
        <v>408</v>
      </c>
      <c r="L58" s="531"/>
      <c r="R58" s="529"/>
      <c r="S58" s="467"/>
      <c r="T58" s="467"/>
      <c r="U58" s="529"/>
      <c r="V58" s="529"/>
      <c r="W58" s="467"/>
      <c r="X58" s="467"/>
      <c r="Y58" s="529"/>
      <c r="AA58" s="467"/>
      <c r="AB58" s="467"/>
      <c r="AC58" s="467"/>
      <c r="AD58" s="467"/>
      <c r="AE58" s="467"/>
      <c r="AF58" s="467"/>
      <c r="AG58" s="467"/>
    </row>
    <row r="59" spans="2:33" ht="15" customHeight="1">
      <c r="B59" s="516"/>
      <c r="C59" s="517">
        <v>11</v>
      </c>
      <c r="D59" s="530" t="s">
        <v>114</v>
      </c>
      <c r="E59" s="491" t="s">
        <v>99</v>
      </c>
      <c r="F59" s="492">
        <v>40</v>
      </c>
      <c r="G59" s="492">
        <v>2352</v>
      </c>
      <c r="H59" s="493">
        <v>1388</v>
      </c>
      <c r="I59" s="493">
        <v>41</v>
      </c>
      <c r="J59" s="492">
        <v>298</v>
      </c>
      <c r="K59" s="492">
        <v>330</v>
      </c>
      <c r="L59" s="531"/>
      <c r="R59" s="529"/>
      <c r="S59" s="467"/>
      <c r="T59" s="467"/>
      <c r="U59" s="529"/>
      <c r="V59" s="529"/>
      <c r="W59" s="467"/>
      <c r="X59" s="467"/>
      <c r="Y59" s="529"/>
      <c r="AA59" s="467"/>
      <c r="AB59" s="467"/>
      <c r="AC59" s="467"/>
      <c r="AD59" s="467"/>
      <c r="AE59" s="467"/>
      <c r="AF59" s="467"/>
      <c r="AG59" s="467"/>
    </row>
    <row r="60" spans="2:33" ht="15" customHeight="1">
      <c r="B60" s="516"/>
      <c r="C60" s="517">
        <v>10</v>
      </c>
      <c r="D60" s="530" t="s">
        <v>115</v>
      </c>
      <c r="E60" s="491" t="s">
        <v>105</v>
      </c>
      <c r="F60" s="492">
        <v>20</v>
      </c>
      <c r="G60" s="492">
        <v>725.2</v>
      </c>
      <c r="H60" s="493">
        <v>609.16800000000001</v>
      </c>
      <c r="I60" s="493">
        <v>16</v>
      </c>
      <c r="J60" s="492">
        <v>305</v>
      </c>
      <c r="K60" s="492">
        <v>530</v>
      </c>
      <c r="L60" s="531"/>
      <c r="R60" s="529"/>
      <c r="S60" s="467"/>
      <c r="T60" s="467"/>
      <c r="U60" s="529"/>
      <c r="V60" s="529"/>
      <c r="W60" s="467"/>
      <c r="X60" s="467"/>
      <c r="Y60" s="529"/>
      <c r="AA60" s="467"/>
      <c r="AB60" s="467"/>
      <c r="AC60" s="467"/>
      <c r="AD60" s="467"/>
      <c r="AE60" s="467"/>
      <c r="AF60" s="467"/>
      <c r="AG60" s="467"/>
    </row>
    <row r="61" spans="2:33" ht="15" customHeight="1">
      <c r="B61" s="516"/>
      <c r="C61" s="517">
        <v>12</v>
      </c>
      <c r="D61" s="530" t="s">
        <v>116</v>
      </c>
      <c r="E61" s="491" t="s">
        <v>117</v>
      </c>
      <c r="F61" s="492">
        <v>28</v>
      </c>
      <c r="G61" s="492">
        <v>728</v>
      </c>
      <c r="H61" s="493">
        <v>262</v>
      </c>
      <c r="I61" s="493">
        <v>64</v>
      </c>
      <c r="J61" s="492">
        <v>481</v>
      </c>
      <c r="K61" s="492">
        <v>160</v>
      </c>
      <c r="L61" s="531"/>
      <c r="R61" s="529"/>
      <c r="S61" s="467"/>
      <c r="T61" s="467"/>
      <c r="U61" s="529"/>
      <c r="V61" s="529"/>
      <c r="W61" s="467"/>
      <c r="X61" s="467"/>
      <c r="Y61" s="529"/>
      <c r="AA61" s="467"/>
      <c r="AB61" s="467"/>
      <c r="AC61" s="467"/>
      <c r="AD61" s="467"/>
      <c r="AE61" s="467"/>
      <c r="AF61" s="467"/>
      <c r="AG61" s="467"/>
    </row>
    <row r="62" spans="2:33" ht="15" customHeight="1">
      <c r="B62" s="516"/>
      <c r="C62" s="517">
        <v>13</v>
      </c>
      <c r="D62" s="530" t="s">
        <v>118</v>
      </c>
      <c r="E62" s="491" t="s">
        <v>99</v>
      </c>
      <c r="F62" s="492">
        <v>24</v>
      </c>
      <c r="G62" s="492">
        <v>880</v>
      </c>
      <c r="H62" s="493">
        <v>352</v>
      </c>
      <c r="I62" s="493">
        <v>60</v>
      </c>
      <c r="J62" s="492">
        <v>347</v>
      </c>
      <c r="K62" s="492">
        <v>315</v>
      </c>
      <c r="L62" s="531"/>
      <c r="R62" s="529"/>
      <c r="S62" s="467"/>
      <c r="T62" s="467"/>
      <c r="U62" s="529"/>
      <c r="V62" s="529"/>
      <c r="W62" s="467"/>
      <c r="X62" s="467"/>
      <c r="Y62" s="529"/>
      <c r="AA62" s="467"/>
      <c r="AB62" s="467"/>
      <c r="AC62" s="467"/>
      <c r="AD62" s="467"/>
      <c r="AE62" s="467"/>
      <c r="AF62" s="467"/>
      <c r="AG62" s="467"/>
    </row>
    <row r="63" spans="2:33" ht="15" customHeight="1">
      <c r="B63" s="516"/>
      <c r="C63" s="517">
        <v>14</v>
      </c>
      <c r="D63" s="530" t="s">
        <v>119</v>
      </c>
      <c r="E63" s="491" t="s">
        <v>103</v>
      </c>
      <c r="F63" s="492">
        <v>28</v>
      </c>
      <c r="G63" s="492">
        <v>708</v>
      </c>
      <c r="H63" s="493">
        <v>347</v>
      </c>
      <c r="I63" s="493">
        <v>51</v>
      </c>
      <c r="J63" s="492">
        <v>429</v>
      </c>
      <c r="K63" s="492">
        <v>140</v>
      </c>
      <c r="L63" s="531"/>
      <c r="R63" s="529"/>
      <c r="S63" s="467"/>
      <c r="T63" s="467"/>
      <c r="U63" s="529"/>
      <c r="V63" s="529"/>
      <c r="W63" s="467"/>
      <c r="X63" s="467"/>
      <c r="Y63" s="529"/>
      <c r="AA63" s="467"/>
      <c r="AB63" s="467"/>
      <c r="AC63" s="467"/>
      <c r="AD63" s="467"/>
      <c r="AE63" s="467"/>
      <c r="AF63" s="467"/>
      <c r="AG63" s="467"/>
    </row>
    <row r="64" spans="2:33" ht="15" customHeight="1">
      <c r="B64" s="516"/>
      <c r="C64" s="517">
        <v>15</v>
      </c>
      <c r="D64" s="530" t="s">
        <v>120</v>
      </c>
      <c r="E64" s="491" t="s">
        <v>101</v>
      </c>
      <c r="F64" s="492">
        <v>20</v>
      </c>
      <c r="G64" s="492">
        <v>291</v>
      </c>
      <c r="H64" s="493">
        <v>131</v>
      </c>
      <c r="I64" s="493">
        <v>55</v>
      </c>
      <c r="J64" s="492">
        <v>347</v>
      </c>
      <c r="K64" s="492">
        <v>90</v>
      </c>
      <c r="L64" s="531"/>
      <c r="P64" s="533"/>
      <c r="R64" s="529"/>
      <c r="S64" s="467"/>
      <c r="T64" s="467"/>
      <c r="U64" s="529"/>
      <c r="V64" s="529"/>
      <c r="W64" s="467"/>
      <c r="X64" s="467"/>
      <c r="Y64" s="529"/>
      <c r="AA64" s="467"/>
      <c r="AB64" s="467"/>
      <c r="AC64" s="467"/>
      <c r="AD64" s="467"/>
      <c r="AE64" s="467"/>
      <c r="AF64" s="467"/>
      <c r="AG64" s="467"/>
    </row>
    <row r="65" spans="1:49" ht="15" customHeight="1">
      <c r="B65" s="516"/>
      <c r="C65" s="517">
        <v>16</v>
      </c>
      <c r="D65" s="530" t="s">
        <v>121</v>
      </c>
      <c r="E65" s="491" t="s">
        <v>105</v>
      </c>
      <c r="F65" s="492">
        <v>24</v>
      </c>
      <c r="G65" s="492">
        <v>361</v>
      </c>
      <c r="H65" s="493">
        <v>217</v>
      </c>
      <c r="I65" s="493">
        <v>40</v>
      </c>
      <c r="J65" s="492">
        <v>339</v>
      </c>
      <c r="K65" s="492">
        <v>130</v>
      </c>
      <c r="L65" s="531"/>
      <c r="R65" s="467"/>
      <c r="S65" s="467"/>
      <c r="T65" s="467"/>
      <c r="U65" s="529"/>
      <c r="V65" s="529"/>
      <c r="W65" s="467"/>
      <c r="X65" s="467"/>
      <c r="Y65" s="529"/>
      <c r="AA65" s="467"/>
      <c r="AB65" s="467"/>
      <c r="AC65" s="467"/>
      <c r="AD65" s="467"/>
      <c r="AE65" s="467"/>
      <c r="AF65" s="467"/>
      <c r="AG65" s="467"/>
      <c r="AJ65" s="529"/>
      <c r="AK65" s="529"/>
      <c r="AL65" s="529"/>
    </row>
    <row r="66" spans="1:49" ht="15" customHeight="1">
      <c r="B66" s="516"/>
      <c r="C66" s="517">
        <v>17</v>
      </c>
      <c r="D66" s="530" t="s">
        <v>122</v>
      </c>
      <c r="E66" s="491" t="s">
        <v>110</v>
      </c>
      <c r="F66" s="492">
        <v>24</v>
      </c>
      <c r="G66" s="492">
        <v>864</v>
      </c>
      <c r="H66" s="493">
        <v>786</v>
      </c>
      <c r="I66" s="493">
        <v>9</v>
      </c>
      <c r="J66" s="492">
        <v>322</v>
      </c>
      <c r="K66" s="492">
        <v>550</v>
      </c>
      <c r="L66" s="531"/>
      <c r="R66" s="529"/>
      <c r="S66" s="467"/>
      <c r="T66" s="467"/>
      <c r="U66" s="529"/>
      <c r="V66" s="529"/>
      <c r="W66" s="467"/>
      <c r="X66" s="467"/>
      <c r="Y66" s="529"/>
      <c r="AA66" s="467"/>
      <c r="AB66" s="467"/>
      <c r="AC66" s="467"/>
      <c r="AD66" s="467"/>
      <c r="AE66" s="467"/>
      <c r="AF66" s="467"/>
      <c r="AG66" s="467"/>
    </row>
    <row r="67" spans="1:49" ht="15" customHeight="1">
      <c r="B67" s="516"/>
      <c r="C67" s="517">
        <v>18</v>
      </c>
      <c r="D67" s="530" t="s">
        <v>123</v>
      </c>
      <c r="E67" s="491" t="s">
        <v>124</v>
      </c>
      <c r="F67" s="492">
        <v>24</v>
      </c>
      <c r="G67" s="492">
        <v>1107</v>
      </c>
      <c r="H67" s="493">
        <v>321</v>
      </c>
      <c r="I67" s="493">
        <v>71</v>
      </c>
      <c r="J67" s="492">
        <v>779</v>
      </c>
      <c r="K67" s="492">
        <v>330</v>
      </c>
      <c r="L67" s="531"/>
      <c r="R67" s="529"/>
      <c r="S67" s="467"/>
      <c r="T67" s="467"/>
      <c r="U67" s="529"/>
      <c r="V67" s="529"/>
      <c r="W67" s="467"/>
      <c r="X67" s="467"/>
      <c r="Y67" s="529"/>
      <c r="AA67" s="467"/>
      <c r="AB67" s="467"/>
      <c r="AC67" s="467"/>
      <c r="AD67" s="467"/>
      <c r="AE67" s="467"/>
      <c r="AF67" s="467"/>
      <c r="AG67" s="467"/>
    </row>
    <row r="68" spans="1:49" ht="15" customHeight="1">
      <c r="B68" s="516"/>
      <c r="C68" s="517">
        <v>19</v>
      </c>
      <c r="D68" s="530" t="s">
        <v>127</v>
      </c>
      <c r="E68" s="491" t="s">
        <v>101</v>
      </c>
      <c r="F68" s="492">
        <v>36</v>
      </c>
      <c r="G68" s="492">
        <v>2967</v>
      </c>
      <c r="H68" s="493">
        <v>890</v>
      </c>
      <c r="I68" s="493">
        <v>70</v>
      </c>
      <c r="J68" s="492">
        <v>330</v>
      </c>
      <c r="K68" s="492">
        <v>230</v>
      </c>
      <c r="L68" s="531"/>
      <c r="R68" s="529"/>
      <c r="S68" s="467"/>
      <c r="T68" s="467"/>
      <c r="U68" s="529"/>
      <c r="V68" s="529"/>
      <c r="W68" s="467"/>
      <c r="X68" s="467"/>
      <c r="Y68" s="529"/>
      <c r="AA68" s="467"/>
      <c r="AB68" s="467"/>
      <c r="AC68" s="467"/>
      <c r="AD68" s="467"/>
      <c r="AE68" s="467"/>
      <c r="AF68" s="467"/>
      <c r="AG68" s="467"/>
    </row>
    <row r="69" spans="1:49" ht="15" customHeight="1">
      <c r="B69" s="516"/>
      <c r="C69" s="517">
        <v>20</v>
      </c>
      <c r="D69" s="530" t="s">
        <v>128</v>
      </c>
      <c r="E69" s="491" t="s">
        <v>105</v>
      </c>
      <c r="F69" s="492">
        <v>24</v>
      </c>
      <c r="G69" s="492">
        <v>800</v>
      </c>
      <c r="H69" s="493">
        <v>200</v>
      </c>
      <c r="I69" s="493">
        <v>75</v>
      </c>
      <c r="J69" s="492">
        <v>286</v>
      </c>
      <c r="K69" s="492">
        <v>200</v>
      </c>
      <c r="L69" s="531" t="s">
        <v>355</v>
      </c>
      <c r="R69" s="529"/>
      <c r="S69" s="467"/>
      <c r="T69" s="467"/>
      <c r="U69" s="529"/>
      <c r="V69" s="529"/>
      <c r="W69" s="467"/>
      <c r="X69" s="467"/>
      <c r="Y69" s="529"/>
      <c r="AA69" s="467"/>
      <c r="AB69" s="467"/>
      <c r="AC69" s="467"/>
      <c r="AD69" s="467"/>
      <c r="AE69" s="467"/>
      <c r="AF69" s="467"/>
      <c r="AG69" s="467"/>
    </row>
    <row r="70" spans="1:49" ht="15" customHeight="1">
      <c r="B70" s="516"/>
      <c r="C70" s="488">
        <v>21</v>
      </c>
      <c r="D70" s="536" t="s">
        <v>129</v>
      </c>
      <c r="E70" s="489" t="s">
        <v>99</v>
      </c>
      <c r="F70" s="490">
        <v>20</v>
      </c>
      <c r="G70" s="490">
        <v>735</v>
      </c>
      <c r="H70" s="483">
        <v>339</v>
      </c>
      <c r="I70" s="483">
        <v>54</v>
      </c>
      <c r="J70" s="490"/>
      <c r="K70" s="490">
        <v>160</v>
      </c>
      <c r="L70" s="537" t="s">
        <v>355</v>
      </c>
      <c r="R70" s="529"/>
      <c r="S70" s="467"/>
      <c r="T70" s="467"/>
      <c r="U70" s="529"/>
      <c r="V70" s="529"/>
      <c r="W70" s="467"/>
      <c r="X70" s="467"/>
      <c r="Y70" s="529"/>
      <c r="AA70" s="467"/>
      <c r="AB70" s="467"/>
      <c r="AC70" s="467"/>
      <c r="AD70" s="467"/>
      <c r="AE70" s="467"/>
      <c r="AF70" s="467"/>
      <c r="AG70" s="467"/>
    </row>
    <row r="71" spans="1:49" ht="15" customHeight="1">
      <c r="B71" s="516"/>
      <c r="C71" s="488">
        <v>22</v>
      </c>
      <c r="D71" s="536" t="s">
        <v>130</v>
      </c>
      <c r="E71" s="489" t="s">
        <v>105</v>
      </c>
      <c r="F71" s="490">
        <v>24</v>
      </c>
      <c r="G71" s="490">
        <v>750</v>
      </c>
      <c r="H71" s="483">
        <v>300</v>
      </c>
      <c r="I71" s="483">
        <v>60</v>
      </c>
      <c r="J71" s="490">
        <v>302</v>
      </c>
      <c r="K71" s="490">
        <v>180</v>
      </c>
      <c r="L71" s="537"/>
      <c r="N71" s="574">
        <f>SUM(H70:H72)</f>
        <v>1033</v>
      </c>
      <c r="R71" s="529"/>
      <c r="S71" s="467"/>
      <c r="T71" s="467"/>
      <c r="U71" s="529"/>
      <c r="V71" s="529"/>
      <c r="W71" s="467"/>
      <c r="X71" s="467"/>
      <c r="Y71" s="529"/>
      <c r="AA71" s="467"/>
      <c r="AB71" s="467"/>
      <c r="AC71" s="467"/>
      <c r="AD71" s="467"/>
      <c r="AE71" s="467"/>
      <c r="AF71" s="467"/>
      <c r="AG71" s="467"/>
    </row>
    <row r="72" spans="1:49" ht="15" customHeight="1">
      <c r="B72" s="516"/>
      <c r="C72" s="488">
        <v>23</v>
      </c>
      <c r="D72" s="536" t="s">
        <v>131</v>
      </c>
      <c r="E72" s="489" t="s">
        <v>110</v>
      </c>
      <c r="F72" s="490">
        <v>24</v>
      </c>
      <c r="G72" s="490">
        <v>821</v>
      </c>
      <c r="H72" s="483">
        <v>394</v>
      </c>
      <c r="I72" s="483">
        <v>52</v>
      </c>
      <c r="J72" s="490">
        <v>476</v>
      </c>
      <c r="K72" s="490">
        <v>375</v>
      </c>
      <c r="L72" s="537" t="s">
        <v>355</v>
      </c>
      <c r="R72" s="529"/>
      <c r="S72" s="467"/>
      <c r="T72" s="467"/>
      <c r="U72" s="529"/>
      <c r="V72" s="529"/>
      <c r="W72" s="467"/>
      <c r="X72" s="467"/>
      <c r="Y72" s="529"/>
      <c r="AA72" s="467"/>
      <c r="AB72" s="467"/>
      <c r="AC72" s="467"/>
      <c r="AD72" s="467"/>
      <c r="AE72" s="467"/>
      <c r="AF72" s="467"/>
      <c r="AG72" s="467"/>
    </row>
    <row r="73" spans="1:49" ht="25.5" customHeight="1">
      <c r="B73" s="516"/>
      <c r="C73" s="517">
        <v>24</v>
      </c>
      <c r="D73" s="530" t="s">
        <v>132</v>
      </c>
      <c r="E73" s="491" t="s">
        <v>133</v>
      </c>
      <c r="F73" s="492">
        <v>24</v>
      </c>
      <c r="G73" s="492">
        <v>897</v>
      </c>
      <c r="H73" s="493">
        <v>278</v>
      </c>
      <c r="I73" s="493">
        <v>69</v>
      </c>
      <c r="J73" s="492">
        <v>328</v>
      </c>
      <c r="K73" s="492">
        <v>175</v>
      </c>
      <c r="L73" s="531" t="s">
        <v>355</v>
      </c>
      <c r="R73" s="529"/>
      <c r="S73" s="467"/>
      <c r="T73" s="467"/>
      <c r="U73" s="529"/>
      <c r="V73" s="529"/>
      <c r="W73" s="467"/>
      <c r="X73" s="467"/>
      <c r="Y73" s="529"/>
      <c r="AA73" s="467"/>
      <c r="AB73" s="467"/>
      <c r="AC73" s="467"/>
      <c r="AD73" s="467"/>
      <c r="AE73" s="467"/>
      <c r="AF73" s="467"/>
      <c r="AG73" s="467"/>
    </row>
    <row r="74" spans="1:49" ht="15" customHeight="1">
      <c r="B74" s="516"/>
      <c r="C74" s="517">
        <v>25</v>
      </c>
      <c r="D74" s="530" t="s">
        <v>134</v>
      </c>
      <c r="E74" s="491" t="s">
        <v>135</v>
      </c>
      <c r="F74" s="492">
        <v>20</v>
      </c>
      <c r="G74" s="493">
        <v>402</v>
      </c>
      <c r="H74" s="493">
        <v>165</v>
      </c>
      <c r="I74" s="493">
        <v>59</v>
      </c>
      <c r="J74" s="492">
        <v>1836</v>
      </c>
      <c r="K74" s="492">
        <v>560</v>
      </c>
      <c r="L74" s="531"/>
      <c r="R74" s="529"/>
      <c r="S74" s="467"/>
      <c r="T74" s="467"/>
      <c r="U74" s="467"/>
      <c r="V74" s="467"/>
      <c r="W74" s="467"/>
      <c r="X74" s="467"/>
      <c r="Y74" s="467"/>
      <c r="AA74" s="534"/>
      <c r="AB74" s="534"/>
      <c r="AC74" s="534"/>
      <c r="AD74" s="534"/>
      <c r="AE74" s="534"/>
      <c r="AF74" s="534"/>
      <c r="AG74" s="534"/>
    </row>
    <row r="75" spans="1:49" ht="15" customHeight="1">
      <c r="B75" s="516"/>
      <c r="C75" s="517">
        <v>26</v>
      </c>
      <c r="D75" s="530" t="s">
        <v>136</v>
      </c>
      <c r="E75" s="491" t="s">
        <v>105</v>
      </c>
      <c r="F75" s="492">
        <v>40</v>
      </c>
      <c r="G75" s="493">
        <v>2420</v>
      </c>
      <c r="H75" s="493">
        <v>968</v>
      </c>
      <c r="I75" s="493">
        <v>60</v>
      </c>
      <c r="J75" s="493">
        <v>309</v>
      </c>
      <c r="K75" s="493">
        <v>300</v>
      </c>
      <c r="L75" s="531"/>
      <c r="R75" s="529"/>
      <c r="S75" s="467"/>
      <c r="T75" s="467"/>
      <c r="U75" s="467"/>
      <c r="V75" s="467"/>
      <c r="W75" s="467"/>
      <c r="X75" s="467"/>
      <c r="Y75" s="467"/>
      <c r="AA75" s="467"/>
      <c r="AB75" s="467"/>
      <c r="AC75" s="467"/>
      <c r="AD75" s="467"/>
      <c r="AE75" s="467"/>
      <c r="AF75" s="467"/>
      <c r="AG75" s="467"/>
    </row>
    <row r="76" spans="1:49" ht="15" customHeight="1">
      <c r="A76" s="508"/>
      <c r="B76" s="535"/>
      <c r="C76" s="488">
        <v>27</v>
      </c>
      <c r="D76" s="536" t="s">
        <v>137</v>
      </c>
      <c r="E76" s="489" t="s">
        <v>110</v>
      </c>
      <c r="F76" s="490">
        <v>40</v>
      </c>
      <c r="G76" s="490">
        <v>2222</v>
      </c>
      <c r="H76" s="483">
        <v>822</v>
      </c>
      <c r="I76" s="483">
        <v>63</v>
      </c>
      <c r="J76" s="490">
        <v>348</v>
      </c>
      <c r="K76" s="490">
        <v>260</v>
      </c>
      <c r="L76" s="537" t="s">
        <v>235</v>
      </c>
      <c r="M76" s="508"/>
      <c r="N76" s="508"/>
      <c r="O76" s="508"/>
      <c r="P76" s="508"/>
      <c r="Q76" s="508"/>
      <c r="R76" s="538"/>
      <c r="S76" s="467"/>
      <c r="T76" s="467"/>
      <c r="U76" s="467"/>
      <c r="V76" s="467"/>
      <c r="W76" s="467"/>
      <c r="X76" s="467"/>
      <c r="Y76" s="467"/>
      <c r="Z76" s="508"/>
      <c r="AA76" s="467"/>
      <c r="AB76" s="467"/>
      <c r="AC76" s="467"/>
      <c r="AD76" s="467"/>
      <c r="AE76" s="467"/>
      <c r="AF76" s="467"/>
      <c r="AG76" s="467"/>
      <c r="AH76" s="508"/>
      <c r="AI76" s="508"/>
      <c r="AJ76" s="508"/>
      <c r="AK76" s="508"/>
      <c r="AL76" s="508"/>
      <c r="AM76" s="508"/>
      <c r="AN76" s="508"/>
      <c r="AO76" s="508"/>
      <c r="AP76" s="508"/>
      <c r="AQ76" s="508"/>
      <c r="AR76" s="508"/>
      <c r="AS76" s="508"/>
      <c r="AT76" s="508"/>
      <c r="AU76" s="508"/>
      <c r="AV76" s="508"/>
      <c r="AW76" s="508"/>
    </row>
    <row r="77" spans="1:49" ht="24" customHeight="1">
      <c r="D77" s="1298" t="s">
        <v>168</v>
      </c>
      <c r="E77" s="1388"/>
      <c r="F77" s="1388"/>
      <c r="G77" s="539">
        <f>SUM(G50:G76)</f>
        <v>37189.199999999997</v>
      </c>
      <c r="H77" s="539">
        <f>SUM(H50:H76)</f>
        <v>22098.167999999998</v>
      </c>
      <c r="I77" s="540"/>
      <c r="J77" s="508"/>
      <c r="K77" s="540"/>
      <c r="L77" s="509"/>
      <c r="N77" s="508"/>
      <c r="O77" s="508"/>
      <c r="P77" s="538"/>
      <c r="Q77" s="467"/>
      <c r="R77" s="467"/>
      <c r="S77" s="467"/>
      <c r="T77" s="467"/>
      <c r="U77" s="467"/>
      <c r="V77" s="467"/>
      <c r="W77" s="467"/>
      <c r="X77" s="508"/>
      <c r="Y77" s="467"/>
    </row>
    <row r="78" spans="1:49" ht="21.75" customHeight="1">
      <c r="E78" s="1299"/>
      <c r="F78" s="1388"/>
      <c r="G78" s="466"/>
      <c r="H78" s="524">
        <v>22000</v>
      </c>
      <c r="I78" s="466"/>
      <c r="K78" s="466"/>
      <c r="P78" s="467"/>
      <c r="S78" s="510"/>
      <c r="T78" s="510"/>
    </row>
    <row r="79" spans="1:49" ht="15.6" thickBot="1">
      <c r="E79" s="466"/>
      <c r="F79" s="466"/>
      <c r="G79" s="466"/>
      <c r="H79" s="466"/>
      <c r="I79" s="466"/>
      <c r="J79" s="466"/>
      <c r="K79" s="466"/>
      <c r="P79" s="467"/>
      <c r="AA79" s="467"/>
      <c r="AB79" s="467"/>
      <c r="AC79" s="467"/>
      <c r="AD79" s="467"/>
      <c r="AE79" s="467"/>
      <c r="AF79" s="467"/>
      <c r="AG79" s="467"/>
    </row>
    <row r="80" spans="1:49" ht="25.5" customHeight="1" thickBot="1">
      <c r="D80" s="1300" t="s">
        <v>356</v>
      </c>
      <c r="E80" s="1389"/>
      <c r="F80" s="1389"/>
      <c r="G80" s="1389"/>
      <c r="H80" s="1389"/>
      <c r="I80" s="1389"/>
      <c r="J80" s="1389"/>
      <c r="K80" s="1389"/>
      <c r="L80" s="1390"/>
      <c r="R80" s="467"/>
      <c r="AA80" s="467"/>
      <c r="AB80" s="467"/>
      <c r="AC80" s="467"/>
      <c r="AD80" s="467"/>
      <c r="AE80" s="467"/>
      <c r="AF80" s="467"/>
      <c r="AG80" s="467"/>
    </row>
    <row r="81" spans="2:33" ht="27" thickBot="1">
      <c r="B81" s="468"/>
      <c r="C81" s="469" t="s">
        <v>156</v>
      </c>
      <c r="D81" s="541" t="s">
        <v>31</v>
      </c>
      <c r="E81" s="542" t="s">
        <v>32</v>
      </c>
      <c r="F81" s="542" t="s">
        <v>33</v>
      </c>
      <c r="G81" s="543" t="s">
        <v>34</v>
      </c>
      <c r="H81" s="543" t="s">
        <v>35</v>
      </c>
      <c r="I81" s="542" t="s">
        <v>37</v>
      </c>
      <c r="J81" s="544" t="s">
        <v>38</v>
      </c>
      <c r="K81" s="544" t="s">
        <v>39</v>
      </c>
      <c r="L81" s="545" t="s">
        <v>40</v>
      </c>
      <c r="R81" s="467"/>
      <c r="S81" s="485"/>
      <c r="T81" s="529"/>
      <c r="U81" s="529"/>
      <c r="V81" s="529"/>
      <c r="W81" s="529"/>
      <c r="X81" s="529"/>
      <c r="Y81" s="529"/>
      <c r="AA81" s="467"/>
      <c r="AB81" s="467"/>
      <c r="AC81" s="467"/>
      <c r="AD81" s="467"/>
      <c r="AE81" s="467"/>
      <c r="AF81" s="467"/>
      <c r="AG81" s="467"/>
    </row>
    <row r="82" spans="2:33" ht="15.6">
      <c r="B82" s="516"/>
      <c r="C82" s="546">
        <v>1</v>
      </c>
      <c r="D82" s="547" t="s">
        <v>139</v>
      </c>
      <c r="E82" s="548" t="s">
        <v>140</v>
      </c>
      <c r="F82" s="549">
        <v>20</v>
      </c>
      <c r="G82" s="550">
        <v>502.02384432635614</v>
      </c>
      <c r="H82" s="550">
        <v>441.78093461567016</v>
      </c>
      <c r="I82" s="549">
        <v>12</v>
      </c>
      <c r="J82" s="551">
        <v>311</v>
      </c>
      <c r="K82" s="549">
        <v>240</v>
      </c>
      <c r="L82" s="552"/>
      <c r="Q82" s="485"/>
      <c r="R82" s="553"/>
      <c r="S82" s="485"/>
      <c r="T82" s="467"/>
      <c r="U82" s="529"/>
      <c r="V82" s="529"/>
      <c r="W82" s="467"/>
      <c r="X82" s="467"/>
      <c r="Y82" s="467"/>
      <c r="AA82" s="467"/>
      <c r="AB82" s="467"/>
      <c r="AC82" s="467"/>
      <c r="AD82" s="467"/>
      <c r="AE82" s="467"/>
      <c r="AF82" s="467"/>
      <c r="AG82" s="467"/>
    </row>
    <row r="83" spans="2:33" ht="15.6">
      <c r="B83" s="516"/>
      <c r="C83" s="546">
        <v>2</v>
      </c>
      <c r="D83" s="554" t="s">
        <v>142</v>
      </c>
      <c r="E83" s="555" t="s">
        <v>143</v>
      </c>
      <c r="F83" s="492">
        <v>24</v>
      </c>
      <c r="G83" s="494">
        <v>458.35694681826453</v>
      </c>
      <c r="H83" s="494">
        <v>407.93771795374113</v>
      </c>
      <c r="I83" s="492">
        <v>11</v>
      </c>
      <c r="J83" s="556">
        <v>526</v>
      </c>
      <c r="K83" s="557">
        <v>260</v>
      </c>
      <c r="L83" s="558"/>
      <c r="Q83" s="485"/>
      <c r="R83" s="553"/>
      <c r="S83" s="485"/>
      <c r="T83" s="467"/>
      <c r="U83" s="529"/>
      <c r="V83" s="529"/>
      <c r="W83" s="467"/>
      <c r="X83" s="467"/>
      <c r="Y83" s="467"/>
      <c r="AA83" s="467"/>
      <c r="AB83" s="467"/>
      <c r="AC83" s="467"/>
      <c r="AD83" s="467"/>
      <c r="AE83" s="467"/>
      <c r="AF83" s="467"/>
      <c r="AG83" s="467"/>
    </row>
    <row r="84" spans="2:33" ht="15.6">
      <c r="B84" s="516"/>
      <c r="C84" s="546">
        <v>3</v>
      </c>
      <c r="D84" s="554" t="s">
        <v>144</v>
      </c>
      <c r="E84" s="555" t="s">
        <v>140</v>
      </c>
      <c r="F84" s="492">
        <v>28</v>
      </c>
      <c r="G84" s="493">
        <v>1807.2832586936433</v>
      </c>
      <c r="H84" s="493">
        <v>1373.5359218274787</v>
      </c>
      <c r="I84" s="492">
        <v>24</v>
      </c>
      <c r="J84" s="556">
        <v>1321</v>
      </c>
      <c r="K84" s="557">
        <v>900</v>
      </c>
      <c r="L84" s="558"/>
      <c r="Q84" s="485"/>
      <c r="R84" s="553"/>
      <c r="S84" s="485"/>
      <c r="T84" s="467"/>
      <c r="U84" s="529"/>
      <c r="V84" s="529"/>
      <c r="W84" s="467"/>
      <c r="X84" s="467"/>
      <c r="Y84" s="467"/>
      <c r="AA84" s="467"/>
      <c r="AB84" s="467"/>
      <c r="AC84" s="467"/>
      <c r="AD84" s="467"/>
      <c r="AE84" s="467"/>
      <c r="AF84" s="467"/>
      <c r="AG84" s="467"/>
    </row>
    <row r="85" spans="2:33" ht="16.149999999999999" thickBot="1">
      <c r="B85" s="516"/>
      <c r="C85" s="559">
        <v>4</v>
      </c>
      <c r="D85" s="560" t="s">
        <v>145</v>
      </c>
      <c r="E85" s="561" t="s">
        <v>146</v>
      </c>
      <c r="F85" s="500">
        <v>36</v>
      </c>
      <c r="G85" s="562">
        <v>2126.2116251395114</v>
      </c>
      <c r="H85" s="562">
        <v>1913.5904626255603</v>
      </c>
      <c r="I85" s="501">
        <v>10</v>
      </c>
      <c r="J85" s="563">
        <v>404</v>
      </c>
      <c r="K85" s="564">
        <v>520</v>
      </c>
      <c r="L85" s="565" t="s">
        <v>357</v>
      </c>
      <c r="Q85" s="485"/>
      <c r="R85" s="553"/>
      <c r="S85" s="485"/>
      <c r="T85" s="467"/>
      <c r="U85" s="529"/>
      <c r="V85" s="529"/>
      <c r="W85" s="467"/>
      <c r="X85" s="467"/>
      <c r="Y85" s="467"/>
      <c r="AA85" s="467"/>
      <c r="AB85" s="467"/>
      <c r="AC85" s="467"/>
      <c r="AD85" s="467"/>
      <c r="AE85" s="467"/>
      <c r="AF85" s="467"/>
      <c r="AG85" s="467"/>
    </row>
    <row r="86" spans="2:33" ht="19.5" customHeight="1">
      <c r="D86" s="504"/>
      <c r="E86" s="505"/>
      <c r="F86" s="505"/>
      <c r="G86" s="539">
        <v>4893.8756749777749</v>
      </c>
      <c r="H86" s="539">
        <f>SUM(H82:H85)</f>
        <v>4136.84503702245</v>
      </c>
      <c r="I86" s="507"/>
      <c r="J86" s="507"/>
      <c r="K86" s="507"/>
      <c r="L86" s="509"/>
      <c r="R86" s="467"/>
      <c r="S86" s="467"/>
      <c r="T86" s="467"/>
      <c r="U86" s="510"/>
      <c r="V86" s="510"/>
      <c r="W86" s="467"/>
      <c r="X86" s="467"/>
      <c r="Y86" s="467"/>
      <c r="AA86" s="467"/>
      <c r="AB86" s="467"/>
      <c r="AC86" s="467"/>
      <c r="AD86" s="467"/>
      <c r="AE86" s="467"/>
      <c r="AF86" s="467"/>
      <c r="AG86" s="467"/>
    </row>
    <row r="87" spans="2:33" ht="19.5" customHeight="1">
      <c r="D87" s="1298" t="s">
        <v>168</v>
      </c>
      <c r="E87" s="1388"/>
      <c r="F87" s="1388"/>
      <c r="G87" s="466"/>
      <c r="H87" s="524">
        <v>4100</v>
      </c>
      <c r="I87" s="466"/>
      <c r="K87" s="466"/>
      <c r="R87" s="467"/>
      <c r="S87" s="467"/>
      <c r="T87" s="467"/>
      <c r="U87" s="467"/>
      <c r="V87" s="467"/>
      <c r="W87" s="467"/>
      <c r="AA87" s="467"/>
      <c r="AB87" s="467"/>
      <c r="AC87" s="467"/>
      <c r="AD87" s="467"/>
      <c r="AE87" s="467"/>
      <c r="AF87" s="467"/>
      <c r="AG87" s="467"/>
    </row>
    <row r="88" spans="2:33" ht="15">
      <c r="E88" s="466"/>
      <c r="F88" s="466"/>
      <c r="G88" s="466"/>
      <c r="H88" s="466"/>
      <c r="I88" s="466"/>
      <c r="J88" s="466"/>
      <c r="K88" s="466"/>
      <c r="R88" s="467"/>
      <c r="S88" s="467"/>
      <c r="T88" s="467"/>
      <c r="U88" s="467"/>
      <c r="V88" s="467"/>
      <c r="W88" s="467"/>
      <c r="AA88" s="467"/>
      <c r="AB88" s="467"/>
      <c r="AC88" s="467"/>
      <c r="AD88" s="467"/>
      <c r="AE88" s="467"/>
      <c r="AF88" s="467"/>
      <c r="AG88" s="467"/>
    </row>
    <row r="89" spans="2:33" ht="15">
      <c r="E89" s="466"/>
      <c r="F89" s="466"/>
      <c r="G89" s="466"/>
      <c r="H89" s="466"/>
      <c r="I89" s="466"/>
      <c r="J89" s="466"/>
      <c r="K89" s="466"/>
      <c r="R89" s="467"/>
      <c r="S89" s="467"/>
      <c r="T89" s="467"/>
      <c r="U89" s="467"/>
      <c r="V89" s="467"/>
      <c r="W89" s="467"/>
      <c r="AA89" s="467"/>
      <c r="AB89" s="467"/>
      <c r="AC89" s="467"/>
      <c r="AD89" s="467"/>
      <c r="AE89" s="467"/>
      <c r="AF89" s="467"/>
      <c r="AG89" s="467"/>
    </row>
    <row r="90" spans="2:33" ht="15">
      <c r="E90" s="466"/>
      <c r="F90" s="466"/>
      <c r="G90" s="466"/>
      <c r="H90" s="466"/>
      <c r="I90" s="466"/>
      <c r="J90" s="466"/>
      <c r="K90" s="466"/>
      <c r="R90" s="467"/>
      <c r="S90" s="467"/>
      <c r="T90" s="467"/>
      <c r="U90" s="467"/>
      <c r="V90" s="467"/>
      <c r="W90" s="467"/>
      <c r="AA90" s="467"/>
      <c r="AB90" s="467"/>
      <c r="AC90" s="467"/>
      <c r="AD90" s="467"/>
      <c r="AE90" s="467"/>
      <c r="AF90" s="467"/>
      <c r="AG90" s="467"/>
    </row>
    <row r="91" spans="2:33" ht="15">
      <c r="E91" s="466"/>
      <c r="F91" s="466"/>
      <c r="G91" s="466"/>
      <c r="H91" s="466"/>
      <c r="I91" s="466"/>
      <c r="J91" s="466"/>
      <c r="K91" s="466"/>
      <c r="R91" s="467"/>
      <c r="S91" s="467"/>
      <c r="T91" s="467"/>
      <c r="U91" s="467"/>
      <c r="V91" s="467"/>
      <c r="W91" s="467"/>
      <c r="AA91" s="467"/>
      <c r="AB91" s="467"/>
      <c r="AC91" s="467"/>
      <c r="AD91" s="467"/>
      <c r="AE91" s="467"/>
      <c r="AF91" s="467"/>
      <c r="AG91" s="467"/>
    </row>
    <row r="92" spans="2:33" ht="15">
      <c r="E92" s="466"/>
      <c r="F92" s="466"/>
      <c r="G92" s="466"/>
      <c r="H92" s="466"/>
      <c r="I92" s="466"/>
      <c r="J92" s="466"/>
      <c r="K92" s="466"/>
      <c r="R92" s="467"/>
      <c r="S92" s="467"/>
      <c r="T92" s="467"/>
      <c r="U92" s="467"/>
      <c r="V92" s="467"/>
      <c r="W92" s="467"/>
      <c r="AA92" s="467"/>
      <c r="AB92" s="467"/>
      <c r="AC92" s="467"/>
      <c r="AD92" s="467"/>
      <c r="AE92" s="467"/>
      <c r="AF92" s="467"/>
      <c r="AG92" s="467"/>
    </row>
    <row r="93" spans="2:33" ht="15">
      <c r="E93" s="466"/>
      <c r="F93" s="466"/>
      <c r="G93" s="466"/>
      <c r="H93" s="466"/>
      <c r="I93" s="466"/>
      <c r="J93" s="466"/>
      <c r="K93" s="466"/>
      <c r="R93" s="467"/>
      <c r="S93" s="467"/>
      <c r="T93" s="467"/>
      <c r="U93" s="467"/>
      <c r="V93" s="467"/>
      <c r="W93" s="467"/>
      <c r="AA93" s="467"/>
      <c r="AB93" s="467"/>
      <c r="AC93" s="467"/>
      <c r="AD93" s="467"/>
      <c r="AE93" s="467"/>
      <c r="AF93" s="467"/>
      <c r="AG93" s="467"/>
    </row>
    <row r="94" spans="2:33" ht="15">
      <c r="E94" s="466"/>
      <c r="F94" s="466"/>
      <c r="G94" s="466"/>
      <c r="H94" s="466"/>
      <c r="I94" s="466"/>
      <c r="J94" s="466"/>
      <c r="K94" s="466"/>
      <c r="R94" s="467"/>
      <c r="S94" s="467"/>
      <c r="T94" s="467"/>
      <c r="U94" s="467"/>
      <c r="V94" s="467"/>
      <c r="W94" s="467"/>
      <c r="AA94" s="467"/>
      <c r="AB94" s="467"/>
      <c r="AC94" s="467"/>
      <c r="AD94" s="467"/>
      <c r="AE94" s="467"/>
      <c r="AF94" s="467"/>
      <c r="AG94" s="467"/>
    </row>
    <row r="95" spans="2:33" ht="15">
      <c r="E95" s="466"/>
      <c r="F95" s="466"/>
      <c r="G95" s="466"/>
      <c r="H95" s="466"/>
      <c r="I95" s="466"/>
      <c r="J95" s="466"/>
      <c r="K95" s="466"/>
      <c r="R95" s="467"/>
      <c r="S95" s="467"/>
      <c r="T95" s="467"/>
      <c r="U95" s="467"/>
      <c r="V95" s="467"/>
      <c r="W95" s="467"/>
      <c r="AA95" s="467"/>
      <c r="AB95" s="467"/>
      <c r="AC95" s="467"/>
      <c r="AD95" s="467"/>
      <c r="AE95" s="467"/>
      <c r="AF95" s="467"/>
      <c r="AG95" s="467"/>
    </row>
    <row r="96" spans="2:33" ht="15">
      <c r="E96" s="466"/>
      <c r="F96" s="466"/>
      <c r="G96" s="466"/>
      <c r="H96" s="466"/>
      <c r="I96" s="466"/>
      <c r="J96" s="466"/>
      <c r="K96" s="466"/>
      <c r="R96" s="467"/>
      <c r="S96" s="467"/>
      <c r="T96" s="467"/>
      <c r="U96" s="467"/>
      <c r="V96" s="467"/>
      <c r="W96" s="467"/>
      <c r="AA96" s="467"/>
      <c r="AB96" s="467"/>
      <c r="AC96" s="467"/>
      <c r="AD96" s="467"/>
      <c r="AE96" s="467"/>
      <c r="AF96" s="467"/>
      <c r="AG96" s="467"/>
    </row>
    <row r="97" spans="5:33" ht="15">
      <c r="E97" s="466"/>
      <c r="F97" s="466"/>
      <c r="G97" s="466"/>
      <c r="H97" s="466"/>
      <c r="I97" s="466"/>
      <c r="J97" s="466"/>
      <c r="K97" s="466"/>
      <c r="R97" s="467"/>
      <c r="S97" s="467"/>
      <c r="T97" s="467"/>
      <c r="U97" s="467"/>
      <c r="V97" s="467"/>
      <c r="W97" s="467"/>
      <c r="AA97" s="467"/>
      <c r="AB97" s="467"/>
      <c r="AC97" s="467"/>
      <c r="AD97" s="467"/>
      <c r="AE97" s="467"/>
      <c r="AF97" s="467"/>
      <c r="AG97" s="467"/>
    </row>
    <row r="98" spans="5:33" ht="15">
      <c r="E98" s="466"/>
      <c r="F98" s="466"/>
      <c r="G98" s="466"/>
      <c r="H98" s="466"/>
      <c r="I98" s="466"/>
      <c r="J98" s="466"/>
      <c r="K98" s="466"/>
      <c r="R98" s="467"/>
      <c r="S98" s="467"/>
      <c r="T98" s="467"/>
      <c r="U98" s="467"/>
      <c r="V98" s="467"/>
      <c r="W98" s="467"/>
      <c r="AA98" s="467"/>
      <c r="AB98" s="467"/>
      <c r="AC98" s="467"/>
      <c r="AD98" s="467"/>
      <c r="AE98" s="467"/>
      <c r="AF98" s="467"/>
      <c r="AG98" s="467"/>
    </row>
    <row r="99" spans="5:33" ht="15">
      <c r="E99" s="466"/>
      <c r="F99" s="466"/>
      <c r="G99" s="466"/>
      <c r="H99" s="466"/>
      <c r="I99" s="466"/>
      <c r="J99" s="466"/>
      <c r="K99" s="466"/>
      <c r="R99" s="467"/>
      <c r="S99" s="467"/>
      <c r="T99" s="467"/>
      <c r="U99" s="467"/>
      <c r="V99" s="467"/>
      <c r="W99" s="467"/>
      <c r="AA99" s="467"/>
      <c r="AB99" s="467"/>
      <c r="AC99" s="467"/>
      <c r="AD99" s="467"/>
      <c r="AE99" s="467"/>
      <c r="AF99" s="467"/>
      <c r="AG99" s="467"/>
    </row>
    <row r="100" spans="5:33" ht="15">
      <c r="E100" s="466"/>
      <c r="F100" s="466"/>
      <c r="G100" s="466"/>
      <c r="H100" s="466"/>
      <c r="I100" s="466"/>
      <c r="J100" s="466"/>
      <c r="K100" s="466"/>
      <c r="R100" s="467"/>
      <c r="S100" s="467"/>
      <c r="T100" s="467"/>
      <c r="U100" s="467"/>
      <c r="V100" s="467"/>
      <c r="W100" s="467"/>
      <c r="AA100" s="467"/>
      <c r="AB100" s="467"/>
      <c r="AC100" s="467"/>
      <c r="AD100" s="467"/>
      <c r="AE100" s="467"/>
      <c r="AF100" s="467"/>
      <c r="AG100" s="467"/>
    </row>
    <row r="101" spans="5:33" ht="15">
      <c r="E101" s="466"/>
      <c r="F101" s="466"/>
      <c r="G101" s="466"/>
      <c r="H101" s="466"/>
      <c r="I101" s="466"/>
      <c r="J101" s="466"/>
      <c r="K101" s="466"/>
      <c r="R101" s="467"/>
      <c r="S101" s="467"/>
      <c r="T101" s="467"/>
      <c r="U101" s="467"/>
      <c r="V101" s="467"/>
      <c r="W101" s="467"/>
      <c r="AA101" s="467"/>
      <c r="AB101" s="467"/>
      <c r="AC101" s="467"/>
      <c r="AD101" s="467"/>
      <c r="AE101" s="467"/>
      <c r="AF101" s="467"/>
      <c r="AG101" s="467"/>
    </row>
    <row r="102" spans="5:33" ht="15">
      <c r="E102" s="466"/>
      <c r="F102" s="466"/>
      <c r="G102" s="466"/>
      <c r="H102" s="466"/>
      <c r="I102" s="466"/>
      <c r="J102" s="466"/>
      <c r="K102" s="466"/>
      <c r="R102" s="467"/>
      <c r="S102" s="467"/>
      <c r="T102" s="467"/>
      <c r="U102" s="467"/>
      <c r="V102" s="467"/>
      <c r="W102" s="467"/>
      <c r="AA102" s="467"/>
      <c r="AB102" s="467"/>
      <c r="AC102" s="467"/>
      <c r="AD102" s="467"/>
      <c r="AE102" s="467"/>
      <c r="AF102" s="467"/>
      <c r="AG102" s="467"/>
    </row>
    <row r="103" spans="5:33" ht="15">
      <c r="E103" s="466"/>
      <c r="F103" s="466"/>
      <c r="G103" s="466"/>
      <c r="H103" s="466"/>
      <c r="I103" s="466"/>
      <c r="J103" s="466"/>
      <c r="K103" s="466"/>
      <c r="R103" s="467"/>
      <c r="S103" s="467"/>
      <c r="T103" s="467"/>
      <c r="U103" s="467"/>
      <c r="V103" s="467"/>
      <c r="W103" s="467"/>
      <c r="AA103" s="467"/>
      <c r="AB103" s="467"/>
      <c r="AC103" s="467"/>
      <c r="AD103" s="467"/>
      <c r="AE103" s="467"/>
      <c r="AF103" s="467"/>
      <c r="AG103" s="467"/>
    </row>
    <row r="104" spans="5:33" ht="15">
      <c r="E104" s="466"/>
      <c r="F104" s="466"/>
      <c r="G104" s="466"/>
      <c r="H104" s="466"/>
      <c r="I104" s="466"/>
      <c r="J104" s="466"/>
      <c r="K104" s="466"/>
      <c r="R104" s="467"/>
      <c r="S104" s="467"/>
      <c r="T104" s="467"/>
      <c r="U104" s="467"/>
      <c r="V104" s="467"/>
      <c r="W104" s="467"/>
      <c r="AA104" s="467"/>
      <c r="AB104" s="467"/>
      <c r="AC104" s="467"/>
      <c r="AD104" s="467"/>
      <c r="AE104" s="467"/>
      <c r="AF104" s="467"/>
      <c r="AG104" s="467"/>
    </row>
    <row r="105" spans="5:33" ht="15">
      <c r="E105" s="466"/>
      <c r="F105" s="466"/>
      <c r="G105" s="466"/>
      <c r="H105" s="466"/>
      <c r="I105" s="466"/>
      <c r="J105" s="466"/>
      <c r="K105" s="466"/>
      <c r="R105" s="467"/>
      <c r="S105" s="467"/>
      <c r="T105" s="467"/>
      <c r="U105" s="467"/>
      <c r="V105" s="467"/>
      <c r="W105" s="467"/>
      <c r="AA105" s="467"/>
      <c r="AB105" s="467"/>
      <c r="AC105" s="467"/>
      <c r="AD105" s="467"/>
      <c r="AE105" s="467"/>
      <c r="AF105" s="467"/>
      <c r="AG105" s="467"/>
    </row>
    <row r="106" spans="5:33" ht="15">
      <c r="E106" s="466"/>
      <c r="F106" s="466"/>
      <c r="G106" s="466"/>
      <c r="H106" s="466"/>
      <c r="I106" s="466"/>
      <c r="J106" s="466"/>
      <c r="K106" s="466"/>
      <c r="R106" s="467"/>
      <c r="S106" s="467"/>
      <c r="T106" s="467"/>
      <c r="U106" s="467"/>
      <c r="V106" s="467"/>
      <c r="W106" s="467"/>
      <c r="AA106" s="467"/>
      <c r="AB106" s="467"/>
      <c r="AC106" s="467"/>
      <c r="AD106" s="467"/>
      <c r="AE106" s="467"/>
      <c r="AF106" s="467"/>
      <c r="AG106" s="467"/>
    </row>
    <row r="107" spans="5:33" ht="15">
      <c r="E107" s="466"/>
      <c r="F107" s="466"/>
      <c r="G107" s="466"/>
      <c r="H107" s="466"/>
      <c r="I107" s="466"/>
      <c r="J107" s="466"/>
      <c r="K107" s="466"/>
      <c r="R107" s="467"/>
      <c r="S107" s="467"/>
      <c r="T107" s="467"/>
      <c r="U107" s="467"/>
      <c r="V107" s="467"/>
      <c r="W107" s="467"/>
      <c r="AA107" s="467"/>
      <c r="AB107" s="467"/>
      <c r="AC107" s="467"/>
      <c r="AD107" s="467"/>
      <c r="AE107" s="467"/>
      <c r="AF107" s="467"/>
      <c r="AG107" s="467"/>
    </row>
    <row r="108" spans="5:33" ht="15">
      <c r="E108" s="466"/>
      <c r="F108" s="466"/>
      <c r="G108" s="466"/>
      <c r="H108" s="466"/>
      <c r="I108" s="466"/>
      <c r="J108" s="466"/>
      <c r="K108" s="466"/>
      <c r="R108" s="467"/>
      <c r="S108" s="467"/>
      <c r="T108" s="467"/>
      <c r="U108" s="467"/>
      <c r="V108" s="467"/>
      <c r="W108" s="467"/>
      <c r="AA108" s="467"/>
      <c r="AB108" s="467"/>
      <c r="AC108" s="467"/>
      <c r="AD108" s="467"/>
      <c r="AE108" s="467"/>
      <c r="AF108" s="467"/>
      <c r="AG108" s="467"/>
    </row>
    <row r="109" spans="5:33" ht="15">
      <c r="E109" s="466"/>
      <c r="F109" s="466"/>
      <c r="G109" s="466"/>
      <c r="H109" s="466"/>
      <c r="I109" s="466"/>
      <c r="J109" s="466"/>
      <c r="K109" s="466"/>
      <c r="R109" s="467"/>
      <c r="S109" s="467"/>
      <c r="T109" s="467"/>
      <c r="U109" s="467"/>
      <c r="V109" s="467"/>
      <c r="W109" s="467"/>
      <c r="AA109" s="467"/>
      <c r="AB109" s="467"/>
      <c r="AC109" s="467"/>
      <c r="AD109" s="467"/>
      <c r="AE109" s="467"/>
      <c r="AF109" s="467"/>
      <c r="AG109" s="467"/>
    </row>
    <row r="110" spans="5:33" ht="15">
      <c r="E110" s="466"/>
      <c r="F110" s="466"/>
      <c r="G110" s="466"/>
      <c r="H110" s="466"/>
      <c r="I110" s="466"/>
      <c r="J110" s="466"/>
      <c r="K110" s="466"/>
      <c r="R110" s="467"/>
      <c r="S110" s="467"/>
      <c r="T110" s="467"/>
      <c r="U110" s="467"/>
      <c r="V110" s="467"/>
      <c r="W110" s="467"/>
      <c r="AA110" s="467"/>
      <c r="AB110" s="467"/>
      <c r="AC110" s="467"/>
      <c r="AD110" s="467"/>
      <c r="AE110" s="467"/>
      <c r="AF110" s="467"/>
      <c r="AG110" s="467"/>
    </row>
    <row r="111" spans="5:33" ht="15">
      <c r="E111" s="466"/>
      <c r="F111" s="466"/>
      <c r="G111" s="466"/>
      <c r="H111" s="466"/>
      <c r="I111" s="466"/>
      <c r="J111" s="466"/>
      <c r="K111" s="466"/>
      <c r="R111" s="467"/>
      <c r="S111" s="467"/>
      <c r="T111" s="467"/>
      <c r="U111" s="467"/>
      <c r="V111" s="467"/>
      <c r="W111" s="467"/>
      <c r="AA111" s="467"/>
      <c r="AB111" s="467"/>
      <c r="AC111" s="467"/>
      <c r="AD111" s="467"/>
      <c r="AE111" s="467"/>
      <c r="AF111" s="467"/>
      <c r="AG111" s="467"/>
    </row>
    <row r="112" spans="5:33" ht="15">
      <c r="E112" s="466"/>
      <c r="F112" s="466"/>
      <c r="G112" s="466"/>
      <c r="H112" s="466"/>
      <c r="I112" s="466"/>
      <c r="J112" s="466"/>
      <c r="K112" s="466"/>
      <c r="R112" s="467"/>
      <c r="S112" s="467"/>
      <c r="T112" s="467"/>
      <c r="U112" s="467"/>
      <c r="V112" s="467"/>
      <c r="W112" s="467"/>
      <c r="AA112" s="467"/>
      <c r="AB112" s="467"/>
      <c r="AC112" s="467"/>
      <c r="AD112" s="467"/>
      <c r="AE112" s="467"/>
      <c r="AF112" s="467"/>
      <c r="AG112" s="467"/>
    </row>
    <row r="113" spans="5:33" ht="15">
      <c r="E113" s="466"/>
      <c r="F113" s="466"/>
      <c r="G113" s="466"/>
      <c r="H113" s="466"/>
      <c r="I113" s="466"/>
      <c r="J113" s="466"/>
      <c r="K113" s="466"/>
      <c r="R113" s="467"/>
      <c r="S113" s="467"/>
      <c r="T113" s="467"/>
      <c r="U113" s="467"/>
      <c r="V113" s="467"/>
      <c r="W113" s="467"/>
      <c r="AA113" s="467"/>
      <c r="AB113" s="467"/>
      <c r="AC113" s="467"/>
      <c r="AD113" s="467"/>
      <c r="AE113" s="467"/>
      <c r="AF113" s="467"/>
      <c r="AG113" s="467"/>
    </row>
    <row r="114" spans="5:33" ht="15">
      <c r="E114" s="466"/>
      <c r="F114" s="466"/>
      <c r="G114" s="466"/>
      <c r="H114" s="466"/>
      <c r="I114" s="466"/>
      <c r="J114" s="466"/>
      <c r="K114" s="466"/>
      <c r="R114" s="467"/>
      <c r="S114" s="467"/>
      <c r="T114" s="467"/>
      <c r="U114" s="467"/>
      <c r="V114" s="467"/>
      <c r="W114" s="467"/>
      <c r="AA114" s="467"/>
      <c r="AB114" s="467"/>
      <c r="AC114" s="467"/>
      <c r="AD114" s="467"/>
      <c r="AE114" s="467"/>
      <c r="AF114" s="467"/>
      <c r="AG114" s="467"/>
    </row>
    <row r="115" spans="5:33" ht="15">
      <c r="E115" s="466"/>
      <c r="F115" s="466"/>
      <c r="G115" s="466"/>
      <c r="H115" s="466"/>
      <c r="I115" s="466"/>
      <c r="J115" s="466"/>
      <c r="K115" s="466"/>
      <c r="R115" s="467"/>
      <c r="S115" s="467"/>
      <c r="T115" s="467"/>
      <c r="U115" s="467"/>
      <c r="V115" s="467"/>
      <c r="W115" s="467"/>
      <c r="AA115" s="467"/>
      <c r="AB115" s="467"/>
      <c r="AC115" s="467"/>
      <c r="AD115" s="467"/>
      <c r="AE115" s="467"/>
      <c r="AF115" s="467"/>
      <c r="AG115" s="467"/>
    </row>
    <row r="116" spans="5:33" ht="15">
      <c r="E116" s="466"/>
      <c r="F116" s="466"/>
      <c r="G116" s="466"/>
      <c r="H116" s="466"/>
      <c r="I116" s="466"/>
      <c r="J116" s="466"/>
      <c r="K116" s="466"/>
      <c r="R116" s="467"/>
      <c r="S116" s="467"/>
      <c r="T116" s="467"/>
      <c r="U116" s="467"/>
      <c r="V116" s="467"/>
      <c r="W116" s="467"/>
      <c r="AA116" s="467"/>
      <c r="AB116" s="467"/>
      <c r="AC116" s="467"/>
      <c r="AD116" s="467"/>
      <c r="AE116" s="467"/>
      <c r="AF116" s="467"/>
      <c r="AG116" s="467"/>
    </row>
    <row r="117" spans="5:33" ht="15">
      <c r="E117" s="466"/>
      <c r="F117" s="466"/>
      <c r="G117" s="466"/>
      <c r="H117" s="466"/>
      <c r="I117" s="466"/>
      <c r="J117" s="466"/>
      <c r="K117" s="466"/>
      <c r="R117" s="467"/>
      <c r="S117" s="467"/>
      <c r="T117" s="467"/>
      <c r="U117" s="467"/>
      <c r="V117" s="467"/>
      <c r="W117" s="467"/>
      <c r="AA117" s="467"/>
      <c r="AB117" s="467"/>
      <c r="AC117" s="467"/>
      <c r="AD117" s="467"/>
      <c r="AE117" s="467"/>
      <c r="AF117" s="467"/>
      <c r="AG117" s="467"/>
    </row>
    <row r="118" spans="5:33" ht="15">
      <c r="E118" s="466"/>
      <c r="F118" s="466"/>
      <c r="G118" s="466"/>
      <c r="H118" s="466"/>
      <c r="I118" s="466"/>
      <c r="J118" s="466"/>
      <c r="K118" s="466"/>
      <c r="R118" s="467"/>
      <c r="S118" s="467"/>
      <c r="T118" s="467"/>
      <c r="U118" s="467"/>
      <c r="V118" s="467"/>
      <c r="W118" s="467"/>
      <c r="AA118" s="467"/>
      <c r="AB118" s="467"/>
      <c r="AC118" s="467"/>
      <c r="AD118" s="467"/>
      <c r="AE118" s="467"/>
      <c r="AF118" s="467"/>
      <c r="AG118" s="467"/>
    </row>
    <row r="119" spans="5:33" ht="15">
      <c r="E119" s="466"/>
      <c r="F119" s="466"/>
      <c r="G119" s="466"/>
      <c r="H119" s="466"/>
      <c r="I119" s="466"/>
      <c r="J119" s="466"/>
      <c r="K119" s="466"/>
      <c r="R119" s="467"/>
      <c r="S119" s="467"/>
      <c r="T119" s="467"/>
      <c r="U119" s="467"/>
      <c r="V119" s="467"/>
      <c r="W119" s="467"/>
      <c r="AA119" s="467"/>
      <c r="AB119" s="467"/>
      <c r="AC119" s="467"/>
      <c r="AD119" s="467"/>
      <c r="AE119" s="467"/>
      <c r="AF119" s="467"/>
      <c r="AG119" s="467"/>
    </row>
    <row r="120" spans="5:33" ht="15">
      <c r="E120" s="466"/>
      <c r="F120" s="466"/>
      <c r="G120" s="466"/>
      <c r="H120" s="466"/>
      <c r="I120" s="466"/>
      <c r="J120" s="466"/>
      <c r="K120" s="466"/>
      <c r="R120" s="467"/>
      <c r="S120" s="467"/>
      <c r="T120" s="467"/>
      <c r="U120" s="467"/>
      <c r="V120" s="467"/>
      <c r="W120" s="467"/>
      <c r="AA120" s="467"/>
      <c r="AB120" s="467"/>
      <c r="AC120" s="467"/>
      <c r="AD120" s="467"/>
      <c r="AE120" s="467"/>
      <c r="AF120" s="467"/>
      <c r="AG120" s="467"/>
    </row>
    <row r="121" spans="5:33" ht="15">
      <c r="E121" s="466"/>
      <c r="F121" s="466"/>
      <c r="G121" s="466"/>
      <c r="H121" s="466"/>
      <c r="I121" s="466"/>
      <c r="J121" s="466"/>
      <c r="K121" s="466"/>
      <c r="R121" s="467"/>
      <c r="S121" s="467"/>
      <c r="T121" s="467"/>
      <c r="U121" s="467"/>
      <c r="V121" s="467"/>
      <c r="W121" s="467"/>
      <c r="AA121" s="467"/>
      <c r="AB121" s="467"/>
      <c r="AC121" s="467"/>
      <c r="AD121" s="467"/>
      <c r="AE121" s="467"/>
      <c r="AF121" s="467"/>
      <c r="AG121" s="467"/>
    </row>
    <row r="122" spans="5:33" ht="15">
      <c r="E122" s="466"/>
      <c r="F122" s="466"/>
      <c r="G122" s="466"/>
      <c r="H122" s="466"/>
      <c r="I122" s="466"/>
      <c r="J122" s="466"/>
      <c r="K122" s="466"/>
      <c r="R122" s="467"/>
      <c r="S122" s="467"/>
      <c r="T122" s="467"/>
      <c r="U122" s="467"/>
      <c r="V122" s="467"/>
      <c r="W122" s="467"/>
      <c r="AA122" s="467"/>
      <c r="AB122" s="467"/>
      <c r="AC122" s="467"/>
      <c r="AD122" s="467"/>
      <c r="AE122" s="467"/>
      <c r="AF122" s="467"/>
      <c r="AG122" s="467"/>
    </row>
    <row r="123" spans="5:33" ht="15">
      <c r="E123" s="466"/>
      <c r="F123" s="466"/>
      <c r="G123" s="466"/>
      <c r="H123" s="466"/>
      <c r="I123" s="466"/>
      <c r="J123" s="466"/>
      <c r="K123" s="466"/>
      <c r="R123" s="467"/>
      <c r="S123" s="467"/>
      <c r="T123" s="467"/>
      <c r="U123" s="467"/>
      <c r="V123" s="467"/>
      <c r="W123" s="467"/>
      <c r="AA123" s="467"/>
      <c r="AB123" s="467"/>
      <c r="AC123" s="467"/>
      <c r="AD123" s="467"/>
      <c r="AE123" s="467"/>
      <c r="AF123" s="467"/>
      <c r="AG123" s="467"/>
    </row>
    <row r="124" spans="5:33" ht="15">
      <c r="E124" s="466"/>
      <c r="F124" s="466"/>
      <c r="G124" s="466"/>
      <c r="H124" s="466"/>
      <c r="I124" s="466"/>
      <c r="J124" s="466"/>
      <c r="K124" s="466"/>
      <c r="R124" s="467"/>
      <c r="S124" s="467"/>
      <c r="T124" s="467"/>
      <c r="U124" s="467"/>
      <c r="V124" s="467"/>
      <c r="W124" s="467"/>
      <c r="AA124" s="467"/>
      <c r="AB124" s="467"/>
      <c r="AC124" s="467"/>
      <c r="AD124" s="467"/>
      <c r="AE124" s="467"/>
      <c r="AF124" s="467"/>
      <c r="AG124" s="467"/>
    </row>
    <row r="125" spans="5:33" ht="15">
      <c r="E125" s="466"/>
      <c r="F125" s="466"/>
      <c r="G125" s="466"/>
      <c r="H125" s="466"/>
      <c r="I125" s="466"/>
      <c r="J125" s="466"/>
      <c r="K125" s="466"/>
      <c r="R125" s="467"/>
      <c r="S125" s="467"/>
      <c r="T125" s="467"/>
      <c r="U125" s="467"/>
      <c r="V125" s="467"/>
      <c r="W125" s="467"/>
      <c r="AA125" s="467"/>
      <c r="AB125" s="467"/>
      <c r="AC125" s="467"/>
      <c r="AD125" s="467"/>
      <c r="AE125" s="467"/>
      <c r="AF125" s="467"/>
      <c r="AG125" s="467"/>
    </row>
    <row r="126" spans="5:33" ht="15">
      <c r="E126" s="466"/>
      <c r="F126" s="466"/>
      <c r="G126" s="466"/>
      <c r="H126" s="466"/>
      <c r="I126" s="466"/>
      <c r="J126" s="466"/>
      <c r="K126" s="466"/>
      <c r="R126" s="467"/>
      <c r="S126" s="467"/>
      <c r="T126" s="467"/>
      <c r="U126" s="467"/>
      <c r="V126" s="467"/>
      <c r="W126" s="467"/>
      <c r="AA126" s="467"/>
      <c r="AB126" s="467"/>
      <c r="AC126" s="467"/>
      <c r="AD126" s="467"/>
      <c r="AE126" s="467"/>
      <c r="AF126" s="467"/>
      <c r="AG126" s="467"/>
    </row>
    <row r="127" spans="5:33" ht="15">
      <c r="E127" s="466"/>
      <c r="F127" s="466"/>
      <c r="G127" s="466"/>
      <c r="H127" s="466"/>
      <c r="I127" s="466"/>
      <c r="J127" s="466"/>
      <c r="K127" s="466"/>
      <c r="R127" s="467"/>
      <c r="S127" s="467"/>
      <c r="T127" s="467"/>
      <c r="U127" s="467"/>
      <c r="V127" s="467"/>
      <c r="W127" s="467"/>
      <c r="AA127" s="467"/>
      <c r="AB127" s="467"/>
      <c r="AC127" s="467"/>
      <c r="AD127" s="467"/>
      <c r="AE127" s="467"/>
      <c r="AF127" s="467"/>
      <c r="AG127" s="467"/>
    </row>
    <row r="128" spans="5:33" ht="15">
      <c r="E128" s="466"/>
      <c r="F128" s="466"/>
      <c r="G128" s="466"/>
      <c r="H128" s="466"/>
      <c r="I128" s="466"/>
      <c r="J128" s="466"/>
      <c r="K128" s="466"/>
      <c r="R128" s="467"/>
      <c r="S128" s="467"/>
      <c r="T128" s="467"/>
      <c r="U128" s="467"/>
      <c r="V128" s="467"/>
      <c r="W128" s="467"/>
      <c r="AA128" s="467"/>
      <c r="AB128" s="467"/>
      <c r="AC128" s="467"/>
      <c r="AD128" s="467"/>
      <c r="AE128" s="467"/>
      <c r="AF128" s="467"/>
      <c r="AG128" s="467"/>
    </row>
    <row r="129" spans="5:33" ht="15">
      <c r="E129" s="466"/>
      <c r="F129" s="466"/>
      <c r="G129" s="466"/>
      <c r="H129" s="466"/>
      <c r="I129" s="466"/>
      <c r="J129" s="466"/>
      <c r="K129" s="466"/>
      <c r="R129" s="467"/>
      <c r="S129" s="467"/>
      <c r="T129" s="467"/>
      <c r="U129" s="467"/>
      <c r="V129" s="467"/>
      <c r="W129" s="467"/>
      <c r="AA129" s="467"/>
      <c r="AB129" s="467"/>
      <c r="AC129" s="467"/>
      <c r="AD129" s="467"/>
      <c r="AE129" s="467"/>
      <c r="AF129" s="467"/>
      <c r="AG129" s="467"/>
    </row>
    <row r="130" spans="5:33" ht="15">
      <c r="E130" s="466"/>
      <c r="F130" s="466"/>
      <c r="G130" s="466"/>
      <c r="H130" s="466"/>
      <c r="I130" s="466"/>
      <c r="J130" s="466"/>
      <c r="K130" s="466"/>
      <c r="R130" s="467"/>
      <c r="S130" s="467"/>
      <c r="T130" s="467"/>
      <c r="U130" s="467"/>
      <c r="V130" s="467"/>
      <c r="W130" s="467"/>
      <c r="AA130" s="467"/>
      <c r="AB130" s="467"/>
      <c r="AC130" s="467"/>
      <c r="AD130" s="467"/>
      <c r="AE130" s="467"/>
      <c r="AF130" s="467"/>
      <c r="AG130" s="467"/>
    </row>
    <row r="131" spans="5:33" ht="15">
      <c r="E131" s="466"/>
      <c r="F131" s="466"/>
      <c r="G131" s="466"/>
      <c r="H131" s="466"/>
      <c r="I131" s="466"/>
      <c r="J131" s="466"/>
      <c r="K131" s="466"/>
      <c r="R131" s="467"/>
      <c r="S131" s="467"/>
      <c r="T131" s="467"/>
      <c r="U131" s="467"/>
      <c r="V131" s="467"/>
      <c r="W131" s="467"/>
      <c r="AA131" s="467"/>
      <c r="AB131" s="467"/>
      <c r="AC131" s="467"/>
      <c r="AD131" s="467"/>
      <c r="AE131" s="467"/>
      <c r="AF131" s="467"/>
      <c r="AG131" s="467"/>
    </row>
    <row r="132" spans="5:33" ht="15">
      <c r="E132" s="466"/>
      <c r="F132" s="466"/>
      <c r="G132" s="466"/>
      <c r="H132" s="466"/>
      <c r="I132" s="466"/>
      <c r="J132" s="466"/>
      <c r="K132" s="466"/>
      <c r="R132" s="467"/>
      <c r="S132" s="467"/>
      <c r="T132" s="467"/>
      <c r="U132" s="467"/>
      <c r="V132" s="467"/>
      <c r="W132" s="467"/>
      <c r="AA132" s="467"/>
      <c r="AB132" s="467"/>
      <c r="AC132" s="467"/>
      <c r="AD132" s="467"/>
      <c r="AE132" s="467"/>
      <c r="AF132" s="467"/>
      <c r="AG132" s="467"/>
    </row>
    <row r="133" spans="5:33" ht="15">
      <c r="E133" s="466"/>
      <c r="F133" s="466"/>
      <c r="G133" s="466"/>
      <c r="H133" s="466"/>
      <c r="I133" s="466"/>
      <c r="J133" s="466"/>
      <c r="K133" s="466"/>
      <c r="R133" s="467"/>
      <c r="S133" s="467"/>
      <c r="T133" s="467"/>
      <c r="U133" s="467"/>
      <c r="V133" s="467"/>
      <c r="W133" s="467"/>
      <c r="AA133" s="467"/>
      <c r="AB133" s="467"/>
      <c r="AC133" s="467"/>
      <c r="AD133" s="467"/>
      <c r="AE133" s="467"/>
      <c r="AF133" s="467"/>
      <c r="AG133" s="467"/>
    </row>
    <row r="134" spans="5:33" ht="15">
      <c r="E134" s="466"/>
      <c r="F134" s="466"/>
      <c r="G134" s="466"/>
      <c r="H134" s="466"/>
      <c r="I134" s="466"/>
      <c r="J134" s="466"/>
      <c r="K134" s="466"/>
      <c r="R134" s="467"/>
      <c r="S134" s="467"/>
      <c r="T134" s="467"/>
      <c r="U134" s="467"/>
      <c r="V134" s="467"/>
      <c r="W134" s="467"/>
      <c r="AA134" s="467"/>
      <c r="AB134" s="467"/>
      <c r="AC134" s="467"/>
      <c r="AD134" s="467"/>
      <c r="AE134" s="467"/>
      <c r="AF134" s="467"/>
      <c r="AG134" s="467"/>
    </row>
    <row r="135" spans="5:33" ht="15">
      <c r="E135" s="466"/>
      <c r="F135" s="466"/>
      <c r="G135" s="466"/>
      <c r="H135" s="466"/>
      <c r="I135" s="466"/>
      <c r="J135" s="466"/>
      <c r="K135" s="466"/>
      <c r="R135" s="467"/>
      <c r="S135" s="467"/>
      <c r="T135" s="467"/>
      <c r="U135" s="467"/>
      <c r="V135" s="467"/>
      <c r="W135" s="467"/>
      <c r="AA135" s="467"/>
      <c r="AB135" s="467"/>
      <c r="AC135" s="467"/>
      <c r="AD135" s="467"/>
      <c r="AE135" s="467"/>
      <c r="AF135" s="467"/>
      <c r="AG135" s="467"/>
    </row>
    <row r="136" spans="5:33" ht="15">
      <c r="E136" s="466"/>
      <c r="F136" s="466"/>
      <c r="G136" s="466"/>
      <c r="H136" s="466"/>
      <c r="I136" s="466"/>
      <c r="J136" s="466"/>
      <c r="K136" s="466"/>
      <c r="R136" s="467"/>
      <c r="S136" s="467"/>
      <c r="T136" s="467"/>
      <c r="U136" s="467"/>
      <c r="V136" s="467"/>
      <c r="W136" s="467"/>
      <c r="AA136" s="467"/>
      <c r="AB136" s="467"/>
      <c r="AC136" s="467"/>
      <c r="AD136" s="467"/>
      <c r="AE136" s="467"/>
      <c r="AF136" s="467"/>
      <c r="AG136" s="467"/>
    </row>
    <row r="137" spans="5:33" ht="15">
      <c r="E137" s="466"/>
      <c r="F137" s="466"/>
      <c r="G137" s="466"/>
      <c r="H137" s="466"/>
      <c r="I137" s="466"/>
      <c r="J137" s="466"/>
      <c r="K137" s="466"/>
      <c r="R137" s="467"/>
      <c r="S137" s="467"/>
      <c r="T137" s="467"/>
      <c r="U137" s="467"/>
      <c r="V137" s="467"/>
      <c r="W137" s="467"/>
      <c r="AA137" s="467"/>
      <c r="AB137" s="467"/>
      <c r="AC137" s="467"/>
      <c r="AD137" s="467"/>
      <c r="AE137" s="467"/>
      <c r="AF137" s="467"/>
      <c r="AG137" s="467"/>
    </row>
    <row r="138" spans="5:33" ht="15">
      <c r="E138" s="466"/>
      <c r="F138" s="466"/>
      <c r="G138" s="466"/>
      <c r="H138" s="466"/>
      <c r="I138" s="466"/>
      <c r="J138" s="466"/>
      <c r="K138" s="466"/>
      <c r="R138" s="467"/>
      <c r="S138" s="467"/>
      <c r="T138" s="467"/>
      <c r="U138" s="467"/>
      <c r="V138" s="467"/>
      <c r="W138" s="467"/>
      <c r="AA138" s="467"/>
      <c r="AB138" s="467"/>
      <c r="AC138" s="467"/>
      <c r="AD138" s="467"/>
      <c r="AE138" s="467"/>
      <c r="AF138" s="467"/>
      <c r="AG138" s="467"/>
    </row>
    <row r="139" spans="5:33" ht="15">
      <c r="E139" s="466"/>
      <c r="F139" s="466"/>
      <c r="G139" s="466"/>
      <c r="H139" s="466"/>
      <c r="I139" s="466"/>
      <c r="J139" s="466"/>
      <c r="K139" s="466"/>
      <c r="R139" s="467"/>
      <c r="S139" s="467"/>
      <c r="T139" s="467"/>
      <c r="U139" s="467"/>
      <c r="V139" s="467"/>
      <c r="W139" s="467"/>
      <c r="AA139" s="467"/>
      <c r="AB139" s="467"/>
      <c r="AC139" s="467"/>
      <c r="AD139" s="467"/>
      <c r="AE139" s="467"/>
      <c r="AF139" s="467"/>
      <c r="AG139" s="467"/>
    </row>
    <row r="140" spans="5:33" ht="15">
      <c r="E140" s="466"/>
      <c r="F140" s="466"/>
      <c r="G140" s="466"/>
      <c r="H140" s="466"/>
      <c r="I140" s="466"/>
      <c r="J140" s="466"/>
      <c r="K140" s="466"/>
      <c r="R140" s="467"/>
      <c r="S140" s="467"/>
      <c r="T140" s="467"/>
      <c r="U140" s="467"/>
      <c r="V140" s="467"/>
      <c r="W140" s="467"/>
      <c r="AA140" s="467"/>
      <c r="AB140" s="467"/>
      <c r="AC140" s="467"/>
      <c r="AD140" s="467"/>
      <c r="AE140" s="467"/>
      <c r="AF140" s="467"/>
      <c r="AG140" s="467"/>
    </row>
    <row r="141" spans="5:33" ht="15">
      <c r="E141" s="466"/>
      <c r="F141" s="466"/>
      <c r="G141" s="466"/>
      <c r="H141" s="466"/>
      <c r="I141" s="466"/>
      <c r="J141" s="466"/>
      <c r="K141" s="466"/>
      <c r="R141" s="467"/>
      <c r="S141" s="467"/>
      <c r="T141" s="467"/>
      <c r="U141" s="467"/>
      <c r="V141" s="467"/>
      <c r="W141" s="467"/>
      <c r="AA141" s="467"/>
      <c r="AB141" s="467"/>
      <c r="AC141" s="467"/>
      <c r="AD141" s="467"/>
      <c r="AE141" s="467"/>
      <c r="AF141" s="467"/>
      <c r="AG141" s="467"/>
    </row>
    <row r="142" spans="5:33" ht="15">
      <c r="E142" s="466"/>
      <c r="F142" s="466"/>
      <c r="G142" s="466"/>
      <c r="H142" s="466"/>
      <c r="I142" s="466"/>
      <c r="J142" s="466"/>
      <c r="K142" s="466"/>
      <c r="R142" s="467"/>
      <c r="S142" s="467"/>
      <c r="T142" s="467"/>
      <c r="U142" s="467"/>
      <c r="V142" s="467"/>
      <c r="W142" s="467"/>
      <c r="AA142" s="467"/>
      <c r="AB142" s="467"/>
      <c r="AC142" s="467"/>
      <c r="AD142" s="467"/>
      <c r="AE142" s="467"/>
      <c r="AF142" s="467"/>
      <c r="AG142" s="467"/>
    </row>
    <row r="143" spans="5:33" ht="15">
      <c r="E143" s="466"/>
      <c r="F143" s="466"/>
      <c r="G143" s="466"/>
      <c r="H143" s="466"/>
      <c r="I143" s="466"/>
      <c r="J143" s="466"/>
      <c r="K143" s="466"/>
      <c r="R143" s="467"/>
      <c r="S143" s="467"/>
      <c r="T143" s="467"/>
      <c r="U143" s="467"/>
      <c r="V143" s="467"/>
      <c r="W143" s="467"/>
      <c r="AA143" s="467"/>
      <c r="AB143" s="467"/>
      <c r="AC143" s="467"/>
      <c r="AD143" s="467"/>
      <c r="AE143" s="467"/>
      <c r="AF143" s="467"/>
      <c r="AG143" s="467"/>
    </row>
    <row r="144" spans="5:33" ht="15">
      <c r="E144" s="466"/>
      <c r="F144" s="466"/>
      <c r="G144" s="466"/>
      <c r="H144" s="466"/>
      <c r="I144" s="466"/>
      <c r="J144" s="466"/>
      <c r="K144" s="466"/>
      <c r="R144" s="467"/>
      <c r="S144" s="467"/>
      <c r="T144" s="467"/>
      <c r="U144" s="467"/>
      <c r="V144" s="467"/>
      <c r="W144" s="467"/>
      <c r="AA144" s="467"/>
      <c r="AB144" s="467"/>
      <c r="AC144" s="467"/>
      <c r="AD144" s="467"/>
      <c r="AE144" s="467"/>
      <c r="AF144" s="467"/>
      <c r="AG144" s="467"/>
    </row>
    <row r="145" spans="5:33" ht="15">
      <c r="E145" s="466"/>
      <c r="F145" s="466"/>
      <c r="G145" s="466"/>
      <c r="H145" s="466"/>
      <c r="I145" s="466"/>
      <c r="J145" s="466"/>
      <c r="K145" s="466"/>
      <c r="R145" s="467"/>
      <c r="S145" s="467"/>
      <c r="T145" s="467"/>
      <c r="U145" s="467"/>
      <c r="V145" s="467"/>
      <c r="W145" s="467"/>
      <c r="AA145" s="467"/>
      <c r="AB145" s="467"/>
      <c r="AC145" s="467"/>
      <c r="AD145" s="467"/>
      <c r="AE145" s="467"/>
      <c r="AF145" s="467"/>
      <c r="AG145" s="467"/>
    </row>
    <row r="146" spans="5:33" ht="15">
      <c r="E146" s="466"/>
      <c r="F146" s="466"/>
      <c r="G146" s="466"/>
      <c r="H146" s="466"/>
      <c r="I146" s="466"/>
      <c r="J146" s="466"/>
      <c r="K146" s="466"/>
      <c r="R146" s="467"/>
      <c r="S146" s="467"/>
      <c r="T146" s="467"/>
      <c r="U146" s="467"/>
      <c r="V146" s="467"/>
      <c r="W146" s="467"/>
      <c r="AA146" s="467"/>
      <c r="AB146" s="467"/>
      <c r="AC146" s="467"/>
      <c r="AD146" s="467"/>
      <c r="AE146" s="467"/>
      <c r="AF146" s="467"/>
      <c r="AG146" s="467"/>
    </row>
    <row r="147" spans="5:33" ht="15">
      <c r="E147" s="466"/>
      <c r="F147" s="466"/>
      <c r="G147" s="466"/>
      <c r="H147" s="466"/>
      <c r="I147" s="466"/>
      <c r="J147" s="466"/>
      <c r="K147" s="466"/>
      <c r="R147" s="467"/>
      <c r="S147" s="467"/>
      <c r="T147" s="467"/>
      <c r="U147" s="467"/>
      <c r="V147" s="467"/>
      <c r="W147" s="467"/>
      <c r="AA147" s="467"/>
      <c r="AB147" s="467"/>
      <c r="AC147" s="467"/>
      <c r="AD147" s="467"/>
      <c r="AE147" s="467"/>
      <c r="AF147" s="467"/>
      <c r="AG147" s="467"/>
    </row>
    <row r="148" spans="5:33" ht="15">
      <c r="E148" s="466"/>
      <c r="F148" s="466"/>
      <c r="G148" s="466"/>
      <c r="H148" s="466"/>
      <c r="I148" s="466"/>
      <c r="J148" s="466"/>
      <c r="K148" s="466"/>
      <c r="R148" s="467"/>
      <c r="S148" s="467"/>
      <c r="T148" s="467"/>
      <c r="U148" s="467"/>
      <c r="V148" s="467"/>
      <c r="W148" s="467"/>
      <c r="AA148" s="467"/>
      <c r="AB148" s="467"/>
      <c r="AC148" s="467"/>
      <c r="AD148" s="467"/>
      <c r="AE148" s="467"/>
      <c r="AF148" s="467"/>
      <c r="AG148" s="467"/>
    </row>
    <row r="149" spans="5:33" ht="15">
      <c r="E149" s="466"/>
      <c r="F149" s="466"/>
      <c r="G149" s="466"/>
      <c r="H149" s="466"/>
      <c r="I149" s="466"/>
      <c r="J149" s="466"/>
      <c r="K149" s="466"/>
      <c r="R149" s="467"/>
      <c r="S149" s="467"/>
      <c r="T149" s="467"/>
      <c r="U149" s="467"/>
      <c r="V149" s="467"/>
      <c r="W149" s="467"/>
      <c r="AA149" s="467"/>
      <c r="AB149" s="467"/>
      <c r="AC149" s="467"/>
      <c r="AD149" s="467"/>
      <c r="AE149" s="467"/>
      <c r="AF149" s="467"/>
      <c r="AG149" s="467"/>
    </row>
    <row r="150" spans="5:33" ht="15">
      <c r="E150" s="466"/>
      <c r="F150" s="466"/>
      <c r="G150" s="466"/>
      <c r="H150" s="466"/>
      <c r="I150" s="466"/>
      <c r="J150" s="466"/>
      <c r="K150" s="466"/>
      <c r="R150" s="467"/>
      <c r="S150" s="467"/>
      <c r="T150" s="467"/>
      <c r="U150" s="467"/>
      <c r="V150" s="467"/>
      <c r="W150" s="467"/>
      <c r="AA150" s="467"/>
      <c r="AB150" s="467"/>
      <c r="AC150" s="467"/>
      <c r="AD150" s="467"/>
      <c r="AE150" s="467"/>
      <c r="AF150" s="467"/>
      <c r="AG150" s="467"/>
    </row>
    <row r="151" spans="5:33" ht="15">
      <c r="E151" s="466"/>
      <c r="F151" s="466"/>
      <c r="G151" s="466"/>
      <c r="H151" s="466"/>
      <c r="I151" s="466"/>
      <c r="J151" s="466"/>
      <c r="K151" s="466"/>
      <c r="R151" s="467"/>
      <c r="S151" s="467"/>
      <c r="T151" s="467"/>
      <c r="U151" s="467"/>
      <c r="V151" s="467"/>
      <c r="W151" s="467"/>
      <c r="AA151" s="467"/>
      <c r="AB151" s="467"/>
      <c r="AC151" s="467"/>
      <c r="AD151" s="467"/>
      <c r="AE151" s="467"/>
      <c r="AF151" s="467"/>
      <c r="AG151" s="467"/>
    </row>
    <row r="152" spans="5:33" ht="15">
      <c r="E152" s="466"/>
      <c r="F152" s="466"/>
      <c r="G152" s="466"/>
      <c r="H152" s="466"/>
      <c r="I152" s="466"/>
      <c r="J152" s="466"/>
      <c r="K152" s="466"/>
      <c r="R152" s="467"/>
      <c r="S152" s="467"/>
      <c r="T152" s="467"/>
      <c r="U152" s="467"/>
      <c r="V152" s="467"/>
      <c r="W152" s="467"/>
      <c r="AA152" s="467"/>
      <c r="AB152" s="467"/>
      <c r="AC152" s="467"/>
      <c r="AD152" s="467"/>
      <c r="AE152" s="467"/>
      <c r="AF152" s="467"/>
      <c r="AG152" s="467"/>
    </row>
    <row r="153" spans="5:33" ht="15">
      <c r="E153" s="466"/>
      <c r="F153" s="466"/>
      <c r="G153" s="466"/>
      <c r="H153" s="466"/>
      <c r="I153" s="466"/>
      <c r="J153" s="466"/>
      <c r="K153" s="466"/>
      <c r="R153" s="467"/>
      <c r="S153" s="467"/>
      <c r="T153" s="467"/>
      <c r="U153" s="467"/>
      <c r="V153" s="467"/>
      <c r="W153" s="467"/>
      <c r="AA153" s="467"/>
      <c r="AB153" s="467"/>
      <c r="AC153" s="467"/>
      <c r="AD153" s="467"/>
      <c r="AE153" s="467"/>
      <c r="AF153" s="467"/>
      <c r="AG153" s="467"/>
    </row>
    <row r="154" spans="5:33" ht="15">
      <c r="E154" s="466"/>
      <c r="F154" s="466"/>
      <c r="G154" s="466"/>
      <c r="H154" s="466"/>
      <c r="I154" s="466"/>
      <c r="J154" s="466"/>
      <c r="K154" s="466"/>
      <c r="R154" s="467"/>
      <c r="S154" s="467"/>
      <c r="T154" s="467"/>
      <c r="U154" s="467"/>
      <c r="V154" s="467"/>
      <c r="W154" s="467"/>
      <c r="AA154" s="467"/>
      <c r="AB154" s="467"/>
      <c r="AC154" s="467"/>
      <c r="AD154" s="467"/>
      <c r="AE154" s="467"/>
      <c r="AF154" s="467"/>
      <c r="AG154" s="467"/>
    </row>
    <row r="155" spans="5:33" ht="15">
      <c r="E155" s="466"/>
      <c r="F155" s="466"/>
      <c r="G155" s="466"/>
      <c r="H155" s="466"/>
      <c r="I155" s="466"/>
      <c r="J155" s="466"/>
      <c r="K155" s="466"/>
      <c r="R155" s="467"/>
      <c r="S155" s="467"/>
      <c r="T155" s="467"/>
      <c r="U155" s="467"/>
      <c r="V155" s="467"/>
      <c r="W155" s="467"/>
      <c r="AA155" s="467"/>
      <c r="AB155" s="467"/>
      <c r="AC155" s="467"/>
      <c r="AD155" s="467"/>
      <c r="AE155" s="467"/>
      <c r="AF155" s="467"/>
      <c r="AG155" s="467"/>
    </row>
    <row r="156" spans="5:33" ht="15">
      <c r="E156" s="466"/>
      <c r="F156" s="466"/>
      <c r="G156" s="466"/>
      <c r="H156" s="466"/>
      <c r="I156" s="466"/>
      <c r="J156" s="466"/>
      <c r="K156" s="466"/>
      <c r="R156" s="467"/>
      <c r="S156" s="467"/>
      <c r="T156" s="467"/>
      <c r="U156" s="467"/>
      <c r="V156" s="467"/>
      <c r="W156" s="467"/>
      <c r="AA156" s="467"/>
      <c r="AB156" s="467"/>
      <c r="AC156" s="467"/>
      <c r="AD156" s="467"/>
      <c r="AE156" s="467"/>
      <c r="AF156" s="467"/>
      <c r="AG156" s="467"/>
    </row>
    <row r="157" spans="5:33" ht="15">
      <c r="E157" s="466"/>
      <c r="F157" s="466"/>
      <c r="G157" s="466"/>
      <c r="H157" s="466"/>
      <c r="I157" s="466"/>
      <c r="J157" s="466"/>
      <c r="K157" s="466"/>
      <c r="R157" s="467"/>
      <c r="S157" s="467"/>
      <c r="T157" s="467"/>
      <c r="U157" s="467"/>
      <c r="V157" s="467"/>
      <c r="W157" s="467"/>
      <c r="AA157" s="467"/>
      <c r="AB157" s="467"/>
      <c r="AC157" s="467"/>
      <c r="AD157" s="467"/>
      <c r="AE157" s="467"/>
      <c r="AF157" s="467"/>
      <c r="AG157" s="467"/>
    </row>
    <row r="158" spans="5:33" ht="15">
      <c r="E158" s="466"/>
      <c r="F158" s="466"/>
      <c r="G158" s="466"/>
      <c r="H158" s="466"/>
      <c r="I158" s="466"/>
      <c r="J158" s="466"/>
      <c r="K158" s="466"/>
      <c r="R158" s="467"/>
      <c r="S158" s="467"/>
      <c r="T158" s="467"/>
      <c r="U158" s="467"/>
      <c r="V158" s="467"/>
      <c r="W158" s="467"/>
      <c r="AA158" s="467"/>
      <c r="AB158" s="467"/>
      <c r="AC158" s="467"/>
      <c r="AD158" s="467"/>
      <c r="AE158" s="467"/>
      <c r="AF158" s="467"/>
      <c r="AG158" s="467"/>
    </row>
    <row r="159" spans="5:33" ht="15">
      <c r="E159" s="466"/>
      <c r="F159" s="466"/>
      <c r="G159" s="466"/>
      <c r="H159" s="466"/>
      <c r="I159" s="466"/>
      <c r="J159" s="466"/>
      <c r="K159" s="466"/>
      <c r="R159" s="467"/>
      <c r="S159" s="467"/>
      <c r="T159" s="467"/>
      <c r="U159" s="467"/>
      <c r="V159" s="467"/>
      <c r="W159" s="467"/>
      <c r="AA159" s="467"/>
      <c r="AB159" s="467"/>
      <c r="AC159" s="467"/>
      <c r="AD159" s="467"/>
      <c r="AE159" s="467"/>
      <c r="AF159" s="467"/>
      <c r="AG159" s="467"/>
    </row>
    <row r="160" spans="5:33" ht="15">
      <c r="E160" s="466"/>
      <c r="F160" s="466"/>
      <c r="G160" s="466"/>
      <c r="H160" s="466"/>
      <c r="I160" s="466"/>
      <c r="J160" s="466"/>
      <c r="K160" s="466"/>
      <c r="R160" s="467"/>
      <c r="S160" s="467"/>
      <c r="T160" s="467"/>
      <c r="U160" s="467"/>
      <c r="V160" s="467"/>
      <c r="W160" s="467"/>
      <c r="AA160" s="467"/>
      <c r="AB160" s="467"/>
      <c r="AC160" s="467"/>
      <c r="AD160" s="467"/>
      <c r="AE160" s="467"/>
      <c r="AF160" s="467"/>
      <c r="AG160" s="467"/>
    </row>
    <row r="161" spans="5:33" ht="15">
      <c r="E161" s="466"/>
      <c r="F161" s="466"/>
      <c r="G161" s="466"/>
      <c r="H161" s="466"/>
      <c r="I161" s="466"/>
      <c r="J161" s="466"/>
      <c r="K161" s="466"/>
      <c r="R161" s="467"/>
      <c r="S161" s="467"/>
      <c r="T161" s="467"/>
      <c r="U161" s="467"/>
      <c r="V161" s="467"/>
      <c r="W161" s="467"/>
      <c r="AA161" s="467"/>
      <c r="AB161" s="467"/>
      <c r="AC161" s="467"/>
      <c r="AD161" s="467"/>
      <c r="AE161" s="467"/>
      <c r="AF161" s="467"/>
      <c r="AG161" s="467"/>
    </row>
    <row r="162" spans="5:33" ht="15">
      <c r="E162" s="466"/>
      <c r="F162" s="466"/>
      <c r="G162" s="466"/>
      <c r="H162" s="466"/>
      <c r="I162" s="466"/>
      <c r="J162" s="466"/>
      <c r="K162" s="466"/>
      <c r="R162" s="467"/>
      <c r="S162" s="467"/>
      <c r="T162" s="467"/>
      <c r="U162" s="467"/>
      <c r="V162" s="467"/>
      <c r="W162" s="467"/>
      <c r="AA162" s="467"/>
      <c r="AB162" s="467"/>
      <c r="AC162" s="467"/>
      <c r="AD162" s="467"/>
      <c r="AE162" s="467"/>
      <c r="AF162" s="467"/>
      <c r="AG162" s="467"/>
    </row>
    <row r="163" spans="5:33" ht="15">
      <c r="E163" s="466"/>
      <c r="F163" s="466"/>
      <c r="G163" s="466"/>
      <c r="H163" s="466"/>
      <c r="I163" s="466"/>
      <c r="J163" s="466"/>
      <c r="K163" s="466"/>
      <c r="R163" s="467"/>
      <c r="S163" s="467"/>
      <c r="T163" s="467"/>
      <c r="U163" s="467"/>
      <c r="V163" s="467"/>
      <c r="W163" s="467"/>
      <c r="AA163" s="467"/>
      <c r="AB163" s="467"/>
      <c r="AC163" s="467"/>
      <c r="AD163" s="467"/>
      <c r="AE163" s="467"/>
      <c r="AF163" s="467"/>
      <c r="AG163" s="467"/>
    </row>
    <row r="164" spans="5:33" ht="15">
      <c r="E164" s="466"/>
      <c r="F164" s="466"/>
      <c r="G164" s="466"/>
      <c r="H164" s="466"/>
      <c r="I164" s="466"/>
      <c r="J164" s="466"/>
      <c r="K164" s="466"/>
      <c r="R164" s="467"/>
      <c r="S164" s="467"/>
      <c r="T164" s="467"/>
      <c r="U164" s="467"/>
      <c r="V164" s="467"/>
      <c r="W164" s="467"/>
      <c r="AA164" s="467"/>
      <c r="AB164" s="467"/>
      <c r="AC164" s="467"/>
      <c r="AD164" s="467"/>
      <c r="AE164" s="467"/>
      <c r="AF164" s="467"/>
      <c r="AG164" s="467"/>
    </row>
    <row r="165" spans="5:33" ht="15">
      <c r="E165" s="466"/>
      <c r="F165" s="466"/>
      <c r="G165" s="466"/>
      <c r="H165" s="466"/>
      <c r="I165" s="466"/>
      <c r="J165" s="466"/>
      <c r="K165" s="466"/>
      <c r="R165" s="467"/>
      <c r="S165" s="467"/>
      <c r="T165" s="467"/>
      <c r="U165" s="467"/>
      <c r="V165" s="467"/>
      <c r="W165" s="467"/>
      <c r="AA165" s="467"/>
      <c r="AB165" s="467"/>
      <c r="AC165" s="467"/>
      <c r="AD165" s="467"/>
      <c r="AE165" s="467"/>
      <c r="AF165" s="467"/>
      <c r="AG165" s="467"/>
    </row>
    <row r="166" spans="5:33" ht="15">
      <c r="E166" s="466"/>
      <c r="F166" s="466"/>
      <c r="G166" s="466"/>
      <c r="H166" s="466"/>
      <c r="I166" s="466"/>
      <c r="J166" s="466"/>
      <c r="K166" s="466"/>
      <c r="R166" s="467"/>
      <c r="S166" s="467"/>
      <c r="T166" s="467"/>
      <c r="U166" s="467"/>
      <c r="V166" s="467"/>
      <c r="W166" s="467"/>
      <c r="AA166" s="467"/>
      <c r="AB166" s="467"/>
      <c r="AC166" s="467"/>
      <c r="AD166" s="467"/>
      <c r="AE166" s="467"/>
      <c r="AF166" s="467"/>
      <c r="AG166" s="467"/>
    </row>
    <row r="167" spans="5:33" ht="15">
      <c r="E167" s="466"/>
      <c r="F167" s="466"/>
      <c r="G167" s="466"/>
      <c r="H167" s="466"/>
      <c r="I167" s="466"/>
      <c r="J167" s="466"/>
      <c r="K167" s="466"/>
      <c r="R167" s="467"/>
      <c r="S167" s="467"/>
      <c r="T167" s="467"/>
      <c r="U167" s="467"/>
      <c r="V167" s="467"/>
      <c r="W167" s="467"/>
      <c r="AA167" s="467"/>
      <c r="AB167" s="467"/>
      <c r="AC167" s="467"/>
      <c r="AD167" s="467"/>
      <c r="AE167" s="467"/>
      <c r="AF167" s="467"/>
      <c r="AG167" s="467"/>
    </row>
    <row r="168" spans="5:33" ht="15">
      <c r="E168" s="466"/>
      <c r="F168" s="466"/>
      <c r="G168" s="466"/>
      <c r="H168" s="466"/>
      <c r="I168" s="466"/>
      <c r="J168" s="466"/>
      <c r="K168" s="466"/>
      <c r="R168" s="467"/>
      <c r="S168" s="467"/>
      <c r="T168" s="467"/>
      <c r="U168" s="467"/>
      <c r="V168" s="467"/>
      <c r="W168" s="467"/>
      <c r="AA168" s="467"/>
      <c r="AB168" s="467"/>
      <c r="AC168" s="467"/>
      <c r="AD168" s="467"/>
      <c r="AE168" s="467"/>
      <c r="AF168" s="467"/>
      <c r="AG168" s="467"/>
    </row>
    <row r="169" spans="5:33" ht="15">
      <c r="E169" s="466"/>
      <c r="F169" s="466"/>
      <c r="G169" s="466"/>
      <c r="H169" s="466"/>
      <c r="I169" s="466"/>
      <c r="J169" s="466"/>
      <c r="K169" s="466"/>
      <c r="R169" s="467"/>
      <c r="S169" s="467"/>
      <c r="T169" s="467"/>
      <c r="U169" s="467"/>
      <c r="V169" s="467"/>
      <c r="W169" s="467"/>
      <c r="AA169" s="467"/>
      <c r="AB169" s="467"/>
      <c r="AC169" s="467"/>
      <c r="AD169" s="467"/>
      <c r="AE169" s="467"/>
      <c r="AF169" s="467"/>
      <c r="AG169" s="467"/>
    </row>
    <row r="170" spans="5:33" ht="15">
      <c r="E170" s="466"/>
      <c r="F170" s="466"/>
      <c r="G170" s="466"/>
      <c r="H170" s="466"/>
      <c r="I170" s="466"/>
      <c r="J170" s="466"/>
      <c r="K170" s="466"/>
      <c r="R170" s="467"/>
      <c r="S170" s="467"/>
      <c r="T170" s="467"/>
      <c r="U170" s="467"/>
      <c r="V170" s="467"/>
      <c r="W170" s="467"/>
      <c r="AA170" s="467"/>
      <c r="AB170" s="467"/>
      <c r="AC170" s="467"/>
      <c r="AD170" s="467"/>
      <c r="AE170" s="467"/>
      <c r="AF170" s="467"/>
      <c r="AG170" s="467"/>
    </row>
    <row r="171" spans="5:33" ht="15">
      <c r="E171" s="466"/>
      <c r="F171" s="466"/>
      <c r="G171" s="466"/>
      <c r="H171" s="466"/>
      <c r="I171" s="466"/>
      <c r="J171" s="466"/>
      <c r="K171" s="466"/>
      <c r="R171" s="467"/>
      <c r="S171" s="467"/>
      <c r="T171" s="467"/>
      <c r="U171" s="467"/>
      <c r="V171" s="467"/>
      <c r="W171" s="467"/>
      <c r="AA171" s="467"/>
      <c r="AB171" s="467"/>
      <c r="AC171" s="467"/>
      <c r="AD171" s="467"/>
      <c r="AE171" s="467"/>
      <c r="AF171" s="467"/>
      <c r="AG171" s="467"/>
    </row>
    <row r="172" spans="5:33" ht="15">
      <c r="E172" s="466"/>
      <c r="F172" s="466"/>
      <c r="G172" s="466"/>
      <c r="H172" s="466"/>
      <c r="I172" s="466"/>
      <c r="J172" s="466"/>
      <c r="K172" s="466"/>
      <c r="R172" s="467"/>
      <c r="S172" s="467"/>
      <c r="T172" s="467"/>
      <c r="U172" s="467"/>
      <c r="V172" s="467"/>
      <c r="W172" s="467"/>
      <c r="AA172" s="467"/>
      <c r="AB172" s="467"/>
      <c r="AC172" s="467"/>
      <c r="AD172" s="467"/>
      <c r="AE172" s="467"/>
      <c r="AF172" s="467"/>
      <c r="AG172" s="467"/>
    </row>
    <row r="173" spans="5:33" ht="15">
      <c r="E173" s="466"/>
      <c r="F173" s="466"/>
      <c r="G173" s="466"/>
      <c r="H173" s="466"/>
      <c r="I173" s="466"/>
      <c r="J173" s="466"/>
      <c r="K173" s="466"/>
      <c r="R173" s="467"/>
      <c r="S173" s="467"/>
      <c r="T173" s="467"/>
      <c r="U173" s="467"/>
      <c r="V173" s="467"/>
      <c r="W173" s="467"/>
      <c r="AA173" s="467"/>
      <c r="AB173" s="467"/>
      <c r="AC173" s="467"/>
      <c r="AD173" s="467"/>
      <c r="AE173" s="467"/>
      <c r="AF173" s="467"/>
      <c r="AG173" s="467"/>
    </row>
    <row r="174" spans="5:33" ht="15">
      <c r="E174" s="466"/>
      <c r="F174" s="466"/>
      <c r="G174" s="466"/>
      <c r="H174" s="466"/>
      <c r="I174" s="466"/>
      <c r="J174" s="466"/>
      <c r="K174" s="466"/>
      <c r="R174" s="467"/>
      <c r="S174" s="467"/>
      <c r="T174" s="467"/>
      <c r="U174" s="467"/>
      <c r="V174" s="467"/>
      <c r="W174" s="467"/>
      <c r="AA174" s="467"/>
      <c r="AB174" s="467"/>
      <c r="AC174" s="467"/>
      <c r="AD174" s="467"/>
      <c r="AE174" s="467"/>
      <c r="AF174" s="467"/>
      <c r="AG174" s="467"/>
    </row>
    <row r="175" spans="5:33" ht="15">
      <c r="E175" s="466"/>
      <c r="F175" s="466"/>
      <c r="G175" s="466"/>
      <c r="H175" s="466"/>
      <c r="I175" s="466"/>
      <c r="J175" s="466"/>
      <c r="K175" s="466"/>
      <c r="R175" s="467"/>
      <c r="S175" s="467"/>
      <c r="T175" s="467"/>
      <c r="U175" s="467"/>
      <c r="V175" s="467"/>
      <c r="W175" s="467"/>
      <c r="AA175" s="467"/>
      <c r="AB175" s="467"/>
      <c r="AC175" s="467"/>
      <c r="AD175" s="467"/>
      <c r="AE175" s="467"/>
      <c r="AF175" s="467"/>
      <c r="AG175" s="467"/>
    </row>
    <row r="176" spans="5:33" ht="15">
      <c r="E176" s="466"/>
      <c r="F176" s="466"/>
      <c r="G176" s="466"/>
      <c r="H176" s="466"/>
      <c r="I176" s="466"/>
      <c r="J176" s="466"/>
      <c r="K176" s="466"/>
      <c r="R176" s="467"/>
      <c r="S176" s="467"/>
      <c r="T176" s="467"/>
      <c r="U176" s="467"/>
      <c r="V176" s="467"/>
      <c r="W176" s="467"/>
      <c r="AA176" s="467"/>
      <c r="AB176" s="467"/>
      <c r="AC176" s="467"/>
      <c r="AD176" s="467"/>
      <c r="AE176" s="467"/>
      <c r="AF176" s="467"/>
      <c r="AG176" s="467"/>
    </row>
    <row r="177" spans="5:33" ht="15">
      <c r="E177" s="466"/>
      <c r="F177" s="466"/>
      <c r="G177" s="466"/>
      <c r="H177" s="466"/>
      <c r="I177" s="466"/>
      <c r="J177" s="466"/>
      <c r="K177" s="466"/>
      <c r="R177" s="467"/>
      <c r="S177" s="467"/>
      <c r="T177" s="467"/>
      <c r="U177" s="467"/>
      <c r="V177" s="467"/>
      <c r="W177" s="467"/>
      <c r="AA177" s="467"/>
      <c r="AB177" s="467"/>
      <c r="AC177" s="467"/>
      <c r="AD177" s="467"/>
      <c r="AE177" s="467"/>
      <c r="AF177" s="467"/>
      <c r="AG177" s="467"/>
    </row>
    <row r="178" spans="5:33" ht="15">
      <c r="E178" s="466"/>
      <c r="F178" s="466"/>
      <c r="G178" s="466"/>
      <c r="H178" s="466"/>
      <c r="I178" s="466"/>
      <c r="J178" s="466"/>
      <c r="K178" s="466"/>
      <c r="R178" s="467"/>
      <c r="S178" s="467"/>
      <c r="T178" s="467"/>
      <c r="U178" s="467"/>
      <c r="V178" s="467"/>
      <c r="W178" s="467"/>
      <c r="AA178" s="467"/>
      <c r="AB178" s="467"/>
      <c r="AC178" s="467"/>
      <c r="AD178" s="467"/>
      <c r="AE178" s="467"/>
      <c r="AF178" s="467"/>
      <c r="AG178" s="467"/>
    </row>
    <row r="179" spans="5:33" ht="15">
      <c r="E179" s="466"/>
      <c r="F179" s="466"/>
      <c r="G179" s="466"/>
      <c r="H179" s="466"/>
      <c r="I179" s="466"/>
      <c r="J179" s="466"/>
      <c r="K179" s="466"/>
      <c r="R179" s="467"/>
      <c r="S179" s="467"/>
      <c r="T179" s="467"/>
      <c r="U179" s="467"/>
      <c r="V179" s="467"/>
      <c r="W179" s="467"/>
      <c r="AA179" s="467"/>
      <c r="AB179" s="467"/>
      <c r="AC179" s="467"/>
      <c r="AD179" s="467"/>
      <c r="AE179" s="467"/>
      <c r="AF179" s="467"/>
      <c r="AG179" s="467"/>
    </row>
    <row r="180" spans="5:33" ht="15">
      <c r="E180" s="466"/>
      <c r="F180" s="466"/>
      <c r="G180" s="466"/>
      <c r="H180" s="466"/>
      <c r="I180" s="466"/>
      <c r="J180" s="466"/>
      <c r="K180" s="466"/>
      <c r="R180" s="467"/>
      <c r="S180" s="467"/>
      <c r="T180" s="467"/>
      <c r="U180" s="467"/>
      <c r="V180" s="467"/>
      <c r="W180" s="467"/>
      <c r="AA180" s="467"/>
      <c r="AB180" s="467"/>
      <c r="AC180" s="467"/>
      <c r="AD180" s="467"/>
      <c r="AE180" s="467"/>
      <c r="AF180" s="467"/>
      <c r="AG180" s="467"/>
    </row>
    <row r="181" spans="5:33" ht="15">
      <c r="E181" s="466"/>
      <c r="F181" s="466"/>
      <c r="G181" s="466"/>
      <c r="H181" s="466"/>
      <c r="I181" s="466"/>
      <c r="J181" s="466"/>
      <c r="K181" s="466"/>
      <c r="R181" s="467"/>
      <c r="S181" s="467"/>
      <c r="T181" s="467"/>
      <c r="U181" s="467"/>
      <c r="V181" s="467"/>
      <c r="W181" s="467"/>
      <c r="AA181" s="467"/>
      <c r="AB181" s="467"/>
      <c r="AC181" s="467"/>
      <c r="AD181" s="467"/>
      <c r="AE181" s="467"/>
      <c r="AF181" s="467"/>
      <c r="AG181" s="467"/>
    </row>
    <row r="182" spans="5:33" ht="15">
      <c r="E182" s="466"/>
      <c r="F182" s="466"/>
      <c r="G182" s="466"/>
      <c r="H182" s="466"/>
      <c r="I182" s="466"/>
      <c r="J182" s="466"/>
      <c r="K182" s="466"/>
      <c r="R182" s="467"/>
      <c r="S182" s="467"/>
      <c r="T182" s="467"/>
      <c r="U182" s="467"/>
      <c r="V182" s="467"/>
      <c r="W182" s="467"/>
      <c r="AA182" s="467"/>
      <c r="AB182" s="467"/>
      <c r="AC182" s="467"/>
      <c r="AD182" s="467"/>
      <c r="AE182" s="467"/>
      <c r="AF182" s="467"/>
      <c r="AG182" s="467"/>
    </row>
    <row r="183" spans="5:33" ht="15">
      <c r="E183" s="466"/>
      <c r="F183" s="466"/>
      <c r="G183" s="466"/>
      <c r="H183" s="466"/>
      <c r="I183" s="466"/>
      <c r="J183" s="466"/>
      <c r="K183" s="466"/>
      <c r="R183" s="467"/>
      <c r="S183" s="467"/>
      <c r="T183" s="467"/>
      <c r="U183" s="467"/>
      <c r="V183" s="467"/>
      <c r="W183" s="467"/>
      <c r="AA183" s="467"/>
      <c r="AB183" s="467"/>
      <c r="AC183" s="467"/>
      <c r="AD183" s="467"/>
      <c r="AE183" s="467"/>
      <c r="AF183" s="467"/>
      <c r="AG183" s="467"/>
    </row>
    <row r="184" spans="5:33" ht="15">
      <c r="E184" s="466"/>
      <c r="F184" s="466"/>
      <c r="G184" s="466"/>
      <c r="H184" s="466"/>
      <c r="I184" s="466"/>
      <c r="J184" s="466"/>
      <c r="K184" s="466"/>
      <c r="R184" s="467"/>
      <c r="S184" s="467"/>
      <c r="T184" s="467"/>
      <c r="U184" s="467"/>
      <c r="V184" s="467"/>
      <c r="W184" s="467"/>
      <c r="AA184" s="467"/>
      <c r="AB184" s="467"/>
      <c r="AC184" s="467"/>
      <c r="AD184" s="467"/>
      <c r="AE184" s="467"/>
      <c r="AF184" s="467"/>
      <c r="AG184" s="467"/>
    </row>
    <row r="185" spans="5:33" ht="15">
      <c r="E185" s="466"/>
      <c r="F185" s="466"/>
      <c r="G185" s="466"/>
      <c r="H185" s="466"/>
      <c r="I185" s="466"/>
      <c r="J185" s="466"/>
      <c r="K185" s="466"/>
      <c r="R185" s="467"/>
      <c r="S185" s="467"/>
      <c r="T185" s="467"/>
      <c r="U185" s="467"/>
      <c r="V185" s="467"/>
      <c r="W185" s="467"/>
      <c r="AA185" s="467"/>
      <c r="AB185" s="467"/>
      <c r="AC185" s="467"/>
      <c r="AD185" s="467"/>
      <c r="AE185" s="467"/>
      <c r="AF185" s="467"/>
      <c r="AG185" s="467"/>
    </row>
    <row r="186" spans="5:33" ht="15">
      <c r="E186" s="466"/>
      <c r="F186" s="466"/>
      <c r="G186" s="466"/>
      <c r="H186" s="466"/>
      <c r="I186" s="466"/>
      <c r="J186" s="466"/>
      <c r="K186" s="466"/>
      <c r="R186" s="467"/>
      <c r="S186" s="467"/>
      <c r="T186" s="467"/>
      <c r="U186" s="467"/>
      <c r="V186" s="467"/>
      <c r="W186" s="467"/>
      <c r="AA186" s="467"/>
      <c r="AB186" s="467"/>
      <c r="AC186" s="467"/>
      <c r="AD186" s="467"/>
      <c r="AE186" s="467"/>
      <c r="AF186" s="467"/>
      <c r="AG186" s="467"/>
    </row>
    <row r="187" spans="5:33" ht="15">
      <c r="E187" s="466"/>
      <c r="F187" s="466"/>
      <c r="G187" s="466"/>
      <c r="H187" s="466"/>
      <c r="I187" s="466"/>
      <c r="J187" s="466"/>
      <c r="K187" s="466"/>
      <c r="R187" s="467"/>
      <c r="S187" s="467"/>
      <c r="T187" s="467"/>
      <c r="U187" s="467"/>
      <c r="V187" s="467"/>
      <c r="W187" s="467"/>
      <c r="AA187" s="467"/>
      <c r="AB187" s="467"/>
      <c r="AC187" s="467"/>
      <c r="AD187" s="467"/>
      <c r="AE187" s="467"/>
      <c r="AF187" s="467"/>
      <c r="AG187" s="467"/>
    </row>
    <row r="188" spans="5:33" ht="15">
      <c r="E188" s="466"/>
      <c r="F188" s="466"/>
      <c r="G188" s="466"/>
      <c r="H188" s="466"/>
      <c r="I188" s="466"/>
      <c r="J188" s="466"/>
      <c r="K188" s="466"/>
      <c r="R188" s="467"/>
      <c r="S188" s="467"/>
      <c r="T188" s="467"/>
      <c r="U188" s="467"/>
      <c r="V188" s="467"/>
      <c r="W188" s="467"/>
      <c r="AA188" s="467"/>
      <c r="AB188" s="467"/>
      <c r="AC188" s="467"/>
      <c r="AD188" s="467"/>
      <c r="AE188" s="467"/>
      <c r="AF188" s="467"/>
      <c r="AG188" s="467"/>
    </row>
    <row r="189" spans="5:33" ht="15">
      <c r="E189" s="466"/>
      <c r="F189" s="466"/>
      <c r="G189" s="466"/>
      <c r="H189" s="466"/>
      <c r="I189" s="466"/>
      <c r="J189" s="466"/>
      <c r="K189" s="466"/>
      <c r="R189" s="467"/>
      <c r="S189" s="467"/>
      <c r="T189" s="467"/>
      <c r="U189" s="467"/>
      <c r="V189" s="467"/>
      <c r="W189" s="467"/>
      <c r="AA189" s="467"/>
      <c r="AB189" s="467"/>
      <c r="AC189" s="467"/>
      <c r="AD189" s="467"/>
      <c r="AE189" s="467"/>
      <c r="AF189" s="467"/>
      <c r="AG189" s="467"/>
    </row>
    <row r="190" spans="5:33" ht="15">
      <c r="E190" s="466"/>
      <c r="F190" s="466"/>
      <c r="G190" s="466"/>
      <c r="H190" s="466"/>
      <c r="I190" s="466"/>
      <c r="J190" s="466"/>
      <c r="K190" s="466"/>
      <c r="R190" s="467"/>
      <c r="S190" s="467"/>
      <c r="T190" s="467"/>
      <c r="U190" s="467"/>
      <c r="V190" s="467"/>
      <c r="W190" s="467"/>
      <c r="AA190" s="467"/>
      <c r="AB190" s="467"/>
      <c r="AC190" s="467"/>
      <c r="AD190" s="467"/>
      <c r="AE190" s="467"/>
      <c r="AF190" s="467"/>
      <c r="AG190" s="467"/>
    </row>
    <row r="191" spans="5:33" ht="15">
      <c r="E191" s="466"/>
      <c r="F191" s="466"/>
      <c r="G191" s="466"/>
      <c r="H191" s="466"/>
      <c r="I191" s="466"/>
      <c r="J191" s="466"/>
      <c r="K191" s="466"/>
      <c r="R191" s="467"/>
      <c r="S191" s="467"/>
      <c r="T191" s="467"/>
      <c r="U191" s="467"/>
      <c r="V191" s="467"/>
      <c r="W191" s="467"/>
      <c r="AA191" s="467"/>
      <c r="AB191" s="467"/>
      <c r="AC191" s="467"/>
      <c r="AD191" s="467"/>
      <c r="AE191" s="467"/>
      <c r="AF191" s="467"/>
      <c r="AG191" s="467"/>
    </row>
    <row r="192" spans="5:33" ht="15">
      <c r="E192" s="466"/>
      <c r="F192" s="466"/>
      <c r="G192" s="466"/>
      <c r="H192" s="466"/>
      <c r="I192" s="466"/>
      <c r="J192" s="466"/>
      <c r="K192" s="466"/>
      <c r="R192" s="467"/>
      <c r="S192" s="467"/>
      <c r="T192" s="467"/>
      <c r="U192" s="467"/>
      <c r="V192" s="467"/>
      <c r="W192" s="467"/>
      <c r="AA192" s="467"/>
      <c r="AB192" s="467"/>
      <c r="AC192" s="467"/>
      <c r="AD192" s="467"/>
      <c r="AE192" s="467"/>
      <c r="AF192" s="467"/>
      <c r="AG192" s="467"/>
    </row>
    <row r="193" spans="5:33" ht="15">
      <c r="E193" s="466"/>
      <c r="F193" s="466"/>
      <c r="G193" s="466"/>
      <c r="H193" s="466"/>
      <c r="I193" s="466"/>
      <c r="J193" s="466"/>
      <c r="K193" s="466"/>
      <c r="R193" s="467"/>
      <c r="S193" s="467"/>
      <c r="T193" s="467"/>
      <c r="U193" s="467"/>
      <c r="V193" s="467"/>
      <c r="W193" s="467"/>
      <c r="AA193" s="467"/>
      <c r="AB193" s="467"/>
      <c r="AC193" s="467"/>
      <c r="AD193" s="467"/>
      <c r="AE193" s="467"/>
      <c r="AF193" s="467"/>
      <c r="AG193" s="467"/>
    </row>
    <row r="194" spans="5:33" ht="15">
      <c r="E194" s="466"/>
      <c r="F194" s="466"/>
      <c r="G194" s="466"/>
      <c r="H194" s="466"/>
      <c r="I194" s="466"/>
      <c r="J194" s="466"/>
      <c r="K194" s="466"/>
      <c r="R194" s="467"/>
      <c r="S194" s="467"/>
      <c r="T194" s="467"/>
      <c r="U194" s="467"/>
      <c r="V194" s="467"/>
      <c r="W194" s="467"/>
      <c r="AA194" s="467"/>
      <c r="AB194" s="467"/>
      <c r="AC194" s="467"/>
      <c r="AD194" s="467"/>
      <c r="AE194" s="467"/>
      <c r="AF194" s="467"/>
      <c r="AG194" s="467"/>
    </row>
    <row r="195" spans="5:33" ht="15">
      <c r="E195" s="466"/>
      <c r="F195" s="466"/>
      <c r="G195" s="466"/>
      <c r="H195" s="466"/>
      <c r="I195" s="466"/>
      <c r="J195" s="466"/>
      <c r="K195" s="466"/>
      <c r="R195" s="467"/>
      <c r="S195" s="467"/>
      <c r="T195" s="467"/>
      <c r="U195" s="467"/>
      <c r="V195" s="467"/>
      <c r="W195" s="467"/>
      <c r="AA195" s="467"/>
      <c r="AB195" s="467"/>
      <c r="AC195" s="467"/>
      <c r="AD195" s="467"/>
      <c r="AE195" s="467"/>
      <c r="AF195" s="467"/>
      <c r="AG195" s="467"/>
    </row>
    <row r="196" spans="5:33" ht="15">
      <c r="E196" s="466"/>
      <c r="F196" s="466"/>
      <c r="G196" s="466"/>
      <c r="H196" s="466"/>
      <c r="I196" s="466"/>
      <c r="J196" s="466"/>
      <c r="K196" s="466"/>
      <c r="R196" s="467"/>
      <c r="S196" s="467"/>
      <c r="T196" s="467"/>
      <c r="U196" s="467"/>
      <c r="V196" s="467"/>
      <c r="W196" s="467"/>
      <c r="AA196" s="467"/>
      <c r="AB196" s="467"/>
      <c r="AC196" s="467"/>
      <c r="AD196" s="467"/>
      <c r="AE196" s="467"/>
      <c r="AF196" s="467"/>
      <c r="AG196" s="467"/>
    </row>
    <row r="197" spans="5:33" ht="15">
      <c r="E197" s="466"/>
      <c r="F197" s="466"/>
      <c r="G197" s="466"/>
      <c r="H197" s="466"/>
      <c r="I197" s="466"/>
      <c r="J197" s="466"/>
      <c r="K197" s="466"/>
      <c r="R197" s="467"/>
      <c r="S197" s="467"/>
      <c r="T197" s="467"/>
      <c r="U197" s="467"/>
      <c r="V197" s="467"/>
      <c r="W197" s="467"/>
      <c r="AA197" s="467"/>
      <c r="AB197" s="467"/>
      <c r="AC197" s="467"/>
      <c r="AD197" s="467"/>
      <c r="AE197" s="467"/>
      <c r="AF197" s="467"/>
      <c r="AG197" s="467"/>
    </row>
    <row r="198" spans="5:33" ht="15">
      <c r="E198" s="466"/>
      <c r="F198" s="466"/>
      <c r="G198" s="466"/>
      <c r="H198" s="466"/>
      <c r="I198" s="466"/>
      <c r="J198" s="466"/>
      <c r="K198" s="466"/>
      <c r="R198" s="467"/>
      <c r="S198" s="467"/>
      <c r="T198" s="467"/>
      <c r="U198" s="467"/>
      <c r="V198" s="467"/>
      <c r="W198" s="467"/>
      <c r="AA198" s="467"/>
      <c r="AB198" s="467"/>
      <c r="AC198" s="467"/>
      <c r="AD198" s="467"/>
      <c r="AE198" s="467"/>
      <c r="AF198" s="467"/>
      <c r="AG198" s="467"/>
    </row>
    <row r="199" spans="5:33" ht="15">
      <c r="E199" s="466"/>
      <c r="F199" s="466"/>
      <c r="G199" s="466"/>
      <c r="H199" s="466"/>
      <c r="I199" s="466"/>
      <c r="J199" s="466"/>
      <c r="K199" s="466"/>
      <c r="R199" s="467"/>
      <c r="S199" s="467"/>
      <c r="T199" s="467"/>
      <c r="U199" s="467"/>
      <c r="V199" s="467"/>
      <c r="W199" s="467"/>
      <c r="AA199" s="467"/>
      <c r="AB199" s="467"/>
      <c r="AC199" s="467"/>
      <c r="AD199" s="467"/>
      <c r="AE199" s="467"/>
      <c r="AF199" s="467"/>
      <c r="AG199" s="467"/>
    </row>
    <row r="200" spans="5:33" ht="15">
      <c r="E200" s="466"/>
      <c r="F200" s="466"/>
      <c r="G200" s="466"/>
      <c r="H200" s="466"/>
      <c r="I200" s="466"/>
      <c r="J200" s="466"/>
      <c r="K200" s="466"/>
      <c r="R200" s="467"/>
      <c r="S200" s="467"/>
      <c r="T200" s="467"/>
      <c r="U200" s="467"/>
      <c r="V200" s="467"/>
      <c r="W200" s="467"/>
      <c r="AA200" s="467"/>
      <c r="AB200" s="467"/>
      <c r="AC200" s="467"/>
      <c r="AD200" s="467"/>
      <c r="AE200" s="467"/>
      <c r="AF200" s="467"/>
      <c r="AG200" s="467"/>
    </row>
    <row r="201" spans="5:33" ht="15">
      <c r="E201" s="466"/>
      <c r="F201" s="466"/>
      <c r="G201" s="466"/>
      <c r="H201" s="466"/>
      <c r="I201" s="466"/>
      <c r="J201" s="466"/>
      <c r="K201" s="466"/>
      <c r="R201" s="467"/>
      <c r="S201" s="467"/>
      <c r="T201" s="467"/>
      <c r="U201" s="467"/>
      <c r="V201" s="467"/>
      <c r="W201" s="467"/>
      <c r="AA201" s="467"/>
      <c r="AB201" s="467"/>
      <c r="AC201" s="467"/>
      <c r="AD201" s="467"/>
      <c r="AE201" s="467"/>
      <c r="AF201" s="467"/>
      <c r="AG201" s="467"/>
    </row>
    <row r="202" spans="5:33" ht="15">
      <c r="E202" s="466"/>
      <c r="F202" s="466"/>
      <c r="G202" s="466"/>
      <c r="H202" s="466"/>
      <c r="I202" s="466"/>
      <c r="J202" s="466"/>
      <c r="K202" s="466"/>
      <c r="R202" s="467"/>
      <c r="S202" s="467"/>
      <c r="T202" s="467"/>
      <c r="U202" s="467"/>
      <c r="V202" s="467"/>
      <c r="W202" s="467"/>
      <c r="AA202" s="467"/>
      <c r="AB202" s="467"/>
      <c r="AC202" s="467"/>
      <c r="AD202" s="467"/>
      <c r="AE202" s="467"/>
      <c r="AF202" s="467"/>
      <c r="AG202" s="467"/>
    </row>
    <row r="203" spans="5:33" ht="15">
      <c r="E203" s="466"/>
      <c r="F203" s="466"/>
      <c r="G203" s="466"/>
      <c r="H203" s="466"/>
      <c r="I203" s="466"/>
      <c r="J203" s="466"/>
      <c r="K203" s="466"/>
      <c r="R203" s="467"/>
      <c r="S203" s="467"/>
      <c r="T203" s="467"/>
      <c r="U203" s="467"/>
      <c r="V203" s="467"/>
      <c r="W203" s="467"/>
      <c r="AA203" s="467"/>
      <c r="AB203" s="467"/>
      <c r="AC203" s="467"/>
      <c r="AD203" s="467"/>
      <c r="AE203" s="467"/>
      <c r="AF203" s="467"/>
      <c r="AG203" s="467"/>
    </row>
    <row r="204" spans="5:33" ht="15">
      <c r="E204" s="466"/>
      <c r="F204" s="466"/>
      <c r="G204" s="466"/>
      <c r="H204" s="466"/>
      <c r="I204" s="466"/>
      <c r="J204" s="466"/>
      <c r="K204" s="466"/>
      <c r="R204" s="467"/>
      <c r="S204" s="467"/>
      <c r="T204" s="467"/>
      <c r="U204" s="467"/>
      <c r="V204" s="467"/>
      <c r="W204" s="467"/>
      <c r="AA204" s="467"/>
      <c r="AB204" s="467"/>
      <c r="AC204" s="467"/>
      <c r="AD204" s="467"/>
      <c r="AE204" s="467"/>
      <c r="AF204" s="467"/>
      <c r="AG204" s="467"/>
    </row>
    <row r="205" spans="5:33" ht="15">
      <c r="E205" s="466"/>
      <c r="F205" s="466"/>
      <c r="G205" s="466"/>
      <c r="H205" s="466"/>
      <c r="I205" s="466"/>
      <c r="J205" s="466"/>
      <c r="K205" s="466"/>
      <c r="R205" s="467"/>
      <c r="S205" s="467"/>
      <c r="T205" s="467"/>
      <c r="U205" s="467"/>
      <c r="V205" s="467"/>
      <c r="W205" s="467"/>
      <c r="AA205" s="467"/>
      <c r="AB205" s="467"/>
      <c r="AC205" s="467"/>
      <c r="AD205" s="467"/>
      <c r="AE205" s="467"/>
      <c r="AF205" s="467"/>
      <c r="AG205" s="467"/>
    </row>
    <row r="206" spans="5:33" ht="15">
      <c r="E206" s="466"/>
      <c r="F206" s="466"/>
      <c r="G206" s="466"/>
      <c r="H206" s="466"/>
      <c r="I206" s="466"/>
      <c r="J206" s="466"/>
      <c r="K206" s="466"/>
      <c r="R206" s="467"/>
      <c r="S206" s="467"/>
      <c r="T206" s="467"/>
      <c r="U206" s="467"/>
      <c r="V206" s="467"/>
      <c r="W206" s="467"/>
      <c r="AA206" s="467"/>
      <c r="AB206" s="467"/>
      <c r="AC206" s="467"/>
      <c r="AD206" s="467"/>
      <c r="AE206" s="467"/>
      <c r="AF206" s="467"/>
      <c r="AG206" s="467"/>
    </row>
    <row r="207" spans="5:33" ht="15">
      <c r="E207" s="466"/>
      <c r="F207" s="466"/>
      <c r="G207" s="466"/>
      <c r="H207" s="466"/>
      <c r="I207" s="466"/>
      <c r="J207" s="466"/>
      <c r="K207" s="466"/>
      <c r="R207" s="467"/>
      <c r="S207" s="467"/>
      <c r="T207" s="467"/>
      <c r="U207" s="467"/>
      <c r="V207" s="467"/>
      <c r="W207" s="467"/>
      <c r="AA207" s="467"/>
      <c r="AB207" s="467"/>
      <c r="AC207" s="467"/>
      <c r="AD207" s="467"/>
      <c r="AE207" s="467"/>
      <c r="AF207" s="467"/>
      <c r="AG207" s="467"/>
    </row>
    <row r="208" spans="5:33" ht="15">
      <c r="E208" s="466"/>
      <c r="F208" s="466"/>
      <c r="G208" s="466"/>
      <c r="H208" s="466"/>
      <c r="I208" s="466"/>
      <c r="J208" s="466"/>
      <c r="K208" s="466"/>
      <c r="R208" s="467"/>
      <c r="S208" s="467"/>
      <c r="T208" s="467"/>
      <c r="U208" s="467"/>
      <c r="V208" s="467"/>
      <c r="W208" s="467"/>
      <c r="AA208" s="467"/>
      <c r="AB208" s="467"/>
      <c r="AC208" s="467"/>
      <c r="AD208" s="467"/>
      <c r="AE208" s="467"/>
      <c r="AF208" s="467"/>
      <c r="AG208" s="467"/>
    </row>
    <row r="209" spans="5:33" ht="15">
      <c r="E209" s="466"/>
      <c r="F209" s="466"/>
      <c r="G209" s="466"/>
      <c r="H209" s="466"/>
      <c r="I209" s="466"/>
      <c r="J209" s="466"/>
      <c r="K209" s="466"/>
      <c r="R209" s="467"/>
      <c r="S209" s="467"/>
      <c r="T209" s="467"/>
      <c r="U209" s="467"/>
      <c r="V209" s="467"/>
      <c r="W209" s="467"/>
      <c r="AA209" s="467"/>
      <c r="AB209" s="467"/>
      <c r="AC209" s="467"/>
      <c r="AD209" s="467"/>
      <c r="AE209" s="467"/>
      <c r="AF209" s="467"/>
      <c r="AG209" s="467"/>
    </row>
    <row r="210" spans="5:33" ht="15">
      <c r="E210" s="466"/>
      <c r="F210" s="466"/>
      <c r="G210" s="466"/>
      <c r="H210" s="466"/>
      <c r="I210" s="466"/>
      <c r="J210" s="466"/>
      <c r="K210" s="466"/>
      <c r="R210" s="467"/>
      <c r="S210" s="467"/>
      <c r="T210" s="467"/>
      <c r="U210" s="467"/>
      <c r="V210" s="467"/>
      <c r="W210" s="467"/>
      <c r="AA210" s="467"/>
      <c r="AB210" s="467"/>
      <c r="AC210" s="467"/>
      <c r="AD210" s="467"/>
      <c r="AE210" s="467"/>
      <c r="AF210" s="467"/>
      <c r="AG210" s="467"/>
    </row>
    <row r="211" spans="5:33" ht="15">
      <c r="E211" s="466"/>
      <c r="F211" s="466"/>
      <c r="G211" s="466"/>
      <c r="H211" s="466"/>
      <c r="I211" s="466"/>
      <c r="J211" s="466"/>
      <c r="K211" s="466"/>
      <c r="R211" s="467"/>
      <c r="S211" s="467"/>
      <c r="T211" s="467"/>
      <c r="U211" s="467"/>
      <c r="V211" s="467"/>
      <c r="W211" s="467"/>
      <c r="AA211" s="467"/>
      <c r="AB211" s="467"/>
      <c r="AC211" s="467"/>
      <c r="AD211" s="467"/>
      <c r="AE211" s="467"/>
      <c r="AF211" s="467"/>
      <c r="AG211" s="467"/>
    </row>
    <row r="212" spans="5:33" ht="15">
      <c r="E212" s="466"/>
      <c r="F212" s="466"/>
      <c r="G212" s="466"/>
      <c r="H212" s="466"/>
      <c r="I212" s="466"/>
      <c r="J212" s="466"/>
      <c r="K212" s="466"/>
      <c r="R212" s="467"/>
      <c r="S212" s="467"/>
      <c r="T212" s="467"/>
      <c r="U212" s="467"/>
      <c r="V212" s="467"/>
      <c r="W212" s="467"/>
      <c r="AA212" s="467"/>
      <c r="AB212" s="467"/>
      <c r="AC212" s="467"/>
      <c r="AD212" s="467"/>
      <c r="AE212" s="467"/>
      <c r="AF212" s="467"/>
      <c r="AG212" s="467"/>
    </row>
    <row r="213" spans="5:33" ht="15">
      <c r="E213" s="466"/>
      <c r="F213" s="466"/>
      <c r="G213" s="466"/>
      <c r="H213" s="466"/>
      <c r="I213" s="466"/>
      <c r="J213" s="466"/>
      <c r="K213" s="466"/>
      <c r="R213" s="467"/>
      <c r="S213" s="467"/>
      <c r="T213" s="467"/>
      <c r="U213" s="467"/>
      <c r="V213" s="467"/>
      <c r="W213" s="467"/>
      <c r="AA213" s="467"/>
      <c r="AB213" s="467"/>
      <c r="AC213" s="467"/>
      <c r="AD213" s="467"/>
      <c r="AE213" s="467"/>
      <c r="AF213" s="467"/>
      <c r="AG213" s="467"/>
    </row>
    <row r="214" spans="5:33" ht="15">
      <c r="E214" s="466"/>
      <c r="F214" s="466"/>
      <c r="G214" s="466"/>
      <c r="H214" s="466"/>
      <c r="I214" s="466"/>
      <c r="J214" s="466"/>
      <c r="K214" s="466"/>
      <c r="R214" s="467"/>
      <c r="S214" s="467"/>
      <c r="T214" s="467"/>
      <c r="U214" s="467"/>
      <c r="V214" s="467"/>
      <c r="W214" s="467"/>
      <c r="AA214" s="467"/>
      <c r="AB214" s="467"/>
      <c r="AC214" s="467"/>
      <c r="AD214" s="467"/>
      <c r="AE214" s="467"/>
      <c r="AF214" s="467"/>
      <c r="AG214" s="467"/>
    </row>
    <row r="215" spans="5:33" ht="15">
      <c r="E215" s="466"/>
      <c r="F215" s="466"/>
      <c r="G215" s="466"/>
      <c r="H215" s="466"/>
      <c r="I215" s="466"/>
      <c r="J215" s="466"/>
      <c r="K215" s="466"/>
      <c r="R215" s="467"/>
      <c r="S215" s="467"/>
      <c r="T215" s="467"/>
      <c r="U215" s="467"/>
      <c r="V215" s="467"/>
      <c r="W215" s="467"/>
      <c r="AA215" s="467"/>
      <c r="AB215" s="467"/>
      <c r="AC215" s="467"/>
      <c r="AD215" s="467"/>
      <c r="AE215" s="467"/>
      <c r="AF215" s="467"/>
      <c r="AG215" s="467"/>
    </row>
    <row r="216" spans="5:33" ht="15">
      <c r="E216" s="466"/>
      <c r="F216" s="466"/>
      <c r="G216" s="466"/>
      <c r="H216" s="466"/>
      <c r="I216" s="466"/>
      <c r="J216" s="466"/>
      <c r="K216" s="466"/>
      <c r="R216" s="467"/>
      <c r="S216" s="467"/>
      <c r="T216" s="467"/>
      <c r="U216" s="467"/>
      <c r="V216" s="467"/>
      <c r="W216" s="467"/>
      <c r="AA216" s="467"/>
      <c r="AB216" s="467"/>
      <c r="AC216" s="467"/>
      <c r="AD216" s="467"/>
      <c r="AE216" s="467"/>
      <c r="AF216" s="467"/>
      <c r="AG216" s="467"/>
    </row>
    <row r="217" spans="5:33" ht="15">
      <c r="E217" s="466"/>
      <c r="F217" s="466"/>
      <c r="G217" s="466"/>
      <c r="H217" s="466"/>
      <c r="I217" s="466"/>
      <c r="J217" s="466"/>
      <c r="K217" s="466"/>
      <c r="R217" s="467"/>
      <c r="S217" s="467"/>
      <c r="T217" s="467"/>
      <c r="U217" s="467"/>
      <c r="V217" s="467"/>
      <c r="W217" s="467"/>
      <c r="AA217" s="467"/>
      <c r="AB217" s="467"/>
      <c r="AC217" s="467"/>
      <c r="AD217" s="467"/>
      <c r="AE217" s="467"/>
      <c r="AF217" s="467"/>
      <c r="AG217" s="467"/>
    </row>
    <row r="218" spans="5:33" ht="15">
      <c r="E218" s="466"/>
      <c r="F218" s="466"/>
      <c r="G218" s="466"/>
      <c r="H218" s="466"/>
      <c r="I218" s="466"/>
      <c r="J218" s="466"/>
      <c r="K218" s="466"/>
      <c r="R218" s="467"/>
      <c r="S218" s="467"/>
      <c r="T218" s="467"/>
      <c r="U218" s="467"/>
      <c r="V218" s="467"/>
      <c r="W218" s="467"/>
      <c r="AA218" s="467"/>
      <c r="AB218" s="467"/>
      <c r="AC218" s="467"/>
      <c r="AD218" s="467"/>
      <c r="AE218" s="467"/>
      <c r="AF218" s="467"/>
      <c r="AG218" s="467"/>
    </row>
    <row r="219" spans="5:33" ht="15">
      <c r="E219" s="466"/>
      <c r="F219" s="466"/>
      <c r="G219" s="466"/>
      <c r="H219" s="466"/>
      <c r="I219" s="466"/>
      <c r="J219" s="466"/>
      <c r="K219" s="466"/>
      <c r="R219" s="467"/>
      <c r="S219" s="467"/>
      <c r="T219" s="467"/>
      <c r="U219" s="467"/>
      <c r="V219" s="467"/>
      <c r="W219" s="467"/>
      <c r="AA219" s="467"/>
      <c r="AB219" s="467"/>
      <c r="AC219" s="467"/>
      <c r="AD219" s="467"/>
      <c r="AE219" s="467"/>
      <c r="AF219" s="467"/>
      <c r="AG219" s="467"/>
    </row>
    <row r="220" spans="5:33" ht="15">
      <c r="E220" s="466"/>
      <c r="F220" s="466"/>
      <c r="G220" s="466"/>
      <c r="H220" s="466"/>
      <c r="I220" s="466"/>
      <c r="J220" s="466"/>
      <c r="K220" s="466"/>
      <c r="R220" s="467"/>
      <c r="S220" s="467"/>
      <c r="T220" s="467"/>
      <c r="U220" s="467"/>
      <c r="V220" s="467"/>
      <c r="W220" s="467"/>
      <c r="AA220" s="467"/>
      <c r="AB220" s="467"/>
      <c r="AC220" s="467"/>
      <c r="AD220" s="467"/>
      <c r="AE220" s="467"/>
      <c r="AF220" s="467"/>
      <c r="AG220" s="467"/>
    </row>
    <row r="221" spans="5:33" ht="15">
      <c r="E221" s="466"/>
      <c r="F221" s="466"/>
      <c r="G221" s="466"/>
      <c r="H221" s="466"/>
      <c r="I221" s="466"/>
      <c r="J221" s="466"/>
      <c r="K221" s="466"/>
      <c r="R221" s="467"/>
      <c r="S221" s="467"/>
      <c r="T221" s="467"/>
      <c r="U221" s="467"/>
      <c r="V221" s="467"/>
      <c r="W221" s="467"/>
      <c r="AA221" s="467"/>
      <c r="AB221" s="467"/>
      <c r="AC221" s="467"/>
      <c r="AD221" s="467"/>
      <c r="AE221" s="467"/>
      <c r="AF221" s="467"/>
      <c r="AG221" s="467"/>
    </row>
    <row r="222" spans="5:33" ht="15">
      <c r="E222" s="466"/>
      <c r="F222" s="466"/>
      <c r="G222" s="466"/>
      <c r="H222" s="466"/>
      <c r="I222" s="466"/>
      <c r="J222" s="466"/>
      <c r="K222" s="466"/>
      <c r="R222" s="467"/>
      <c r="S222" s="467"/>
      <c r="T222" s="467"/>
      <c r="U222" s="467"/>
      <c r="V222" s="467"/>
      <c r="W222" s="467"/>
      <c r="AA222" s="467"/>
      <c r="AB222" s="467"/>
      <c r="AC222" s="467"/>
      <c r="AD222" s="467"/>
      <c r="AE222" s="467"/>
      <c r="AF222" s="467"/>
      <c r="AG222" s="467"/>
    </row>
    <row r="223" spans="5:33" ht="15">
      <c r="E223" s="466"/>
      <c r="F223" s="466"/>
      <c r="G223" s="466"/>
      <c r="H223" s="466"/>
      <c r="I223" s="466"/>
      <c r="J223" s="466"/>
      <c r="K223" s="466"/>
      <c r="R223" s="467"/>
      <c r="S223" s="467"/>
      <c r="T223" s="467"/>
      <c r="U223" s="467"/>
      <c r="V223" s="467"/>
      <c r="W223" s="467"/>
      <c r="AA223" s="467"/>
      <c r="AB223" s="467"/>
      <c r="AC223" s="467"/>
      <c r="AD223" s="467"/>
      <c r="AE223" s="467"/>
      <c r="AF223" s="467"/>
      <c r="AG223" s="467"/>
    </row>
    <row r="224" spans="5:33" ht="15">
      <c r="E224" s="466"/>
      <c r="F224" s="466"/>
      <c r="G224" s="466"/>
      <c r="H224" s="466"/>
      <c r="I224" s="466"/>
      <c r="J224" s="466"/>
      <c r="K224" s="466"/>
      <c r="R224" s="467"/>
      <c r="S224" s="467"/>
      <c r="T224" s="467"/>
      <c r="U224" s="467"/>
      <c r="V224" s="467"/>
      <c r="W224" s="467"/>
      <c r="AA224" s="467"/>
      <c r="AB224" s="467"/>
      <c r="AC224" s="467"/>
      <c r="AD224" s="467"/>
      <c r="AE224" s="467"/>
      <c r="AF224" s="467"/>
      <c r="AG224" s="467"/>
    </row>
    <row r="225" spans="5:33" ht="15">
      <c r="E225" s="466"/>
      <c r="F225" s="466"/>
      <c r="G225" s="466"/>
      <c r="H225" s="466"/>
      <c r="I225" s="466"/>
      <c r="J225" s="466"/>
      <c r="K225" s="466"/>
      <c r="R225" s="467"/>
      <c r="S225" s="467"/>
      <c r="T225" s="467"/>
      <c r="U225" s="467"/>
      <c r="V225" s="467"/>
      <c r="W225" s="467"/>
      <c r="AA225" s="467"/>
      <c r="AB225" s="467"/>
      <c r="AC225" s="467"/>
      <c r="AD225" s="467"/>
      <c r="AE225" s="467"/>
      <c r="AF225" s="467"/>
      <c r="AG225" s="467"/>
    </row>
    <row r="226" spans="5:33" ht="15">
      <c r="E226" s="466"/>
      <c r="F226" s="466"/>
      <c r="G226" s="466"/>
      <c r="H226" s="466"/>
      <c r="I226" s="466"/>
      <c r="J226" s="466"/>
      <c r="K226" s="466"/>
      <c r="R226" s="467"/>
      <c r="S226" s="467"/>
      <c r="T226" s="467"/>
      <c r="U226" s="467"/>
      <c r="V226" s="467"/>
      <c r="W226" s="467"/>
      <c r="AA226" s="467"/>
      <c r="AB226" s="467"/>
      <c r="AC226" s="467"/>
      <c r="AD226" s="467"/>
      <c r="AE226" s="467"/>
      <c r="AF226" s="467"/>
      <c r="AG226" s="467"/>
    </row>
    <row r="227" spans="5:33" ht="15">
      <c r="E227" s="466"/>
      <c r="F227" s="466"/>
      <c r="G227" s="466"/>
      <c r="H227" s="466"/>
      <c r="I227" s="466"/>
      <c r="J227" s="466"/>
      <c r="K227" s="466"/>
      <c r="R227" s="467"/>
      <c r="S227" s="467"/>
      <c r="T227" s="467"/>
      <c r="U227" s="467"/>
      <c r="V227" s="467"/>
      <c r="W227" s="467"/>
      <c r="AA227" s="467"/>
      <c r="AB227" s="467"/>
      <c r="AC227" s="467"/>
      <c r="AD227" s="467"/>
      <c r="AE227" s="467"/>
      <c r="AF227" s="467"/>
      <c r="AG227" s="467"/>
    </row>
    <row r="228" spans="5:33" ht="15">
      <c r="E228" s="466"/>
      <c r="F228" s="466"/>
      <c r="G228" s="466"/>
      <c r="H228" s="466"/>
      <c r="I228" s="466"/>
      <c r="J228" s="466"/>
      <c r="K228" s="466"/>
      <c r="R228" s="467"/>
      <c r="S228" s="467"/>
      <c r="T228" s="467"/>
      <c r="U228" s="467"/>
      <c r="V228" s="467"/>
      <c r="W228" s="467"/>
      <c r="AA228" s="467"/>
      <c r="AB228" s="467"/>
      <c r="AC228" s="467"/>
      <c r="AD228" s="467"/>
      <c r="AE228" s="467"/>
      <c r="AF228" s="467"/>
      <c r="AG228" s="467"/>
    </row>
    <row r="229" spans="5:33" ht="15">
      <c r="E229" s="466"/>
      <c r="F229" s="466"/>
      <c r="G229" s="466"/>
      <c r="H229" s="466"/>
      <c r="I229" s="466"/>
      <c r="J229" s="466"/>
      <c r="K229" s="466"/>
      <c r="R229" s="467"/>
      <c r="S229" s="467"/>
      <c r="T229" s="467"/>
      <c r="U229" s="467"/>
      <c r="V229" s="467"/>
      <c r="W229" s="467"/>
      <c r="AA229" s="467"/>
      <c r="AB229" s="467"/>
      <c r="AC229" s="467"/>
      <c r="AD229" s="467"/>
      <c r="AE229" s="467"/>
      <c r="AF229" s="467"/>
      <c r="AG229" s="467"/>
    </row>
    <row r="230" spans="5:33" ht="15">
      <c r="E230" s="466"/>
      <c r="F230" s="466"/>
      <c r="G230" s="466"/>
      <c r="H230" s="466"/>
      <c r="I230" s="466"/>
      <c r="J230" s="466"/>
      <c r="K230" s="466"/>
      <c r="R230" s="467"/>
      <c r="S230" s="467"/>
      <c r="T230" s="467"/>
      <c r="U230" s="467"/>
      <c r="V230" s="467"/>
      <c r="W230" s="467"/>
      <c r="AA230" s="467"/>
      <c r="AB230" s="467"/>
      <c r="AC230" s="467"/>
      <c r="AD230" s="467"/>
      <c r="AE230" s="467"/>
      <c r="AF230" s="467"/>
      <c r="AG230" s="467"/>
    </row>
    <row r="231" spans="5:33" ht="15">
      <c r="E231" s="466"/>
      <c r="F231" s="466"/>
      <c r="G231" s="466"/>
      <c r="H231" s="466"/>
      <c r="I231" s="466"/>
      <c r="J231" s="466"/>
      <c r="K231" s="466"/>
      <c r="R231" s="467"/>
      <c r="S231" s="467"/>
      <c r="T231" s="467"/>
      <c r="U231" s="467"/>
      <c r="V231" s="467"/>
      <c r="W231" s="467"/>
      <c r="AA231" s="467"/>
      <c r="AB231" s="467"/>
      <c r="AC231" s="467"/>
      <c r="AD231" s="467"/>
      <c r="AE231" s="467"/>
      <c r="AF231" s="467"/>
      <c r="AG231" s="467"/>
    </row>
    <row r="232" spans="5:33" ht="15">
      <c r="E232" s="466"/>
      <c r="F232" s="466"/>
      <c r="G232" s="466"/>
      <c r="H232" s="466"/>
      <c r="I232" s="466"/>
      <c r="J232" s="466"/>
      <c r="K232" s="466"/>
      <c r="R232" s="467"/>
      <c r="S232" s="467"/>
      <c r="T232" s="467"/>
      <c r="U232" s="467"/>
      <c r="V232" s="467"/>
      <c r="W232" s="467"/>
      <c r="AA232" s="467"/>
      <c r="AB232" s="467"/>
      <c r="AC232" s="467"/>
      <c r="AD232" s="467"/>
      <c r="AE232" s="467"/>
      <c r="AF232" s="467"/>
      <c r="AG232" s="467"/>
    </row>
    <row r="233" spans="5:33" ht="15">
      <c r="E233" s="466"/>
      <c r="F233" s="466"/>
      <c r="G233" s="466"/>
      <c r="H233" s="466"/>
      <c r="I233" s="466"/>
      <c r="J233" s="466"/>
      <c r="K233" s="466"/>
      <c r="R233" s="467"/>
      <c r="S233" s="467"/>
      <c r="T233" s="467"/>
      <c r="U233" s="467"/>
      <c r="V233" s="467"/>
      <c r="W233" s="467"/>
      <c r="AA233" s="467"/>
      <c r="AB233" s="467"/>
      <c r="AC233" s="467"/>
      <c r="AD233" s="467"/>
      <c r="AE233" s="467"/>
      <c r="AF233" s="467"/>
      <c r="AG233" s="467"/>
    </row>
    <row r="234" spans="5:33" ht="15">
      <c r="E234" s="466"/>
      <c r="F234" s="466"/>
      <c r="G234" s="466"/>
      <c r="H234" s="466"/>
      <c r="I234" s="466"/>
      <c r="J234" s="466"/>
      <c r="K234" s="466"/>
      <c r="R234" s="467"/>
      <c r="S234" s="467"/>
      <c r="T234" s="467"/>
      <c r="U234" s="467"/>
      <c r="V234" s="467"/>
      <c r="W234" s="467"/>
      <c r="AA234" s="467"/>
      <c r="AB234" s="467"/>
      <c r="AC234" s="467"/>
      <c r="AD234" s="467"/>
      <c r="AE234" s="467"/>
      <c r="AF234" s="467"/>
      <c r="AG234" s="467"/>
    </row>
    <row r="235" spans="5:33" ht="15">
      <c r="E235" s="466"/>
      <c r="F235" s="466"/>
      <c r="G235" s="466"/>
      <c r="H235" s="466"/>
      <c r="I235" s="466"/>
      <c r="J235" s="466"/>
      <c r="K235" s="466"/>
      <c r="R235" s="467"/>
      <c r="S235" s="467"/>
      <c r="T235" s="467"/>
      <c r="U235" s="467"/>
      <c r="V235" s="467"/>
      <c r="W235" s="467"/>
      <c r="AA235" s="467"/>
      <c r="AB235" s="467"/>
      <c r="AC235" s="467"/>
      <c r="AD235" s="467"/>
      <c r="AE235" s="467"/>
      <c r="AF235" s="467"/>
      <c r="AG235" s="467"/>
    </row>
    <row r="236" spans="5:33" ht="15">
      <c r="E236" s="466"/>
      <c r="F236" s="466"/>
      <c r="G236" s="466"/>
      <c r="H236" s="466"/>
      <c r="I236" s="466"/>
      <c r="J236" s="466"/>
      <c r="K236" s="466"/>
      <c r="R236" s="467"/>
      <c r="S236" s="467"/>
      <c r="T236" s="467"/>
      <c r="U236" s="467"/>
      <c r="V236" s="467"/>
      <c r="W236" s="467"/>
      <c r="AA236" s="467"/>
      <c r="AB236" s="467"/>
      <c r="AC236" s="467"/>
      <c r="AD236" s="467"/>
      <c r="AE236" s="467"/>
      <c r="AF236" s="467"/>
      <c r="AG236" s="467"/>
    </row>
    <row r="237" spans="5:33" ht="15">
      <c r="E237" s="466"/>
      <c r="F237" s="466"/>
      <c r="G237" s="466"/>
      <c r="H237" s="466"/>
      <c r="I237" s="466"/>
      <c r="J237" s="466"/>
      <c r="K237" s="466"/>
      <c r="R237" s="467"/>
      <c r="S237" s="467"/>
      <c r="T237" s="467"/>
      <c r="U237" s="467"/>
      <c r="V237" s="467"/>
      <c r="W237" s="467"/>
      <c r="AA237" s="467"/>
      <c r="AB237" s="467"/>
      <c r="AC237" s="467"/>
      <c r="AD237" s="467"/>
      <c r="AE237" s="467"/>
      <c r="AF237" s="467"/>
      <c r="AG237" s="467"/>
    </row>
    <row r="238" spans="5:33" ht="15">
      <c r="E238" s="466"/>
      <c r="F238" s="466"/>
      <c r="G238" s="466"/>
      <c r="H238" s="466"/>
      <c r="I238" s="466"/>
      <c r="J238" s="466"/>
      <c r="K238" s="466"/>
      <c r="R238" s="467"/>
      <c r="S238" s="467"/>
      <c r="T238" s="467"/>
      <c r="U238" s="467"/>
      <c r="V238" s="467"/>
      <c r="W238" s="467"/>
      <c r="AA238" s="467"/>
      <c r="AB238" s="467"/>
      <c r="AC238" s="467"/>
      <c r="AD238" s="467"/>
      <c r="AE238" s="467"/>
      <c r="AF238" s="467"/>
      <c r="AG238" s="467"/>
    </row>
    <row r="239" spans="5:33" ht="15">
      <c r="E239" s="466"/>
      <c r="F239" s="466"/>
      <c r="G239" s="466"/>
      <c r="H239" s="466"/>
      <c r="I239" s="466"/>
      <c r="J239" s="466"/>
      <c r="K239" s="466"/>
      <c r="R239" s="467"/>
      <c r="S239" s="467"/>
      <c r="T239" s="467"/>
      <c r="U239" s="467"/>
      <c r="V239" s="467"/>
      <c r="W239" s="467"/>
      <c r="AA239" s="467"/>
      <c r="AB239" s="467"/>
      <c r="AC239" s="467"/>
      <c r="AD239" s="467"/>
      <c r="AE239" s="467"/>
      <c r="AF239" s="467"/>
      <c r="AG239" s="467"/>
    </row>
    <row r="240" spans="5:33" ht="15">
      <c r="E240" s="466"/>
      <c r="F240" s="466"/>
      <c r="G240" s="466"/>
      <c r="H240" s="466"/>
      <c r="I240" s="466"/>
      <c r="J240" s="466"/>
      <c r="K240" s="466"/>
      <c r="R240" s="467"/>
      <c r="S240" s="467"/>
      <c r="T240" s="467"/>
      <c r="U240" s="467"/>
      <c r="V240" s="467"/>
      <c r="W240" s="467"/>
      <c r="AA240" s="467"/>
      <c r="AB240" s="467"/>
      <c r="AC240" s="467"/>
      <c r="AD240" s="467"/>
      <c r="AE240" s="467"/>
      <c r="AF240" s="467"/>
      <c r="AG240" s="467"/>
    </row>
    <row r="241" spans="5:33" ht="15">
      <c r="E241" s="466"/>
      <c r="F241" s="466"/>
      <c r="G241" s="466"/>
      <c r="H241" s="466"/>
      <c r="I241" s="466"/>
      <c r="J241" s="466"/>
      <c r="K241" s="466"/>
      <c r="R241" s="467"/>
      <c r="S241" s="467"/>
      <c r="T241" s="467"/>
      <c r="U241" s="467"/>
      <c r="V241" s="467"/>
      <c r="W241" s="467"/>
      <c r="AA241" s="467"/>
      <c r="AB241" s="467"/>
      <c r="AC241" s="467"/>
      <c r="AD241" s="467"/>
      <c r="AE241" s="467"/>
      <c r="AF241" s="467"/>
      <c r="AG241" s="467"/>
    </row>
    <row r="242" spans="5:33" ht="15">
      <c r="E242" s="466"/>
      <c r="F242" s="466"/>
      <c r="G242" s="466"/>
      <c r="H242" s="466"/>
      <c r="I242" s="466"/>
      <c r="J242" s="466"/>
      <c r="K242" s="466"/>
      <c r="R242" s="467"/>
      <c r="S242" s="467"/>
      <c r="T242" s="467"/>
      <c r="U242" s="467"/>
      <c r="V242" s="467"/>
      <c r="W242" s="467"/>
      <c r="AA242" s="467"/>
      <c r="AB242" s="467"/>
      <c r="AC242" s="467"/>
      <c r="AD242" s="467"/>
      <c r="AE242" s="467"/>
      <c r="AF242" s="467"/>
      <c r="AG242" s="467"/>
    </row>
    <row r="243" spans="5:33" ht="15">
      <c r="E243" s="466"/>
      <c r="F243" s="466"/>
      <c r="G243" s="466"/>
      <c r="H243" s="466"/>
      <c r="I243" s="466"/>
      <c r="J243" s="466"/>
      <c r="K243" s="466"/>
      <c r="R243" s="467"/>
      <c r="S243" s="467"/>
      <c r="T243" s="467"/>
      <c r="U243" s="467"/>
      <c r="V243" s="467"/>
      <c r="W243" s="467"/>
      <c r="AA243" s="467"/>
      <c r="AB243" s="467"/>
      <c r="AC243" s="467"/>
      <c r="AD243" s="467"/>
      <c r="AE243" s="467"/>
      <c r="AF243" s="467"/>
      <c r="AG243" s="467"/>
    </row>
    <row r="244" spans="5:33" ht="15">
      <c r="E244" s="466"/>
      <c r="F244" s="466"/>
      <c r="G244" s="466"/>
      <c r="H244" s="466"/>
      <c r="I244" s="466"/>
      <c r="J244" s="466"/>
      <c r="K244" s="466"/>
      <c r="R244" s="467"/>
      <c r="S244" s="467"/>
      <c r="T244" s="467"/>
      <c r="U244" s="467"/>
      <c r="V244" s="467"/>
      <c r="W244" s="467"/>
      <c r="AA244" s="467"/>
      <c r="AB244" s="467"/>
      <c r="AC244" s="467"/>
      <c r="AD244" s="467"/>
      <c r="AE244" s="467"/>
      <c r="AF244" s="467"/>
      <c r="AG244" s="467"/>
    </row>
    <row r="245" spans="5:33" ht="15">
      <c r="E245" s="466"/>
      <c r="F245" s="466"/>
      <c r="G245" s="466"/>
      <c r="H245" s="466"/>
      <c r="I245" s="466"/>
      <c r="J245" s="466"/>
      <c r="K245" s="466"/>
      <c r="R245" s="467"/>
      <c r="S245" s="467"/>
      <c r="T245" s="467"/>
      <c r="U245" s="467"/>
      <c r="V245" s="467"/>
      <c r="W245" s="467"/>
      <c r="AA245" s="467"/>
      <c r="AB245" s="467"/>
      <c r="AC245" s="467"/>
      <c r="AD245" s="467"/>
      <c r="AE245" s="467"/>
      <c r="AF245" s="467"/>
      <c r="AG245" s="467"/>
    </row>
    <row r="246" spans="5:33" ht="15">
      <c r="E246" s="466"/>
      <c r="F246" s="466"/>
      <c r="G246" s="466"/>
      <c r="H246" s="466"/>
      <c r="I246" s="466"/>
      <c r="J246" s="466"/>
      <c r="K246" s="466"/>
      <c r="R246" s="467"/>
      <c r="S246" s="467"/>
      <c r="T246" s="467"/>
      <c r="U246" s="467"/>
      <c r="V246" s="467"/>
      <c r="W246" s="467"/>
      <c r="AA246" s="467"/>
      <c r="AB246" s="467"/>
      <c r="AC246" s="467"/>
      <c r="AD246" s="467"/>
      <c r="AE246" s="467"/>
      <c r="AF246" s="467"/>
      <c r="AG246" s="467"/>
    </row>
    <row r="247" spans="5:33" ht="15">
      <c r="E247" s="466"/>
      <c r="F247" s="466"/>
      <c r="G247" s="466"/>
      <c r="H247" s="466"/>
      <c r="I247" s="466"/>
      <c r="J247" s="466"/>
      <c r="K247" s="466"/>
      <c r="R247" s="467"/>
      <c r="S247" s="467"/>
      <c r="T247" s="467"/>
      <c r="U247" s="467"/>
      <c r="V247" s="467"/>
      <c r="W247" s="467"/>
      <c r="AA247" s="467"/>
      <c r="AB247" s="467"/>
      <c r="AC247" s="467"/>
      <c r="AD247" s="467"/>
      <c r="AE247" s="467"/>
      <c r="AF247" s="467"/>
      <c r="AG247" s="467"/>
    </row>
    <row r="248" spans="5:33" ht="15">
      <c r="E248" s="466"/>
      <c r="F248" s="466"/>
      <c r="G248" s="466"/>
      <c r="H248" s="466"/>
      <c r="I248" s="466"/>
      <c r="J248" s="466"/>
      <c r="K248" s="466"/>
      <c r="R248" s="467"/>
      <c r="S248" s="467"/>
      <c r="T248" s="467"/>
      <c r="U248" s="467"/>
      <c r="V248" s="467"/>
      <c r="W248" s="467"/>
      <c r="AA248" s="467"/>
      <c r="AB248" s="467"/>
      <c r="AC248" s="467"/>
      <c r="AD248" s="467"/>
      <c r="AE248" s="467"/>
      <c r="AF248" s="467"/>
      <c r="AG248" s="467"/>
    </row>
    <row r="249" spans="5:33" ht="15">
      <c r="E249" s="466"/>
      <c r="F249" s="466"/>
      <c r="G249" s="466"/>
      <c r="H249" s="466"/>
      <c r="I249" s="466"/>
      <c r="J249" s="466"/>
      <c r="K249" s="466"/>
      <c r="R249" s="467"/>
      <c r="S249" s="467"/>
      <c r="T249" s="467"/>
      <c r="U249" s="467"/>
      <c r="V249" s="467"/>
      <c r="W249" s="467"/>
      <c r="AA249" s="467"/>
      <c r="AB249" s="467"/>
      <c r="AC249" s="467"/>
      <c r="AD249" s="467"/>
      <c r="AE249" s="467"/>
      <c r="AF249" s="467"/>
      <c r="AG249" s="467"/>
    </row>
    <row r="250" spans="5:33" ht="15">
      <c r="E250" s="466"/>
      <c r="F250" s="466"/>
      <c r="G250" s="466"/>
      <c r="H250" s="466"/>
      <c r="I250" s="466"/>
      <c r="J250" s="466"/>
      <c r="K250" s="466"/>
      <c r="R250" s="467"/>
      <c r="S250" s="467"/>
      <c r="T250" s="467"/>
      <c r="U250" s="467"/>
      <c r="V250" s="467"/>
      <c r="W250" s="467"/>
      <c r="AA250" s="467"/>
      <c r="AB250" s="467"/>
      <c r="AC250" s="467"/>
      <c r="AD250" s="467"/>
      <c r="AE250" s="467"/>
      <c r="AF250" s="467"/>
      <c r="AG250" s="467"/>
    </row>
    <row r="251" spans="5:33" ht="15">
      <c r="E251" s="466"/>
      <c r="F251" s="466"/>
      <c r="G251" s="466"/>
      <c r="H251" s="466"/>
      <c r="I251" s="466"/>
      <c r="J251" s="466"/>
      <c r="K251" s="466"/>
      <c r="R251" s="467"/>
      <c r="S251" s="467"/>
      <c r="T251" s="467"/>
      <c r="U251" s="467"/>
      <c r="V251" s="467"/>
      <c r="W251" s="467"/>
      <c r="AA251" s="467"/>
      <c r="AB251" s="467"/>
      <c r="AC251" s="467"/>
      <c r="AD251" s="467"/>
      <c r="AE251" s="467"/>
      <c r="AF251" s="467"/>
      <c r="AG251" s="467"/>
    </row>
    <row r="252" spans="5:33" ht="15">
      <c r="E252" s="466"/>
      <c r="F252" s="466"/>
      <c r="G252" s="466"/>
      <c r="H252" s="466"/>
      <c r="I252" s="466"/>
      <c r="J252" s="466"/>
      <c r="K252" s="466"/>
      <c r="R252" s="467"/>
      <c r="S252" s="467"/>
      <c r="T252" s="467"/>
      <c r="U252" s="467"/>
      <c r="V252" s="467"/>
      <c r="W252" s="467"/>
      <c r="AA252" s="467"/>
      <c r="AB252" s="467"/>
      <c r="AC252" s="467"/>
      <c r="AD252" s="467"/>
      <c r="AE252" s="467"/>
      <c r="AF252" s="467"/>
      <c r="AG252" s="467"/>
    </row>
    <row r="253" spans="5:33" ht="15">
      <c r="E253" s="466"/>
      <c r="F253" s="466"/>
      <c r="G253" s="466"/>
      <c r="H253" s="466"/>
      <c r="I253" s="466"/>
      <c r="J253" s="466"/>
      <c r="K253" s="466"/>
      <c r="R253" s="467"/>
      <c r="S253" s="467"/>
      <c r="T253" s="467"/>
      <c r="U253" s="467"/>
      <c r="V253" s="467"/>
      <c r="W253" s="467"/>
      <c r="AA253" s="467"/>
      <c r="AB253" s="467"/>
      <c r="AC253" s="467"/>
      <c r="AD253" s="467"/>
      <c r="AE253" s="467"/>
      <c r="AF253" s="467"/>
      <c r="AG253" s="467"/>
    </row>
    <row r="254" spans="5:33" ht="15">
      <c r="E254" s="466"/>
      <c r="F254" s="466"/>
      <c r="G254" s="466"/>
      <c r="H254" s="466"/>
      <c r="I254" s="466"/>
      <c r="J254" s="466"/>
      <c r="K254" s="466"/>
      <c r="R254" s="467"/>
      <c r="S254" s="467"/>
      <c r="T254" s="467"/>
      <c r="U254" s="467"/>
      <c r="V254" s="467"/>
      <c r="W254" s="467"/>
      <c r="AA254" s="467"/>
      <c r="AB254" s="467"/>
      <c r="AC254" s="467"/>
      <c r="AD254" s="467"/>
      <c r="AE254" s="467"/>
      <c r="AF254" s="467"/>
      <c r="AG254" s="467"/>
    </row>
    <row r="255" spans="5:33" ht="15">
      <c r="E255" s="466"/>
      <c r="F255" s="466"/>
      <c r="G255" s="466"/>
      <c r="H255" s="466"/>
      <c r="I255" s="466"/>
      <c r="J255" s="466"/>
      <c r="K255" s="466"/>
      <c r="R255" s="467"/>
      <c r="S255" s="467"/>
      <c r="T255" s="467"/>
      <c r="U255" s="467"/>
      <c r="V255" s="467"/>
      <c r="W255" s="467"/>
      <c r="AA255" s="467"/>
      <c r="AB255" s="467"/>
      <c r="AC255" s="467"/>
      <c r="AD255" s="467"/>
      <c r="AE255" s="467"/>
      <c r="AF255" s="467"/>
      <c r="AG255" s="467"/>
    </row>
    <row r="256" spans="5:33" ht="15">
      <c r="E256" s="466"/>
      <c r="F256" s="466"/>
      <c r="G256" s="466"/>
      <c r="H256" s="466"/>
      <c r="I256" s="466"/>
      <c r="J256" s="466"/>
      <c r="K256" s="466"/>
      <c r="R256" s="467"/>
      <c r="S256" s="467"/>
      <c r="T256" s="467"/>
      <c r="U256" s="467"/>
      <c r="V256" s="467"/>
      <c r="W256" s="467"/>
      <c r="AA256" s="467"/>
      <c r="AB256" s="467"/>
      <c r="AC256" s="467"/>
      <c r="AD256" s="467"/>
      <c r="AE256" s="467"/>
      <c r="AF256" s="467"/>
      <c r="AG256" s="467"/>
    </row>
    <row r="257" spans="5:33" ht="15">
      <c r="E257" s="466"/>
      <c r="F257" s="466"/>
      <c r="G257" s="466"/>
      <c r="H257" s="466"/>
      <c r="I257" s="466"/>
      <c r="J257" s="466"/>
      <c r="K257" s="466"/>
      <c r="R257" s="467"/>
      <c r="S257" s="467"/>
      <c r="T257" s="467"/>
      <c r="U257" s="467"/>
      <c r="V257" s="467"/>
      <c r="W257" s="467"/>
      <c r="AA257" s="467"/>
      <c r="AB257" s="467"/>
      <c r="AC257" s="467"/>
      <c r="AD257" s="467"/>
      <c r="AE257" s="467"/>
      <c r="AF257" s="467"/>
      <c r="AG257" s="467"/>
    </row>
    <row r="258" spans="5:33" ht="15">
      <c r="E258" s="466"/>
      <c r="F258" s="466"/>
      <c r="G258" s="466"/>
      <c r="H258" s="466"/>
      <c r="I258" s="466"/>
      <c r="J258" s="466"/>
      <c r="K258" s="466"/>
      <c r="R258" s="467"/>
      <c r="S258" s="467"/>
      <c r="T258" s="467"/>
      <c r="U258" s="467"/>
      <c r="V258" s="467"/>
      <c r="W258" s="467"/>
      <c r="AA258" s="467"/>
      <c r="AB258" s="467"/>
      <c r="AC258" s="467"/>
      <c r="AD258" s="467"/>
      <c r="AE258" s="467"/>
      <c r="AF258" s="467"/>
      <c r="AG258" s="467"/>
    </row>
    <row r="259" spans="5:33" ht="15">
      <c r="E259" s="466"/>
      <c r="F259" s="466"/>
      <c r="G259" s="466"/>
      <c r="H259" s="466"/>
      <c r="I259" s="466"/>
      <c r="J259" s="466"/>
      <c r="K259" s="466"/>
      <c r="R259" s="467"/>
      <c r="S259" s="467"/>
      <c r="T259" s="467"/>
      <c r="U259" s="467"/>
      <c r="V259" s="467"/>
      <c r="W259" s="467"/>
      <c r="AA259" s="467"/>
      <c r="AB259" s="467"/>
      <c r="AC259" s="467"/>
      <c r="AD259" s="467"/>
      <c r="AE259" s="467"/>
      <c r="AF259" s="467"/>
      <c r="AG259" s="467"/>
    </row>
    <row r="260" spans="5:33" ht="15">
      <c r="E260" s="466"/>
      <c r="F260" s="466"/>
      <c r="G260" s="466"/>
      <c r="H260" s="466"/>
      <c r="I260" s="466"/>
      <c r="J260" s="466"/>
      <c r="K260" s="466"/>
      <c r="R260" s="467"/>
      <c r="S260" s="467"/>
      <c r="T260" s="467"/>
      <c r="U260" s="467"/>
      <c r="V260" s="467"/>
      <c r="W260" s="467"/>
      <c r="AA260" s="467"/>
      <c r="AB260" s="467"/>
      <c r="AC260" s="467"/>
      <c r="AD260" s="467"/>
      <c r="AE260" s="467"/>
      <c r="AF260" s="467"/>
      <c r="AG260" s="467"/>
    </row>
    <row r="261" spans="5:33" ht="15">
      <c r="E261" s="466"/>
      <c r="F261" s="466"/>
      <c r="G261" s="466"/>
      <c r="H261" s="466"/>
      <c r="I261" s="466"/>
      <c r="J261" s="466"/>
      <c r="K261" s="466"/>
      <c r="R261" s="467"/>
      <c r="S261" s="467"/>
      <c r="T261" s="467"/>
      <c r="U261" s="467"/>
      <c r="V261" s="467"/>
      <c r="W261" s="467"/>
      <c r="AA261" s="467"/>
      <c r="AB261" s="467"/>
      <c r="AC261" s="467"/>
      <c r="AD261" s="467"/>
      <c r="AE261" s="467"/>
      <c r="AF261" s="467"/>
      <c r="AG261" s="467"/>
    </row>
    <row r="262" spans="5:33" ht="15">
      <c r="E262" s="466"/>
      <c r="F262" s="466"/>
      <c r="G262" s="466"/>
      <c r="H262" s="466"/>
      <c r="I262" s="466"/>
      <c r="J262" s="466"/>
      <c r="K262" s="466"/>
      <c r="R262" s="467"/>
      <c r="S262" s="467"/>
      <c r="T262" s="467"/>
      <c r="U262" s="467"/>
      <c r="V262" s="467"/>
      <c r="W262" s="467"/>
      <c r="AA262" s="467"/>
      <c r="AB262" s="467"/>
      <c r="AC262" s="467"/>
      <c r="AD262" s="467"/>
      <c r="AE262" s="467"/>
      <c r="AF262" s="467"/>
      <c r="AG262" s="467"/>
    </row>
    <row r="263" spans="5:33" ht="15">
      <c r="E263" s="466"/>
      <c r="F263" s="466"/>
      <c r="G263" s="466"/>
      <c r="H263" s="466"/>
      <c r="I263" s="466"/>
      <c r="J263" s="466"/>
      <c r="K263" s="466"/>
      <c r="R263" s="467"/>
      <c r="S263" s="467"/>
      <c r="T263" s="467"/>
      <c r="U263" s="467"/>
      <c r="V263" s="467"/>
      <c r="W263" s="467"/>
      <c r="AA263" s="467"/>
      <c r="AB263" s="467"/>
      <c r="AC263" s="467"/>
      <c r="AD263" s="467"/>
      <c r="AE263" s="467"/>
      <c r="AF263" s="467"/>
      <c r="AG263" s="467"/>
    </row>
    <row r="264" spans="5:33" ht="15">
      <c r="E264" s="466"/>
      <c r="F264" s="466"/>
      <c r="G264" s="466"/>
      <c r="H264" s="466"/>
      <c r="I264" s="466"/>
      <c r="J264" s="466"/>
      <c r="K264" s="466"/>
      <c r="R264" s="467"/>
      <c r="S264" s="467"/>
      <c r="T264" s="467"/>
      <c r="U264" s="467"/>
      <c r="V264" s="467"/>
      <c r="W264" s="467"/>
      <c r="AA264" s="467"/>
      <c r="AB264" s="467"/>
      <c r="AC264" s="467"/>
      <c r="AD264" s="467"/>
      <c r="AE264" s="467"/>
      <c r="AF264" s="467"/>
      <c r="AG264" s="467"/>
    </row>
    <row r="265" spans="5:33" ht="15">
      <c r="E265" s="466"/>
      <c r="F265" s="466"/>
      <c r="G265" s="466"/>
      <c r="H265" s="466"/>
      <c r="I265" s="466"/>
      <c r="J265" s="466"/>
      <c r="K265" s="466"/>
      <c r="R265" s="467"/>
      <c r="S265" s="467"/>
      <c r="T265" s="467"/>
      <c r="U265" s="467"/>
      <c r="V265" s="467"/>
      <c r="W265" s="467"/>
      <c r="AA265" s="467"/>
      <c r="AB265" s="467"/>
      <c r="AC265" s="467"/>
      <c r="AD265" s="467"/>
      <c r="AE265" s="467"/>
      <c r="AF265" s="467"/>
      <c r="AG265" s="467"/>
    </row>
    <row r="266" spans="5:33" ht="15">
      <c r="E266" s="466"/>
      <c r="F266" s="466"/>
      <c r="G266" s="466"/>
      <c r="H266" s="466"/>
      <c r="I266" s="466"/>
      <c r="J266" s="466"/>
      <c r="K266" s="466"/>
      <c r="R266" s="467"/>
      <c r="S266" s="467"/>
      <c r="T266" s="467"/>
      <c r="U266" s="467"/>
      <c r="V266" s="467"/>
      <c r="W266" s="467"/>
      <c r="AA266" s="467"/>
      <c r="AB266" s="467"/>
      <c r="AC266" s="467"/>
      <c r="AD266" s="467"/>
      <c r="AE266" s="467"/>
      <c r="AF266" s="467"/>
      <c r="AG266" s="467"/>
    </row>
    <row r="267" spans="5:33" ht="15">
      <c r="E267" s="466"/>
      <c r="F267" s="466"/>
      <c r="G267" s="466"/>
      <c r="H267" s="466"/>
      <c r="I267" s="466"/>
      <c r="J267" s="466"/>
      <c r="K267" s="466"/>
      <c r="R267" s="467"/>
      <c r="S267" s="467"/>
      <c r="T267" s="467"/>
      <c r="U267" s="467"/>
      <c r="V267" s="467"/>
      <c r="W267" s="467"/>
      <c r="AA267" s="467"/>
      <c r="AB267" s="467"/>
      <c r="AC267" s="467"/>
      <c r="AD267" s="467"/>
      <c r="AE267" s="467"/>
      <c r="AF267" s="467"/>
      <c r="AG267" s="467"/>
    </row>
    <row r="268" spans="5:33" ht="15">
      <c r="E268" s="466"/>
      <c r="F268" s="466"/>
      <c r="G268" s="466"/>
      <c r="H268" s="466"/>
      <c r="I268" s="466"/>
      <c r="J268" s="466"/>
      <c r="K268" s="466"/>
      <c r="R268" s="467"/>
      <c r="S268" s="467"/>
      <c r="T268" s="467"/>
      <c r="U268" s="467"/>
      <c r="V268" s="467"/>
      <c r="W268" s="467"/>
      <c r="AA268" s="467"/>
      <c r="AB268" s="467"/>
      <c r="AC268" s="467"/>
      <c r="AD268" s="467"/>
      <c r="AE268" s="467"/>
      <c r="AF268" s="467"/>
      <c r="AG268" s="467"/>
    </row>
    <row r="269" spans="5:33" ht="15">
      <c r="E269" s="466"/>
      <c r="F269" s="466"/>
      <c r="G269" s="466"/>
      <c r="H269" s="466"/>
      <c r="I269" s="466"/>
      <c r="J269" s="466"/>
      <c r="K269" s="466"/>
      <c r="R269" s="467"/>
      <c r="S269" s="467"/>
      <c r="T269" s="467"/>
      <c r="U269" s="467"/>
      <c r="V269" s="467"/>
      <c r="W269" s="467"/>
      <c r="AA269" s="467"/>
      <c r="AB269" s="467"/>
      <c r="AC269" s="467"/>
      <c r="AD269" s="467"/>
      <c r="AE269" s="467"/>
      <c r="AF269" s="467"/>
      <c r="AG269" s="467"/>
    </row>
    <row r="270" spans="5:33" ht="15">
      <c r="E270" s="466"/>
      <c r="F270" s="466"/>
      <c r="G270" s="466"/>
      <c r="H270" s="466"/>
      <c r="I270" s="466"/>
      <c r="J270" s="466"/>
      <c r="K270" s="466"/>
      <c r="R270" s="467"/>
      <c r="S270" s="467"/>
      <c r="T270" s="467"/>
      <c r="U270" s="467"/>
      <c r="V270" s="467"/>
      <c r="W270" s="467"/>
      <c r="AA270" s="467"/>
      <c r="AB270" s="467"/>
      <c r="AC270" s="467"/>
      <c r="AD270" s="467"/>
      <c r="AE270" s="467"/>
      <c r="AF270" s="467"/>
      <c r="AG270" s="467"/>
    </row>
    <row r="271" spans="5:33" ht="15">
      <c r="E271" s="466"/>
      <c r="F271" s="466"/>
      <c r="G271" s="466"/>
      <c r="H271" s="466"/>
      <c r="I271" s="466"/>
      <c r="J271" s="466"/>
      <c r="K271" s="466"/>
      <c r="R271" s="467"/>
      <c r="S271" s="467"/>
      <c r="T271" s="467"/>
      <c r="U271" s="467"/>
      <c r="V271" s="467"/>
      <c r="W271" s="467"/>
      <c r="AA271" s="467"/>
      <c r="AB271" s="467"/>
      <c r="AC271" s="467"/>
      <c r="AD271" s="467"/>
      <c r="AE271" s="467"/>
      <c r="AF271" s="467"/>
      <c r="AG271" s="467"/>
    </row>
    <row r="272" spans="5:33" ht="15">
      <c r="E272" s="466"/>
      <c r="F272" s="466"/>
      <c r="G272" s="466"/>
      <c r="H272" s="466"/>
      <c r="I272" s="466"/>
      <c r="J272" s="466"/>
      <c r="K272" s="466"/>
      <c r="R272" s="467"/>
      <c r="S272" s="467"/>
      <c r="T272" s="467"/>
      <c r="U272" s="467"/>
      <c r="V272" s="467"/>
      <c r="W272" s="467"/>
      <c r="AA272" s="467"/>
      <c r="AB272" s="467"/>
      <c r="AC272" s="467"/>
      <c r="AD272" s="467"/>
      <c r="AE272" s="467"/>
      <c r="AF272" s="467"/>
      <c r="AG272" s="467"/>
    </row>
    <row r="273" spans="5:33" ht="15">
      <c r="E273" s="466"/>
      <c r="F273" s="466"/>
      <c r="G273" s="466"/>
      <c r="H273" s="466"/>
      <c r="I273" s="466"/>
      <c r="J273" s="466"/>
      <c r="K273" s="466"/>
      <c r="R273" s="467"/>
      <c r="S273" s="467"/>
      <c r="T273" s="467"/>
      <c r="U273" s="467"/>
      <c r="V273" s="467"/>
      <c r="W273" s="467"/>
      <c r="AA273" s="467"/>
      <c r="AB273" s="467"/>
      <c r="AC273" s="467"/>
      <c r="AD273" s="467"/>
      <c r="AE273" s="467"/>
      <c r="AF273" s="467"/>
      <c r="AG273" s="467"/>
    </row>
    <row r="274" spans="5:33" ht="15">
      <c r="E274" s="466"/>
      <c r="F274" s="466"/>
      <c r="G274" s="466"/>
      <c r="H274" s="466"/>
      <c r="I274" s="466"/>
      <c r="J274" s="466"/>
      <c r="K274" s="466"/>
      <c r="R274" s="467"/>
      <c r="S274" s="467"/>
      <c r="T274" s="467"/>
      <c r="U274" s="467"/>
      <c r="V274" s="467"/>
      <c r="W274" s="467"/>
      <c r="AA274" s="467"/>
      <c r="AB274" s="467"/>
      <c r="AC274" s="467"/>
      <c r="AD274" s="467"/>
      <c r="AE274" s="467"/>
      <c r="AF274" s="467"/>
      <c r="AG274" s="467"/>
    </row>
    <row r="275" spans="5:33" ht="15">
      <c r="E275" s="466"/>
      <c r="F275" s="466"/>
      <c r="G275" s="466"/>
      <c r="H275" s="466"/>
      <c r="I275" s="466"/>
      <c r="J275" s="466"/>
      <c r="K275" s="466"/>
      <c r="R275" s="467"/>
      <c r="S275" s="467"/>
      <c r="T275" s="467"/>
      <c r="U275" s="467"/>
      <c r="V275" s="467"/>
      <c r="W275" s="467"/>
      <c r="AA275" s="467"/>
      <c r="AB275" s="467"/>
      <c r="AC275" s="467"/>
      <c r="AD275" s="467"/>
      <c r="AE275" s="467"/>
      <c r="AF275" s="467"/>
      <c r="AG275" s="467"/>
    </row>
    <row r="276" spans="5:33" ht="15">
      <c r="E276" s="466"/>
      <c r="F276" s="466"/>
      <c r="G276" s="466"/>
      <c r="H276" s="466"/>
      <c r="I276" s="466"/>
      <c r="J276" s="466"/>
      <c r="K276" s="466"/>
      <c r="R276" s="467"/>
      <c r="S276" s="467"/>
      <c r="T276" s="467"/>
      <c r="U276" s="467"/>
      <c r="V276" s="467"/>
      <c r="W276" s="467"/>
      <c r="AA276" s="467"/>
      <c r="AB276" s="467"/>
      <c r="AC276" s="467"/>
      <c r="AD276" s="467"/>
      <c r="AE276" s="467"/>
      <c r="AF276" s="467"/>
      <c r="AG276" s="467"/>
    </row>
    <row r="277" spans="5:33" ht="15">
      <c r="E277" s="466"/>
      <c r="F277" s="466"/>
      <c r="G277" s="466"/>
      <c r="H277" s="466"/>
      <c r="I277" s="466"/>
      <c r="J277" s="466"/>
      <c r="K277" s="466"/>
      <c r="R277" s="467"/>
      <c r="S277" s="467"/>
      <c r="T277" s="467"/>
      <c r="U277" s="467"/>
      <c r="V277" s="467"/>
      <c r="W277" s="467"/>
      <c r="AA277" s="467"/>
      <c r="AB277" s="467"/>
      <c r="AC277" s="467"/>
      <c r="AD277" s="467"/>
      <c r="AE277" s="467"/>
      <c r="AF277" s="467"/>
      <c r="AG277" s="467"/>
    </row>
    <row r="278" spans="5:33" ht="15">
      <c r="E278" s="466"/>
      <c r="F278" s="466"/>
      <c r="G278" s="466"/>
      <c r="H278" s="466"/>
      <c r="I278" s="466"/>
      <c r="J278" s="466"/>
      <c r="K278" s="466"/>
      <c r="R278" s="467"/>
      <c r="S278" s="467"/>
      <c r="T278" s="467"/>
      <c r="U278" s="467"/>
      <c r="V278" s="467"/>
      <c r="W278" s="467"/>
      <c r="AA278" s="467"/>
      <c r="AB278" s="467"/>
      <c r="AC278" s="467"/>
      <c r="AD278" s="467"/>
      <c r="AE278" s="467"/>
      <c r="AF278" s="467"/>
      <c r="AG278" s="467"/>
    </row>
    <row r="279" spans="5:33" ht="15">
      <c r="E279" s="466"/>
      <c r="F279" s="466"/>
      <c r="G279" s="466"/>
      <c r="H279" s="466"/>
      <c r="I279" s="466"/>
      <c r="J279" s="466"/>
      <c r="K279" s="466"/>
      <c r="R279" s="467"/>
      <c r="S279" s="467"/>
      <c r="T279" s="467"/>
      <c r="U279" s="467"/>
      <c r="V279" s="467"/>
      <c r="W279" s="467"/>
      <c r="AA279" s="467"/>
      <c r="AB279" s="467"/>
      <c r="AC279" s="467"/>
      <c r="AD279" s="467"/>
      <c r="AE279" s="467"/>
      <c r="AF279" s="467"/>
      <c r="AG279" s="467"/>
    </row>
    <row r="280" spans="5:33" ht="15">
      <c r="E280" s="466"/>
      <c r="F280" s="466"/>
      <c r="G280" s="466"/>
      <c r="H280" s="466"/>
      <c r="I280" s="466"/>
      <c r="J280" s="466"/>
      <c r="K280" s="466"/>
      <c r="R280" s="467"/>
      <c r="S280" s="467"/>
      <c r="T280" s="467"/>
      <c r="U280" s="467"/>
      <c r="V280" s="467"/>
      <c r="W280" s="467"/>
      <c r="AA280" s="467"/>
      <c r="AB280" s="467"/>
      <c r="AC280" s="467"/>
      <c r="AD280" s="467"/>
      <c r="AE280" s="467"/>
      <c r="AF280" s="467"/>
      <c r="AG280" s="467"/>
    </row>
    <row r="281" spans="5:33" ht="15">
      <c r="E281" s="466"/>
      <c r="F281" s="466"/>
      <c r="G281" s="466"/>
      <c r="H281" s="466"/>
      <c r="I281" s="466"/>
      <c r="J281" s="466"/>
      <c r="K281" s="466"/>
      <c r="R281" s="467"/>
      <c r="S281" s="467"/>
      <c r="T281" s="467"/>
      <c r="U281" s="467"/>
      <c r="V281" s="467"/>
      <c r="W281" s="467"/>
      <c r="AA281" s="467"/>
      <c r="AB281" s="467"/>
      <c r="AC281" s="467"/>
      <c r="AD281" s="467"/>
      <c r="AE281" s="467"/>
      <c r="AF281" s="467"/>
      <c r="AG281" s="467"/>
    </row>
    <row r="282" spans="5:33" ht="15">
      <c r="E282" s="466"/>
      <c r="F282" s="466"/>
      <c r="G282" s="466"/>
      <c r="H282" s="466"/>
      <c r="I282" s="466"/>
      <c r="J282" s="466"/>
      <c r="K282" s="466"/>
      <c r="R282" s="467"/>
      <c r="S282" s="467"/>
      <c r="T282" s="467"/>
      <c r="U282" s="467"/>
      <c r="V282" s="467"/>
      <c r="W282" s="467"/>
      <c r="AA282" s="467"/>
      <c r="AB282" s="467"/>
      <c r="AC282" s="467"/>
      <c r="AD282" s="467"/>
      <c r="AE282" s="467"/>
      <c r="AF282" s="467"/>
      <c r="AG282" s="467"/>
    </row>
    <row r="283" spans="5:33" ht="15">
      <c r="E283" s="466"/>
      <c r="F283" s="466"/>
      <c r="G283" s="466"/>
      <c r="H283" s="466"/>
      <c r="I283" s="466"/>
      <c r="J283" s="466"/>
      <c r="K283" s="466"/>
      <c r="R283" s="467"/>
      <c r="S283" s="467"/>
      <c r="T283" s="467"/>
      <c r="U283" s="467"/>
      <c r="V283" s="467"/>
      <c r="W283" s="467"/>
      <c r="AA283" s="467"/>
      <c r="AB283" s="467"/>
      <c r="AC283" s="467"/>
      <c r="AD283" s="467"/>
      <c r="AE283" s="467"/>
      <c r="AF283" s="467"/>
      <c r="AG283" s="467"/>
    </row>
    <row r="284" spans="5:33" ht="15">
      <c r="E284" s="466"/>
      <c r="F284" s="466"/>
      <c r="G284" s="466"/>
      <c r="H284" s="466"/>
      <c r="I284" s="466"/>
      <c r="J284" s="466"/>
      <c r="K284" s="466"/>
      <c r="R284" s="467"/>
      <c r="S284" s="467"/>
      <c r="T284" s="467"/>
      <c r="U284" s="467"/>
      <c r="V284" s="467"/>
      <c r="W284" s="467"/>
      <c r="AA284" s="467"/>
      <c r="AB284" s="467"/>
      <c r="AC284" s="467"/>
      <c r="AD284" s="467"/>
      <c r="AE284" s="467"/>
      <c r="AF284" s="467"/>
      <c r="AG284" s="467"/>
    </row>
    <row r="285" spans="5:33" ht="15">
      <c r="E285" s="466"/>
      <c r="F285" s="466"/>
      <c r="G285" s="466"/>
      <c r="H285" s="466"/>
      <c r="I285" s="466"/>
      <c r="J285" s="466"/>
      <c r="K285" s="466"/>
      <c r="R285" s="467"/>
      <c r="S285" s="467"/>
      <c r="T285" s="467"/>
      <c r="U285" s="467"/>
      <c r="V285" s="467"/>
      <c r="W285" s="467"/>
      <c r="AA285" s="467"/>
      <c r="AB285" s="467"/>
      <c r="AC285" s="467"/>
      <c r="AD285" s="467"/>
      <c r="AE285" s="467"/>
      <c r="AF285" s="467"/>
      <c r="AG285" s="467"/>
    </row>
    <row r="286" spans="5:33" ht="15">
      <c r="E286" s="466"/>
      <c r="F286" s="466"/>
      <c r="G286" s="466"/>
      <c r="H286" s="466"/>
      <c r="I286" s="466"/>
      <c r="J286" s="466"/>
      <c r="K286" s="466"/>
      <c r="R286" s="467"/>
      <c r="S286" s="467"/>
      <c r="T286" s="467"/>
      <c r="U286" s="467"/>
      <c r="V286" s="467"/>
      <c r="W286" s="467"/>
      <c r="AA286" s="467"/>
      <c r="AB286" s="467"/>
      <c r="AC286" s="467"/>
      <c r="AD286" s="467"/>
      <c r="AE286" s="467"/>
      <c r="AF286" s="467"/>
      <c r="AG286" s="467"/>
    </row>
    <row r="287" spans="5:33" ht="15">
      <c r="E287" s="466"/>
      <c r="F287" s="466"/>
      <c r="G287" s="466"/>
      <c r="H287" s="466"/>
      <c r="I287" s="466"/>
      <c r="J287" s="466"/>
      <c r="K287" s="466"/>
      <c r="R287" s="467"/>
      <c r="S287" s="467"/>
      <c r="T287" s="467"/>
      <c r="U287" s="467"/>
      <c r="V287" s="467"/>
      <c r="W287" s="467"/>
      <c r="AA287" s="467"/>
      <c r="AB287" s="467"/>
      <c r="AC287" s="467"/>
      <c r="AD287" s="467"/>
      <c r="AE287" s="467"/>
      <c r="AF287" s="467"/>
      <c r="AG287" s="467"/>
    </row>
    <row r="288" spans="5:33" ht="15">
      <c r="E288" s="466"/>
      <c r="F288" s="466"/>
      <c r="G288" s="466"/>
      <c r="H288" s="466"/>
      <c r="I288" s="466"/>
      <c r="J288" s="466"/>
      <c r="K288" s="466"/>
      <c r="R288" s="467"/>
      <c r="S288" s="467"/>
      <c r="T288" s="467"/>
      <c r="U288" s="467"/>
      <c r="V288" s="467"/>
      <c r="W288" s="467"/>
      <c r="AA288" s="467"/>
      <c r="AB288" s="467"/>
      <c r="AC288" s="467"/>
      <c r="AD288" s="467"/>
      <c r="AE288" s="467"/>
      <c r="AF288" s="467"/>
      <c r="AG288" s="467"/>
    </row>
    <row r="289" spans="5:33" ht="15">
      <c r="E289" s="466"/>
      <c r="F289" s="466"/>
      <c r="G289" s="466"/>
      <c r="H289" s="466"/>
      <c r="I289" s="466"/>
      <c r="J289" s="466"/>
      <c r="K289" s="466"/>
      <c r="R289" s="467"/>
      <c r="S289" s="467"/>
      <c r="T289" s="467"/>
      <c r="U289" s="467"/>
      <c r="V289" s="467"/>
      <c r="W289" s="467"/>
      <c r="AA289" s="467"/>
      <c r="AB289" s="467"/>
      <c r="AC289" s="467"/>
      <c r="AD289" s="467"/>
      <c r="AE289" s="467"/>
      <c r="AF289" s="467"/>
      <c r="AG289" s="467"/>
    </row>
    <row r="290" spans="5:33" ht="15">
      <c r="E290" s="466"/>
      <c r="F290" s="466"/>
      <c r="G290" s="466"/>
      <c r="H290" s="466"/>
      <c r="I290" s="466"/>
      <c r="J290" s="466"/>
      <c r="K290" s="466"/>
      <c r="R290" s="467"/>
      <c r="S290" s="467"/>
      <c r="T290" s="467"/>
      <c r="U290" s="467"/>
      <c r="V290" s="467"/>
      <c r="W290" s="467"/>
      <c r="AA290" s="467"/>
      <c r="AB290" s="467"/>
      <c r="AC290" s="467"/>
      <c r="AD290" s="467"/>
      <c r="AE290" s="467"/>
      <c r="AF290" s="467"/>
      <c r="AG290" s="467"/>
    </row>
    <row r="291" spans="5:33" ht="15">
      <c r="E291" s="466"/>
      <c r="F291" s="466"/>
      <c r="G291" s="466"/>
      <c r="H291" s="466"/>
      <c r="I291" s="466"/>
      <c r="J291" s="466"/>
      <c r="K291" s="466"/>
      <c r="R291" s="467"/>
      <c r="S291" s="467"/>
      <c r="T291" s="467"/>
      <c r="U291" s="467"/>
      <c r="V291" s="467"/>
      <c r="W291" s="467"/>
      <c r="AA291" s="467"/>
      <c r="AB291" s="467"/>
      <c r="AC291" s="467"/>
      <c r="AD291" s="467"/>
      <c r="AE291" s="467"/>
      <c r="AF291" s="467"/>
      <c r="AG291" s="467"/>
    </row>
    <row r="292" spans="5:33" ht="15">
      <c r="E292" s="466"/>
      <c r="F292" s="466"/>
      <c r="G292" s="466"/>
      <c r="H292" s="466"/>
      <c r="I292" s="466"/>
      <c r="J292" s="466"/>
      <c r="K292" s="466"/>
      <c r="R292" s="467"/>
      <c r="S292" s="467"/>
      <c r="T292" s="467"/>
      <c r="U292" s="467"/>
      <c r="V292" s="467"/>
      <c r="W292" s="467"/>
      <c r="AA292" s="467"/>
      <c r="AB292" s="467"/>
      <c r="AC292" s="467"/>
      <c r="AD292" s="467"/>
      <c r="AE292" s="467"/>
      <c r="AF292" s="467"/>
      <c r="AG292" s="467"/>
    </row>
    <row r="293" spans="5:33" ht="15">
      <c r="E293" s="466"/>
      <c r="F293" s="466"/>
      <c r="G293" s="466"/>
      <c r="H293" s="466"/>
      <c r="I293" s="466"/>
      <c r="J293" s="466"/>
      <c r="K293" s="466"/>
      <c r="R293" s="467"/>
      <c r="S293" s="467"/>
      <c r="T293" s="467"/>
      <c r="U293" s="467"/>
      <c r="V293" s="467"/>
      <c r="W293" s="467"/>
      <c r="AA293" s="467"/>
      <c r="AB293" s="467"/>
      <c r="AC293" s="467"/>
      <c r="AD293" s="467"/>
      <c r="AE293" s="467"/>
      <c r="AF293" s="467"/>
      <c r="AG293" s="467"/>
    </row>
    <row r="294" spans="5:33" ht="15">
      <c r="E294" s="466"/>
      <c r="F294" s="466"/>
      <c r="G294" s="466"/>
      <c r="H294" s="466"/>
      <c r="I294" s="466"/>
      <c r="J294" s="466"/>
      <c r="K294" s="466"/>
      <c r="R294" s="467"/>
      <c r="S294" s="467"/>
      <c r="T294" s="467"/>
      <c r="U294" s="467"/>
      <c r="V294" s="467"/>
      <c r="W294" s="467"/>
      <c r="AA294" s="467"/>
      <c r="AB294" s="467"/>
      <c r="AC294" s="467"/>
      <c r="AD294" s="467"/>
      <c r="AE294" s="467"/>
      <c r="AF294" s="467"/>
      <c r="AG294" s="467"/>
    </row>
    <row r="295" spans="5:33" ht="15">
      <c r="E295" s="466"/>
      <c r="F295" s="466"/>
      <c r="G295" s="466"/>
      <c r="H295" s="466"/>
      <c r="I295" s="466"/>
      <c r="J295" s="466"/>
      <c r="K295" s="466"/>
      <c r="R295" s="467"/>
      <c r="S295" s="467"/>
      <c r="T295" s="467"/>
      <c r="U295" s="467"/>
      <c r="V295" s="467"/>
      <c r="W295" s="467"/>
      <c r="AA295" s="467"/>
      <c r="AB295" s="467"/>
      <c r="AC295" s="467"/>
      <c r="AD295" s="467"/>
      <c r="AE295" s="467"/>
      <c r="AF295" s="467"/>
      <c r="AG295" s="467"/>
    </row>
    <row r="296" spans="5:33" ht="15">
      <c r="E296" s="466"/>
      <c r="F296" s="466"/>
      <c r="G296" s="466"/>
      <c r="H296" s="466"/>
      <c r="I296" s="466"/>
      <c r="J296" s="466"/>
      <c r="K296" s="466"/>
      <c r="R296" s="467"/>
      <c r="S296" s="467"/>
      <c r="T296" s="467"/>
      <c r="U296" s="467"/>
      <c r="V296" s="467"/>
      <c r="W296" s="467"/>
      <c r="AA296" s="467"/>
      <c r="AB296" s="467"/>
      <c r="AC296" s="467"/>
      <c r="AD296" s="467"/>
      <c r="AE296" s="467"/>
      <c r="AF296" s="467"/>
      <c r="AG296" s="467"/>
    </row>
    <row r="297" spans="5:33" ht="15">
      <c r="E297" s="466"/>
      <c r="F297" s="466"/>
      <c r="G297" s="466"/>
      <c r="H297" s="466"/>
      <c r="I297" s="466"/>
      <c r="J297" s="466"/>
      <c r="K297" s="466"/>
      <c r="R297" s="467"/>
      <c r="S297" s="467"/>
      <c r="T297" s="467"/>
      <c r="U297" s="467"/>
      <c r="V297" s="467"/>
      <c r="W297" s="467"/>
      <c r="AA297" s="467"/>
      <c r="AB297" s="467"/>
      <c r="AC297" s="467"/>
      <c r="AD297" s="467"/>
      <c r="AE297" s="467"/>
      <c r="AF297" s="467"/>
      <c r="AG297" s="467"/>
    </row>
    <row r="298" spans="5:33" ht="15">
      <c r="E298" s="466"/>
      <c r="F298" s="466"/>
      <c r="G298" s="466"/>
      <c r="H298" s="466"/>
      <c r="I298" s="466"/>
      <c r="J298" s="466"/>
      <c r="K298" s="466"/>
      <c r="R298" s="467"/>
      <c r="S298" s="467"/>
      <c r="T298" s="467"/>
      <c r="U298" s="467"/>
      <c r="V298" s="467"/>
      <c r="W298" s="467"/>
      <c r="AA298" s="467"/>
      <c r="AB298" s="467"/>
      <c r="AC298" s="467"/>
      <c r="AD298" s="467"/>
      <c r="AE298" s="467"/>
      <c r="AF298" s="467"/>
      <c r="AG298" s="467"/>
    </row>
    <row r="299" spans="5:33" ht="15">
      <c r="E299" s="466"/>
      <c r="F299" s="466"/>
      <c r="G299" s="466"/>
      <c r="H299" s="466"/>
      <c r="I299" s="466"/>
      <c r="J299" s="466"/>
      <c r="K299" s="466"/>
      <c r="R299" s="467"/>
      <c r="S299" s="467"/>
      <c r="T299" s="467"/>
      <c r="U299" s="467"/>
      <c r="V299" s="467"/>
      <c r="W299" s="467"/>
      <c r="AA299" s="467"/>
      <c r="AB299" s="467"/>
      <c r="AC299" s="467"/>
      <c r="AD299" s="467"/>
      <c r="AE299" s="467"/>
      <c r="AF299" s="467"/>
      <c r="AG299" s="467"/>
    </row>
    <row r="300" spans="5:33" ht="15">
      <c r="E300" s="466"/>
      <c r="F300" s="466"/>
      <c r="G300" s="466"/>
      <c r="H300" s="466"/>
      <c r="I300" s="466"/>
      <c r="J300" s="466"/>
      <c r="K300" s="466"/>
      <c r="R300" s="467"/>
      <c r="S300" s="467"/>
      <c r="T300" s="467"/>
      <c r="U300" s="467"/>
      <c r="V300" s="467"/>
      <c r="W300" s="467"/>
      <c r="AA300" s="467"/>
      <c r="AB300" s="467"/>
      <c r="AC300" s="467"/>
      <c r="AD300" s="467"/>
      <c r="AE300" s="467"/>
      <c r="AF300" s="467"/>
      <c r="AG300" s="467"/>
    </row>
    <row r="301" spans="5:33" ht="15">
      <c r="E301" s="466"/>
      <c r="F301" s="466"/>
      <c r="G301" s="466"/>
      <c r="H301" s="466"/>
      <c r="I301" s="466"/>
      <c r="J301" s="466"/>
      <c r="K301" s="466"/>
      <c r="R301" s="467"/>
      <c r="S301" s="467"/>
      <c r="T301" s="467"/>
      <c r="U301" s="467"/>
      <c r="V301" s="467"/>
      <c r="W301" s="467"/>
      <c r="AA301" s="467"/>
      <c r="AB301" s="467"/>
      <c r="AC301" s="467"/>
      <c r="AD301" s="467"/>
      <c r="AE301" s="467"/>
      <c r="AF301" s="467"/>
      <c r="AG301" s="467"/>
    </row>
    <row r="302" spans="5:33" ht="15">
      <c r="E302" s="466"/>
      <c r="F302" s="466"/>
      <c r="G302" s="466"/>
      <c r="H302" s="466"/>
      <c r="I302" s="466"/>
      <c r="J302" s="466"/>
      <c r="K302" s="466"/>
      <c r="R302" s="467"/>
      <c r="S302" s="467"/>
      <c r="T302" s="467"/>
      <c r="U302" s="467"/>
      <c r="V302" s="467"/>
      <c r="W302" s="467"/>
      <c r="AA302" s="467"/>
      <c r="AB302" s="467"/>
      <c r="AC302" s="467"/>
      <c r="AD302" s="467"/>
      <c r="AE302" s="467"/>
      <c r="AF302" s="467"/>
      <c r="AG302" s="467"/>
    </row>
    <row r="303" spans="5:33" ht="15">
      <c r="E303" s="466"/>
      <c r="F303" s="466"/>
      <c r="G303" s="466"/>
      <c r="H303" s="466"/>
      <c r="I303" s="466"/>
      <c r="J303" s="466"/>
      <c r="K303" s="466"/>
      <c r="R303" s="467"/>
      <c r="S303" s="467"/>
      <c r="T303" s="467"/>
      <c r="U303" s="467"/>
      <c r="V303" s="467"/>
      <c r="W303" s="467"/>
      <c r="AA303" s="467"/>
      <c r="AB303" s="467"/>
      <c r="AC303" s="467"/>
      <c r="AD303" s="467"/>
      <c r="AE303" s="467"/>
      <c r="AF303" s="467"/>
      <c r="AG303" s="467"/>
    </row>
    <row r="304" spans="5:33" ht="15">
      <c r="E304" s="466"/>
      <c r="F304" s="466"/>
      <c r="G304" s="466"/>
      <c r="H304" s="466"/>
      <c r="I304" s="466"/>
      <c r="J304" s="466"/>
      <c r="K304" s="466"/>
      <c r="R304" s="467"/>
      <c r="S304" s="467"/>
      <c r="T304" s="467"/>
      <c r="U304" s="467"/>
      <c r="V304" s="467"/>
      <c r="W304" s="467"/>
      <c r="AA304" s="467"/>
      <c r="AB304" s="467"/>
      <c r="AC304" s="467"/>
      <c r="AD304" s="467"/>
      <c r="AE304" s="467"/>
      <c r="AF304" s="467"/>
      <c r="AG304" s="467"/>
    </row>
    <row r="305" spans="5:33" ht="15">
      <c r="E305" s="466"/>
      <c r="F305" s="466"/>
      <c r="G305" s="466"/>
      <c r="H305" s="466"/>
      <c r="I305" s="466"/>
      <c r="J305" s="466"/>
      <c r="K305" s="466"/>
      <c r="R305" s="467"/>
      <c r="S305" s="467"/>
      <c r="T305" s="467"/>
      <c r="U305" s="467"/>
      <c r="V305" s="467"/>
      <c r="W305" s="467"/>
      <c r="AA305" s="467"/>
      <c r="AB305" s="467"/>
      <c r="AC305" s="467"/>
      <c r="AD305" s="467"/>
      <c r="AE305" s="467"/>
      <c r="AF305" s="467"/>
      <c r="AG305" s="467"/>
    </row>
    <row r="306" spans="5:33" ht="15">
      <c r="E306" s="466"/>
      <c r="F306" s="466"/>
      <c r="G306" s="466"/>
      <c r="H306" s="466"/>
      <c r="I306" s="466"/>
      <c r="J306" s="466"/>
      <c r="K306" s="466"/>
      <c r="R306" s="467"/>
      <c r="S306" s="467"/>
      <c r="T306" s="467"/>
      <c r="U306" s="467"/>
      <c r="V306" s="467"/>
      <c r="W306" s="467"/>
      <c r="AA306" s="467"/>
      <c r="AB306" s="467"/>
      <c r="AC306" s="467"/>
      <c r="AD306" s="467"/>
      <c r="AE306" s="467"/>
      <c r="AF306" s="467"/>
      <c r="AG306" s="467"/>
    </row>
    <row r="307" spans="5:33" ht="15">
      <c r="E307" s="466"/>
      <c r="F307" s="466"/>
      <c r="G307" s="466"/>
      <c r="H307" s="466"/>
      <c r="I307" s="466"/>
      <c r="J307" s="466"/>
      <c r="K307" s="466"/>
      <c r="R307" s="467"/>
      <c r="S307" s="467"/>
      <c r="T307" s="467"/>
      <c r="U307" s="467"/>
      <c r="V307" s="467"/>
      <c r="W307" s="467"/>
      <c r="AA307" s="467"/>
      <c r="AB307" s="467"/>
      <c r="AC307" s="467"/>
      <c r="AD307" s="467"/>
      <c r="AE307" s="467"/>
      <c r="AF307" s="467"/>
      <c r="AG307" s="467"/>
    </row>
    <row r="308" spans="5:33" ht="15">
      <c r="E308" s="466"/>
      <c r="F308" s="466"/>
      <c r="G308" s="466"/>
      <c r="H308" s="466"/>
      <c r="I308" s="466"/>
      <c r="J308" s="466"/>
      <c r="K308" s="466"/>
      <c r="R308" s="467"/>
      <c r="S308" s="467"/>
      <c r="T308" s="467"/>
      <c r="U308" s="467"/>
      <c r="V308" s="467"/>
      <c r="W308" s="467"/>
      <c r="AA308" s="467"/>
      <c r="AB308" s="467"/>
      <c r="AC308" s="467"/>
      <c r="AD308" s="467"/>
      <c r="AE308" s="467"/>
      <c r="AF308" s="467"/>
      <c r="AG308" s="467"/>
    </row>
    <row r="309" spans="5:33" ht="15">
      <c r="E309" s="466"/>
      <c r="F309" s="466"/>
      <c r="G309" s="466"/>
      <c r="H309" s="466"/>
      <c r="I309" s="466"/>
      <c r="J309" s="466"/>
      <c r="K309" s="466"/>
      <c r="R309" s="467"/>
      <c r="S309" s="467"/>
      <c r="T309" s="467"/>
      <c r="U309" s="467"/>
      <c r="V309" s="467"/>
      <c r="W309" s="467"/>
      <c r="AA309" s="467"/>
      <c r="AB309" s="467"/>
      <c r="AC309" s="467"/>
      <c r="AD309" s="467"/>
      <c r="AE309" s="467"/>
      <c r="AF309" s="467"/>
      <c r="AG309" s="467"/>
    </row>
    <row r="310" spans="5:33" ht="15">
      <c r="E310" s="466"/>
      <c r="F310" s="466"/>
      <c r="G310" s="466"/>
      <c r="H310" s="466"/>
      <c r="I310" s="466"/>
      <c r="J310" s="466"/>
      <c r="K310" s="466"/>
      <c r="R310" s="467"/>
      <c r="S310" s="467"/>
      <c r="T310" s="467"/>
      <c r="U310" s="467"/>
      <c r="V310" s="467"/>
      <c r="W310" s="467"/>
      <c r="AA310" s="467"/>
      <c r="AB310" s="467"/>
      <c r="AC310" s="467"/>
      <c r="AD310" s="467"/>
      <c r="AE310" s="467"/>
      <c r="AF310" s="467"/>
      <c r="AG310" s="467"/>
    </row>
    <row r="311" spans="5:33" ht="15">
      <c r="E311" s="466"/>
      <c r="F311" s="466"/>
      <c r="G311" s="466"/>
      <c r="H311" s="466"/>
      <c r="I311" s="466"/>
      <c r="J311" s="466"/>
      <c r="K311" s="466"/>
      <c r="R311" s="467"/>
      <c r="S311" s="467"/>
      <c r="T311" s="467"/>
      <c r="U311" s="467"/>
      <c r="V311" s="467"/>
      <c r="W311" s="467"/>
      <c r="AA311" s="467"/>
      <c r="AB311" s="467"/>
      <c r="AC311" s="467"/>
      <c r="AD311" s="467"/>
      <c r="AE311" s="467"/>
      <c r="AF311" s="467"/>
      <c r="AG311" s="467"/>
    </row>
    <row r="312" spans="5:33" ht="15">
      <c r="E312" s="466"/>
      <c r="F312" s="466"/>
      <c r="G312" s="466"/>
      <c r="H312" s="466"/>
      <c r="I312" s="466"/>
      <c r="J312" s="466"/>
      <c r="K312" s="466"/>
      <c r="R312" s="467"/>
      <c r="S312" s="467"/>
      <c r="T312" s="467"/>
      <c r="U312" s="467"/>
      <c r="V312" s="467"/>
      <c r="W312" s="467"/>
      <c r="AA312" s="467"/>
      <c r="AB312" s="467"/>
      <c r="AC312" s="467"/>
      <c r="AD312" s="467"/>
      <c r="AE312" s="467"/>
      <c r="AF312" s="467"/>
      <c r="AG312" s="467"/>
    </row>
    <row r="313" spans="5:33" ht="15">
      <c r="E313" s="466"/>
      <c r="F313" s="466"/>
      <c r="G313" s="466"/>
      <c r="H313" s="466"/>
      <c r="I313" s="466"/>
      <c r="J313" s="466"/>
      <c r="K313" s="466"/>
      <c r="R313" s="467"/>
      <c r="S313" s="467"/>
      <c r="T313" s="467"/>
      <c r="U313" s="467"/>
      <c r="V313" s="467"/>
      <c r="W313" s="467"/>
      <c r="AA313" s="467"/>
      <c r="AB313" s="467"/>
      <c r="AC313" s="467"/>
      <c r="AD313" s="467"/>
      <c r="AE313" s="467"/>
      <c r="AF313" s="467"/>
      <c r="AG313" s="467"/>
    </row>
    <row r="314" spans="5:33" ht="15">
      <c r="E314" s="466"/>
      <c r="F314" s="466"/>
      <c r="G314" s="466"/>
      <c r="H314" s="466"/>
      <c r="I314" s="466"/>
      <c r="J314" s="466"/>
      <c r="K314" s="466"/>
      <c r="R314" s="467"/>
      <c r="S314" s="467"/>
      <c r="T314" s="467"/>
      <c r="U314" s="467"/>
      <c r="V314" s="467"/>
      <c r="W314" s="467"/>
      <c r="AA314" s="467"/>
      <c r="AB314" s="467"/>
      <c r="AC314" s="467"/>
      <c r="AD314" s="467"/>
      <c r="AE314" s="467"/>
      <c r="AF314" s="467"/>
      <c r="AG314" s="467"/>
    </row>
    <row r="315" spans="5:33" ht="15">
      <c r="E315" s="466"/>
      <c r="F315" s="466"/>
      <c r="G315" s="466"/>
      <c r="H315" s="466"/>
      <c r="I315" s="466"/>
      <c r="J315" s="466"/>
      <c r="K315" s="466"/>
      <c r="R315" s="467"/>
      <c r="S315" s="467"/>
      <c r="T315" s="467"/>
      <c r="U315" s="467"/>
      <c r="V315" s="467"/>
      <c r="W315" s="467"/>
      <c r="AA315" s="467"/>
      <c r="AB315" s="467"/>
      <c r="AC315" s="467"/>
      <c r="AD315" s="467"/>
      <c r="AE315" s="467"/>
      <c r="AF315" s="467"/>
      <c r="AG315" s="467"/>
    </row>
    <row r="316" spans="5:33" ht="15">
      <c r="E316" s="466"/>
      <c r="F316" s="466"/>
      <c r="G316" s="466"/>
      <c r="H316" s="466"/>
      <c r="I316" s="466"/>
      <c r="J316" s="466"/>
      <c r="K316" s="466"/>
      <c r="R316" s="467"/>
      <c r="S316" s="467"/>
      <c r="T316" s="467"/>
      <c r="U316" s="467"/>
      <c r="V316" s="467"/>
      <c r="W316" s="467"/>
      <c r="AA316" s="467"/>
      <c r="AB316" s="467"/>
      <c r="AC316" s="467"/>
      <c r="AD316" s="467"/>
      <c r="AE316" s="467"/>
      <c r="AF316" s="467"/>
      <c r="AG316" s="467"/>
    </row>
    <row r="317" spans="5:33" ht="15">
      <c r="E317" s="466"/>
      <c r="F317" s="466"/>
      <c r="G317" s="466"/>
      <c r="H317" s="466"/>
      <c r="I317" s="466"/>
      <c r="J317" s="466"/>
      <c r="K317" s="466"/>
      <c r="R317" s="467"/>
      <c r="S317" s="467"/>
      <c r="T317" s="467"/>
      <c r="U317" s="467"/>
      <c r="V317" s="467"/>
      <c r="W317" s="467"/>
      <c r="AA317" s="467"/>
      <c r="AB317" s="467"/>
      <c r="AC317" s="467"/>
      <c r="AD317" s="467"/>
      <c r="AE317" s="467"/>
      <c r="AF317" s="467"/>
      <c r="AG317" s="467"/>
    </row>
    <row r="318" spans="5:33" ht="15">
      <c r="E318" s="466"/>
      <c r="F318" s="466"/>
      <c r="G318" s="466"/>
      <c r="H318" s="466"/>
      <c r="I318" s="466"/>
      <c r="J318" s="466"/>
      <c r="K318" s="466"/>
      <c r="R318" s="467"/>
      <c r="S318" s="467"/>
      <c r="T318" s="467"/>
      <c r="U318" s="467"/>
      <c r="V318" s="467"/>
      <c r="W318" s="467"/>
      <c r="AA318" s="467"/>
      <c r="AB318" s="467"/>
      <c r="AC318" s="467"/>
      <c r="AD318" s="467"/>
      <c r="AE318" s="467"/>
      <c r="AF318" s="467"/>
      <c r="AG318" s="467"/>
    </row>
    <row r="319" spans="5:33" ht="15">
      <c r="E319" s="466"/>
      <c r="F319" s="466"/>
      <c r="G319" s="466"/>
      <c r="H319" s="466"/>
      <c r="I319" s="466"/>
      <c r="J319" s="466"/>
      <c r="K319" s="466"/>
      <c r="R319" s="467"/>
      <c r="S319" s="467"/>
      <c r="T319" s="467"/>
      <c r="U319" s="467"/>
      <c r="V319" s="467"/>
      <c r="W319" s="467"/>
      <c r="AA319" s="467"/>
      <c r="AB319" s="467"/>
      <c r="AC319" s="467"/>
      <c r="AD319" s="467"/>
      <c r="AE319" s="467"/>
      <c r="AF319" s="467"/>
      <c r="AG319" s="467"/>
    </row>
    <row r="320" spans="5:33" ht="15">
      <c r="E320" s="466"/>
      <c r="F320" s="466"/>
      <c r="G320" s="466"/>
      <c r="H320" s="466"/>
      <c r="I320" s="466"/>
      <c r="J320" s="466"/>
      <c r="K320" s="466"/>
      <c r="R320" s="467"/>
      <c r="S320" s="467"/>
      <c r="T320" s="467"/>
      <c r="U320" s="467"/>
      <c r="V320" s="467"/>
      <c r="W320" s="467"/>
      <c r="AA320" s="467"/>
      <c r="AB320" s="467"/>
      <c r="AC320" s="467"/>
      <c r="AD320" s="467"/>
      <c r="AE320" s="467"/>
      <c r="AF320" s="467"/>
      <c r="AG320" s="467"/>
    </row>
    <row r="321" spans="5:33" ht="15">
      <c r="E321" s="466"/>
      <c r="F321" s="466"/>
      <c r="G321" s="466"/>
      <c r="H321" s="466"/>
      <c r="I321" s="466"/>
      <c r="J321" s="466"/>
      <c r="K321" s="466"/>
      <c r="R321" s="467"/>
      <c r="S321" s="467"/>
      <c r="T321" s="467"/>
      <c r="U321" s="467"/>
      <c r="V321" s="467"/>
      <c r="W321" s="467"/>
      <c r="AA321" s="467"/>
      <c r="AB321" s="467"/>
      <c r="AC321" s="467"/>
      <c r="AD321" s="467"/>
      <c r="AE321" s="467"/>
      <c r="AF321" s="467"/>
      <c r="AG321" s="467"/>
    </row>
    <row r="322" spans="5:33" ht="15">
      <c r="E322" s="466"/>
      <c r="F322" s="466"/>
      <c r="G322" s="466"/>
      <c r="H322" s="466"/>
      <c r="I322" s="466"/>
      <c r="J322" s="466"/>
      <c r="K322" s="466"/>
      <c r="R322" s="467"/>
      <c r="S322" s="467"/>
      <c r="T322" s="467"/>
      <c r="U322" s="467"/>
      <c r="V322" s="467"/>
      <c r="W322" s="467"/>
      <c r="AA322" s="467"/>
      <c r="AB322" s="467"/>
      <c r="AC322" s="467"/>
      <c r="AD322" s="467"/>
      <c r="AE322" s="467"/>
      <c r="AF322" s="467"/>
      <c r="AG322" s="467"/>
    </row>
    <row r="323" spans="5:33" ht="15">
      <c r="E323" s="466"/>
      <c r="F323" s="466"/>
      <c r="G323" s="466"/>
      <c r="H323" s="466"/>
      <c r="I323" s="466"/>
      <c r="J323" s="466"/>
      <c r="K323" s="466"/>
      <c r="R323" s="467"/>
      <c r="S323" s="467"/>
      <c r="T323" s="467"/>
      <c r="U323" s="467"/>
      <c r="V323" s="467"/>
      <c r="W323" s="467"/>
      <c r="AA323" s="467"/>
      <c r="AB323" s="467"/>
      <c r="AC323" s="467"/>
      <c r="AD323" s="467"/>
      <c r="AE323" s="467"/>
      <c r="AF323" s="467"/>
      <c r="AG323" s="467"/>
    </row>
    <row r="324" spans="5:33" ht="15">
      <c r="E324" s="466"/>
      <c r="F324" s="466"/>
      <c r="G324" s="466"/>
      <c r="H324" s="466"/>
      <c r="I324" s="466"/>
      <c r="J324" s="466"/>
      <c r="K324" s="466"/>
      <c r="R324" s="467"/>
      <c r="S324" s="467"/>
      <c r="T324" s="467"/>
      <c r="U324" s="467"/>
      <c r="V324" s="467"/>
      <c r="W324" s="467"/>
      <c r="AA324" s="467"/>
      <c r="AB324" s="467"/>
      <c r="AC324" s="467"/>
      <c r="AD324" s="467"/>
      <c r="AE324" s="467"/>
      <c r="AF324" s="467"/>
      <c r="AG324" s="467"/>
    </row>
    <row r="325" spans="5:33" ht="15">
      <c r="E325" s="466"/>
      <c r="F325" s="466"/>
      <c r="G325" s="466"/>
      <c r="H325" s="466"/>
      <c r="I325" s="466"/>
      <c r="J325" s="466"/>
      <c r="K325" s="466"/>
      <c r="R325" s="467"/>
      <c r="S325" s="467"/>
      <c r="T325" s="467"/>
      <c r="U325" s="467"/>
      <c r="V325" s="467"/>
      <c r="W325" s="467"/>
      <c r="AA325" s="467"/>
      <c r="AB325" s="467"/>
      <c r="AC325" s="467"/>
      <c r="AD325" s="467"/>
      <c r="AE325" s="467"/>
      <c r="AF325" s="467"/>
      <c r="AG325" s="467"/>
    </row>
    <row r="326" spans="5:33" ht="15">
      <c r="E326" s="466"/>
      <c r="F326" s="466"/>
      <c r="G326" s="466"/>
      <c r="H326" s="466"/>
      <c r="I326" s="466"/>
      <c r="J326" s="466"/>
      <c r="K326" s="466"/>
      <c r="R326" s="467"/>
      <c r="S326" s="467"/>
      <c r="T326" s="467"/>
      <c r="U326" s="467"/>
      <c r="V326" s="467"/>
      <c r="W326" s="467"/>
      <c r="AA326" s="467"/>
      <c r="AB326" s="467"/>
      <c r="AC326" s="467"/>
      <c r="AD326" s="467"/>
      <c r="AE326" s="467"/>
      <c r="AF326" s="467"/>
      <c r="AG326" s="467"/>
    </row>
    <row r="327" spans="5:33" ht="15">
      <c r="E327" s="466"/>
      <c r="F327" s="466"/>
      <c r="G327" s="466"/>
      <c r="H327" s="466"/>
      <c r="I327" s="466"/>
      <c r="J327" s="466"/>
      <c r="K327" s="466"/>
      <c r="R327" s="467"/>
      <c r="S327" s="467"/>
      <c r="T327" s="467"/>
      <c r="U327" s="467"/>
      <c r="V327" s="467"/>
      <c r="W327" s="467"/>
      <c r="AA327" s="467"/>
      <c r="AB327" s="467"/>
      <c r="AC327" s="467"/>
      <c r="AD327" s="467"/>
      <c r="AE327" s="467"/>
      <c r="AF327" s="467"/>
      <c r="AG327" s="467"/>
    </row>
    <row r="328" spans="5:33" ht="15">
      <c r="E328" s="466"/>
      <c r="F328" s="466"/>
      <c r="G328" s="466"/>
      <c r="H328" s="466"/>
      <c r="I328" s="466"/>
      <c r="J328" s="466"/>
      <c r="K328" s="466"/>
      <c r="R328" s="467"/>
      <c r="S328" s="467"/>
      <c r="T328" s="467"/>
      <c r="U328" s="467"/>
      <c r="V328" s="467"/>
      <c r="W328" s="467"/>
      <c r="AA328" s="467"/>
      <c r="AB328" s="467"/>
      <c r="AC328" s="467"/>
      <c r="AD328" s="467"/>
      <c r="AE328" s="467"/>
      <c r="AF328" s="467"/>
      <c r="AG328" s="467"/>
    </row>
    <row r="329" spans="5:33" ht="15">
      <c r="E329" s="466"/>
      <c r="F329" s="466"/>
      <c r="G329" s="466"/>
      <c r="H329" s="466"/>
      <c r="I329" s="466"/>
      <c r="J329" s="466"/>
      <c r="K329" s="466"/>
      <c r="R329" s="467"/>
      <c r="S329" s="467"/>
      <c r="T329" s="467"/>
      <c r="U329" s="467"/>
      <c r="V329" s="467"/>
      <c r="W329" s="467"/>
      <c r="AA329" s="467"/>
      <c r="AB329" s="467"/>
      <c r="AC329" s="467"/>
      <c r="AD329" s="467"/>
      <c r="AE329" s="467"/>
      <c r="AF329" s="467"/>
      <c r="AG329" s="467"/>
    </row>
    <row r="330" spans="5:33" ht="15">
      <c r="E330" s="466"/>
      <c r="F330" s="466"/>
      <c r="G330" s="466"/>
      <c r="H330" s="466"/>
      <c r="I330" s="466"/>
      <c r="J330" s="466"/>
      <c r="K330" s="466"/>
      <c r="R330" s="467"/>
      <c r="S330" s="467"/>
      <c r="T330" s="467"/>
      <c r="U330" s="467"/>
      <c r="V330" s="467"/>
      <c r="W330" s="467"/>
      <c r="AA330" s="467"/>
      <c r="AB330" s="467"/>
      <c r="AC330" s="467"/>
      <c r="AD330" s="467"/>
      <c r="AE330" s="467"/>
      <c r="AF330" s="467"/>
      <c r="AG330" s="467"/>
    </row>
    <row r="331" spans="5:33" ht="15">
      <c r="E331" s="466"/>
      <c r="F331" s="466"/>
      <c r="G331" s="466"/>
      <c r="H331" s="466"/>
      <c r="I331" s="466"/>
      <c r="J331" s="466"/>
      <c r="K331" s="466"/>
      <c r="R331" s="467"/>
      <c r="S331" s="467"/>
      <c r="T331" s="467"/>
      <c r="U331" s="467"/>
      <c r="V331" s="467"/>
      <c r="W331" s="467"/>
      <c r="AA331" s="467"/>
      <c r="AB331" s="467"/>
      <c r="AC331" s="467"/>
      <c r="AD331" s="467"/>
      <c r="AE331" s="467"/>
      <c r="AF331" s="467"/>
      <c r="AG331" s="467"/>
    </row>
    <row r="332" spans="5:33" ht="15">
      <c r="E332" s="466"/>
      <c r="F332" s="466"/>
      <c r="G332" s="466"/>
      <c r="H332" s="466"/>
      <c r="I332" s="466"/>
      <c r="J332" s="466"/>
      <c r="K332" s="466"/>
      <c r="R332" s="467"/>
      <c r="S332" s="467"/>
      <c r="T332" s="467"/>
      <c r="U332" s="467"/>
      <c r="V332" s="467"/>
      <c r="W332" s="467"/>
      <c r="AA332" s="467"/>
      <c r="AB332" s="467"/>
      <c r="AC332" s="467"/>
      <c r="AD332" s="467"/>
      <c r="AE332" s="467"/>
      <c r="AF332" s="467"/>
      <c r="AG332" s="467"/>
    </row>
    <row r="333" spans="5:33" ht="15">
      <c r="E333" s="466"/>
      <c r="F333" s="466"/>
      <c r="G333" s="466"/>
      <c r="H333" s="466"/>
      <c r="I333" s="466"/>
      <c r="J333" s="466"/>
      <c r="K333" s="466"/>
      <c r="R333" s="467"/>
      <c r="S333" s="467"/>
      <c r="T333" s="467"/>
      <c r="U333" s="467"/>
      <c r="V333" s="467"/>
      <c r="W333" s="467"/>
      <c r="AA333" s="467"/>
      <c r="AB333" s="467"/>
      <c r="AC333" s="467"/>
      <c r="AD333" s="467"/>
      <c r="AE333" s="467"/>
      <c r="AF333" s="467"/>
      <c r="AG333" s="467"/>
    </row>
    <row r="334" spans="5:33" ht="15">
      <c r="E334" s="466"/>
      <c r="F334" s="466"/>
      <c r="G334" s="466"/>
      <c r="H334" s="466"/>
      <c r="I334" s="466"/>
      <c r="J334" s="466"/>
      <c r="K334" s="466"/>
      <c r="R334" s="467"/>
      <c r="S334" s="467"/>
      <c r="T334" s="467"/>
      <c r="U334" s="467"/>
      <c r="V334" s="467"/>
      <c r="W334" s="467"/>
      <c r="AA334" s="467"/>
      <c r="AB334" s="467"/>
      <c r="AC334" s="467"/>
      <c r="AD334" s="467"/>
      <c r="AE334" s="467"/>
      <c r="AF334" s="467"/>
      <c r="AG334" s="467"/>
    </row>
    <row r="335" spans="5:33" ht="15">
      <c r="E335" s="466"/>
      <c r="F335" s="466"/>
      <c r="G335" s="466"/>
      <c r="H335" s="466"/>
      <c r="I335" s="466"/>
      <c r="J335" s="466"/>
      <c r="K335" s="466"/>
      <c r="R335" s="467"/>
      <c r="S335" s="467"/>
      <c r="T335" s="467"/>
      <c r="U335" s="467"/>
      <c r="V335" s="467"/>
      <c r="W335" s="467"/>
      <c r="AA335" s="467"/>
      <c r="AB335" s="467"/>
      <c r="AC335" s="467"/>
      <c r="AD335" s="467"/>
      <c r="AE335" s="467"/>
      <c r="AF335" s="467"/>
      <c r="AG335" s="467"/>
    </row>
    <row r="336" spans="5:33" ht="15">
      <c r="E336" s="466"/>
      <c r="F336" s="466"/>
      <c r="G336" s="466"/>
      <c r="H336" s="466"/>
      <c r="I336" s="466"/>
      <c r="J336" s="466"/>
      <c r="K336" s="466"/>
      <c r="R336" s="467"/>
      <c r="S336" s="467"/>
      <c r="T336" s="467"/>
      <c r="U336" s="467"/>
      <c r="V336" s="467"/>
      <c r="W336" s="467"/>
      <c r="AA336" s="467"/>
      <c r="AB336" s="467"/>
      <c r="AC336" s="467"/>
      <c r="AD336" s="467"/>
      <c r="AE336" s="467"/>
      <c r="AF336" s="467"/>
      <c r="AG336" s="467"/>
    </row>
    <row r="337" spans="5:33" ht="15">
      <c r="E337" s="466"/>
      <c r="F337" s="466"/>
      <c r="G337" s="466"/>
      <c r="H337" s="466"/>
      <c r="I337" s="466"/>
      <c r="J337" s="466"/>
      <c r="K337" s="466"/>
      <c r="R337" s="467"/>
      <c r="S337" s="467"/>
      <c r="T337" s="467"/>
      <c r="U337" s="467"/>
      <c r="V337" s="467"/>
      <c r="W337" s="467"/>
      <c r="AA337" s="467"/>
      <c r="AB337" s="467"/>
      <c r="AC337" s="467"/>
      <c r="AD337" s="467"/>
      <c r="AE337" s="467"/>
      <c r="AF337" s="467"/>
      <c r="AG337" s="467"/>
    </row>
    <row r="338" spans="5:33" ht="15">
      <c r="E338" s="466"/>
      <c r="F338" s="466"/>
      <c r="G338" s="466"/>
      <c r="H338" s="466"/>
      <c r="I338" s="466"/>
      <c r="J338" s="466"/>
      <c r="K338" s="466"/>
      <c r="R338" s="467"/>
      <c r="S338" s="467"/>
      <c r="T338" s="467"/>
      <c r="U338" s="467"/>
      <c r="V338" s="467"/>
      <c r="W338" s="467"/>
      <c r="AA338" s="467"/>
      <c r="AB338" s="467"/>
      <c r="AC338" s="467"/>
      <c r="AD338" s="467"/>
      <c r="AE338" s="467"/>
      <c r="AF338" s="467"/>
      <c r="AG338" s="467"/>
    </row>
    <row r="339" spans="5:33" ht="15">
      <c r="E339" s="466"/>
      <c r="F339" s="466"/>
      <c r="G339" s="466"/>
      <c r="H339" s="466"/>
      <c r="I339" s="466"/>
      <c r="J339" s="466"/>
      <c r="K339" s="466"/>
      <c r="R339" s="467"/>
      <c r="S339" s="467"/>
      <c r="T339" s="467"/>
      <c r="U339" s="467"/>
      <c r="V339" s="467"/>
      <c r="W339" s="467"/>
      <c r="AA339" s="467"/>
      <c r="AB339" s="467"/>
      <c r="AC339" s="467"/>
      <c r="AD339" s="467"/>
      <c r="AE339" s="467"/>
      <c r="AF339" s="467"/>
      <c r="AG339" s="467"/>
    </row>
    <row r="340" spans="5:33" ht="15">
      <c r="E340" s="466"/>
      <c r="F340" s="466"/>
      <c r="G340" s="466"/>
      <c r="H340" s="466"/>
      <c r="I340" s="466"/>
      <c r="J340" s="466"/>
      <c r="K340" s="466"/>
      <c r="R340" s="467"/>
      <c r="S340" s="467"/>
      <c r="T340" s="467"/>
      <c r="U340" s="467"/>
      <c r="V340" s="467"/>
      <c r="W340" s="467"/>
      <c r="AA340" s="467"/>
      <c r="AB340" s="467"/>
      <c r="AC340" s="467"/>
      <c r="AD340" s="467"/>
      <c r="AE340" s="467"/>
      <c r="AF340" s="467"/>
      <c r="AG340" s="467"/>
    </row>
    <row r="341" spans="5:33" ht="15">
      <c r="E341" s="466"/>
      <c r="F341" s="466"/>
      <c r="G341" s="466"/>
      <c r="H341" s="466"/>
      <c r="I341" s="466"/>
      <c r="J341" s="466"/>
      <c r="K341" s="466"/>
      <c r="R341" s="467"/>
      <c r="S341" s="467"/>
      <c r="T341" s="467"/>
      <c r="U341" s="467"/>
      <c r="V341" s="467"/>
      <c r="W341" s="467"/>
      <c r="AA341" s="467"/>
      <c r="AB341" s="467"/>
      <c r="AC341" s="467"/>
      <c r="AD341" s="467"/>
      <c r="AE341" s="467"/>
      <c r="AF341" s="467"/>
      <c r="AG341" s="467"/>
    </row>
    <row r="342" spans="5:33" ht="15">
      <c r="E342" s="466"/>
      <c r="F342" s="466"/>
      <c r="G342" s="466"/>
      <c r="H342" s="466"/>
      <c r="I342" s="466"/>
      <c r="J342" s="466"/>
      <c r="K342" s="466"/>
      <c r="R342" s="467"/>
      <c r="S342" s="467"/>
      <c r="T342" s="467"/>
      <c r="U342" s="467"/>
      <c r="V342" s="467"/>
      <c r="W342" s="467"/>
      <c r="AA342" s="467"/>
      <c r="AB342" s="467"/>
      <c r="AC342" s="467"/>
      <c r="AD342" s="467"/>
      <c r="AE342" s="467"/>
      <c r="AF342" s="467"/>
      <c r="AG342" s="467"/>
    </row>
    <row r="343" spans="5:33" ht="15">
      <c r="E343" s="466"/>
      <c r="F343" s="466"/>
      <c r="G343" s="466"/>
      <c r="H343" s="466"/>
      <c r="I343" s="466"/>
      <c r="J343" s="466"/>
      <c r="K343" s="466"/>
      <c r="R343" s="467"/>
      <c r="S343" s="467"/>
      <c r="T343" s="467"/>
      <c r="U343" s="467"/>
      <c r="V343" s="467"/>
      <c r="W343" s="467"/>
      <c r="AA343" s="467"/>
      <c r="AB343" s="467"/>
      <c r="AC343" s="467"/>
      <c r="AD343" s="467"/>
      <c r="AE343" s="467"/>
      <c r="AF343" s="467"/>
      <c r="AG343" s="467"/>
    </row>
    <row r="344" spans="5:33" ht="15">
      <c r="E344" s="466"/>
      <c r="F344" s="466"/>
      <c r="G344" s="466"/>
      <c r="H344" s="466"/>
      <c r="I344" s="466"/>
      <c r="J344" s="466"/>
      <c r="K344" s="466"/>
      <c r="R344" s="467"/>
      <c r="S344" s="467"/>
      <c r="T344" s="467"/>
      <c r="U344" s="467"/>
      <c r="V344" s="467"/>
      <c r="W344" s="467"/>
      <c r="AA344" s="467"/>
      <c r="AB344" s="467"/>
      <c r="AC344" s="467"/>
      <c r="AD344" s="467"/>
      <c r="AE344" s="467"/>
      <c r="AF344" s="467"/>
      <c r="AG344" s="467"/>
    </row>
    <row r="345" spans="5:33" ht="15">
      <c r="E345" s="466"/>
      <c r="F345" s="466"/>
      <c r="G345" s="466"/>
      <c r="H345" s="466"/>
      <c r="I345" s="466"/>
      <c r="J345" s="466"/>
      <c r="K345" s="466"/>
      <c r="R345" s="467"/>
      <c r="S345" s="467"/>
      <c r="T345" s="467"/>
      <c r="U345" s="467"/>
      <c r="V345" s="467"/>
      <c r="W345" s="467"/>
      <c r="AA345" s="467"/>
      <c r="AB345" s="467"/>
      <c r="AC345" s="467"/>
      <c r="AD345" s="467"/>
      <c r="AE345" s="467"/>
      <c r="AF345" s="467"/>
      <c r="AG345" s="467"/>
    </row>
    <row r="346" spans="5:33" ht="15">
      <c r="E346" s="466"/>
      <c r="F346" s="466"/>
      <c r="G346" s="466"/>
      <c r="H346" s="466"/>
      <c r="I346" s="466"/>
      <c r="J346" s="466"/>
      <c r="K346" s="466"/>
      <c r="R346" s="467"/>
      <c r="S346" s="467"/>
      <c r="T346" s="467"/>
      <c r="U346" s="467"/>
      <c r="V346" s="467"/>
      <c r="W346" s="467"/>
      <c r="AA346" s="467"/>
      <c r="AB346" s="467"/>
      <c r="AC346" s="467"/>
      <c r="AD346" s="467"/>
      <c r="AE346" s="467"/>
      <c r="AF346" s="467"/>
      <c r="AG346" s="467"/>
    </row>
    <row r="347" spans="5:33" ht="15">
      <c r="E347" s="466"/>
      <c r="F347" s="466"/>
      <c r="G347" s="466"/>
      <c r="H347" s="466"/>
      <c r="I347" s="466"/>
      <c r="J347" s="466"/>
      <c r="K347" s="466"/>
      <c r="R347" s="467"/>
      <c r="S347" s="467"/>
      <c r="T347" s="467"/>
      <c r="U347" s="467"/>
      <c r="V347" s="467"/>
      <c r="W347" s="467"/>
      <c r="AA347" s="467"/>
      <c r="AB347" s="467"/>
      <c r="AC347" s="467"/>
      <c r="AD347" s="467"/>
      <c r="AE347" s="467"/>
      <c r="AF347" s="467"/>
      <c r="AG347" s="467"/>
    </row>
    <row r="348" spans="5:33" ht="15">
      <c r="E348" s="466"/>
      <c r="F348" s="466"/>
      <c r="G348" s="466"/>
      <c r="H348" s="466"/>
      <c r="I348" s="466"/>
      <c r="J348" s="466"/>
      <c r="K348" s="466"/>
      <c r="R348" s="467"/>
      <c r="S348" s="467"/>
      <c r="T348" s="467"/>
      <c r="U348" s="467"/>
      <c r="V348" s="467"/>
      <c r="W348" s="467"/>
      <c r="AA348" s="467"/>
      <c r="AB348" s="467"/>
      <c r="AC348" s="467"/>
      <c r="AD348" s="467"/>
      <c r="AE348" s="467"/>
      <c r="AF348" s="467"/>
      <c r="AG348" s="467"/>
    </row>
    <row r="349" spans="5:33" ht="15">
      <c r="E349" s="466"/>
      <c r="F349" s="466"/>
      <c r="G349" s="466"/>
      <c r="H349" s="466"/>
      <c r="I349" s="466"/>
      <c r="J349" s="466"/>
      <c r="K349" s="466"/>
      <c r="R349" s="467"/>
      <c r="S349" s="467"/>
      <c r="T349" s="467"/>
      <c r="U349" s="467"/>
      <c r="V349" s="467"/>
      <c r="W349" s="467"/>
      <c r="AA349" s="467"/>
      <c r="AB349" s="467"/>
      <c r="AC349" s="467"/>
      <c r="AD349" s="467"/>
      <c r="AE349" s="467"/>
      <c r="AF349" s="467"/>
      <c r="AG349" s="467"/>
    </row>
    <row r="350" spans="5:33" ht="15">
      <c r="E350" s="466"/>
      <c r="F350" s="466"/>
      <c r="G350" s="466"/>
      <c r="H350" s="466"/>
      <c r="I350" s="466"/>
      <c r="J350" s="466"/>
      <c r="K350" s="466"/>
      <c r="R350" s="467"/>
      <c r="S350" s="467"/>
      <c r="T350" s="467"/>
      <c r="U350" s="467"/>
      <c r="V350" s="467"/>
      <c r="W350" s="467"/>
      <c r="AA350" s="467"/>
      <c r="AB350" s="467"/>
      <c r="AC350" s="467"/>
      <c r="AD350" s="467"/>
      <c r="AE350" s="467"/>
      <c r="AF350" s="467"/>
      <c r="AG350" s="467"/>
    </row>
    <row r="351" spans="5:33" ht="15">
      <c r="E351" s="466"/>
      <c r="F351" s="466"/>
      <c r="G351" s="466"/>
      <c r="H351" s="466"/>
      <c r="I351" s="466"/>
      <c r="J351" s="466"/>
      <c r="K351" s="466"/>
      <c r="R351" s="467"/>
      <c r="S351" s="467"/>
      <c r="T351" s="467"/>
      <c r="U351" s="467"/>
      <c r="V351" s="467"/>
      <c r="W351" s="467"/>
      <c r="AA351" s="467"/>
      <c r="AB351" s="467"/>
      <c r="AC351" s="467"/>
      <c r="AD351" s="467"/>
      <c r="AE351" s="467"/>
      <c r="AF351" s="467"/>
      <c r="AG351" s="467"/>
    </row>
    <row r="352" spans="5:33" ht="15">
      <c r="E352" s="466"/>
      <c r="F352" s="466"/>
      <c r="G352" s="466"/>
      <c r="H352" s="466"/>
      <c r="I352" s="466"/>
      <c r="J352" s="466"/>
      <c r="K352" s="466"/>
      <c r="R352" s="467"/>
      <c r="S352" s="467"/>
      <c r="T352" s="467"/>
      <c r="U352" s="467"/>
      <c r="V352" s="467"/>
      <c r="W352" s="467"/>
      <c r="AA352" s="467"/>
      <c r="AB352" s="467"/>
      <c r="AC352" s="467"/>
      <c r="AD352" s="467"/>
      <c r="AE352" s="467"/>
      <c r="AF352" s="467"/>
      <c r="AG352" s="467"/>
    </row>
    <row r="353" spans="5:33" ht="15">
      <c r="E353" s="466"/>
      <c r="F353" s="466"/>
      <c r="G353" s="466"/>
      <c r="H353" s="466"/>
      <c r="I353" s="466"/>
      <c r="J353" s="466"/>
      <c r="K353" s="466"/>
      <c r="R353" s="467"/>
      <c r="S353" s="467"/>
      <c r="T353" s="467"/>
      <c r="U353" s="467"/>
      <c r="V353" s="467"/>
      <c r="W353" s="467"/>
      <c r="AA353" s="467"/>
      <c r="AB353" s="467"/>
      <c r="AC353" s="467"/>
      <c r="AD353" s="467"/>
      <c r="AE353" s="467"/>
      <c r="AF353" s="467"/>
      <c r="AG353" s="467"/>
    </row>
    <row r="354" spans="5:33" ht="15">
      <c r="E354" s="466"/>
      <c r="F354" s="466"/>
      <c r="G354" s="466"/>
      <c r="H354" s="466"/>
      <c r="I354" s="466"/>
      <c r="J354" s="466"/>
      <c r="K354" s="466"/>
      <c r="R354" s="467"/>
      <c r="S354" s="467"/>
      <c r="T354" s="467"/>
      <c r="U354" s="467"/>
      <c r="V354" s="467"/>
      <c r="W354" s="467"/>
      <c r="AA354" s="467"/>
      <c r="AB354" s="467"/>
      <c r="AC354" s="467"/>
      <c r="AD354" s="467"/>
      <c r="AE354" s="467"/>
      <c r="AF354" s="467"/>
      <c r="AG354" s="467"/>
    </row>
    <row r="355" spans="5:33" ht="15">
      <c r="E355" s="466"/>
      <c r="F355" s="466"/>
      <c r="G355" s="466"/>
      <c r="H355" s="466"/>
      <c r="I355" s="466"/>
      <c r="J355" s="466"/>
      <c r="K355" s="466"/>
      <c r="R355" s="467"/>
      <c r="S355" s="467"/>
      <c r="T355" s="467"/>
      <c r="U355" s="467"/>
      <c r="V355" s="467"/>
      <c r="W355" s="467"/>
      <c r="AA355" s="467"/>
      <c r="AB355" s="467"/>
      <c r="AC355" s="467"/>
      <c r="AD355" s="467"/>
      <c r="AE355" s="467"/>
      <c r="AF355" s="467"/>
      <c r="AG355" s="467"/>
    </row>
    <row r="356" spans="5:33" ht="15">
      <c r="E356" s="466"/>
      <c r="F356" s="466"/>
      <c r="G356" s="466"/>
      <c r="H356" s="466"/>
      <c r="I356" s="466"/>
      <c r="J356" s="466"/>
      <c r="K356" s="466"/>
      <c r="R356" s="467"/>
      <c r="S356" s="467"/>
      <c r="T356" s="467"/>
      <c r="U356" s="467"/>
      <c r="V356" s="467"/>
      <c r="W356" s="467"/>
      <c r="AA356" s="467"/>
      <c r="AB356" s="467"/>
      <c r="AC356" s="467"/>
      <c r="AD356" s="467"/>
      <c r="AE356" s="467"/>
      <c r="AF356" s="467"/>
      <c r="AG356" s="467"/>
    </row>
    <row r="357" spans="5:33" ht="15">
      <c r="E357" s="466"/>
      <c r="F357" s="466"/>
      <c r="G357" s="466"/>
      <c r="H357" s="466"/>
      <c r="I357" s="466"/>
      <c r="J357" s="466"/>
      <c r="K357" s="466"/>
      <c r="R357" s="467"/>
      <c r="S357" s="467"/>
      <c r="T357" s="467"/>
      <c r="U357" s="467"/>
      <c r="V357" s="467"/>
      <c r="W357" s="467"/>
      <c r="AA357" s="467"/>
      <c r="AB357" s="467"/>
      <c r="AC357" s="467"/>
      <c r="AD357" s="467"/>
      <c r="AE357" s="467"/>
      <c r="AF357" s="467"/>
      <c r="AG357" s="467"/>
    </row>
    <row r="358" spans="5:33" ht="15">
      <c r="E358" s="466"/>
      <c r="F358" s="466"/>
      <c r="G358" s="466"/>
      <c r="H358" s="466"/>
      <c r="I358" s="466"/>
      <c r="J358" s="466"/>
      <c r="K358" s="466"/>
      <c r="R358" s="467"/>
      <c r="S358" s="467"/>
      <c r="T358" s="467"/>
      <c r="U358" s="467"/>
      <c r="V358" s="467"/>
      <c r="W358" s="467"/>
      <c r="AA358" s="467"/>
      <c r="AB358" s="467"/>
      <c r="AC358" s="467"/>
      <c r="AD358" s="467"/>
      <c r="AE358" s="467"/>
      <c r="AF358" s="467"/>
      <c r="AG358" s="467"/>
    </row>
    <row r="359" spans="5:33" ht="15">
      <c r="E359" s="466"/>
      <c r="F359" s="466"/>
      <c r="G359" s="466"/>
      <c r="H359" s="466"/>
      <c r="I359" s="466"/>
      <c r="J359" s="466"/>
      <c r="K359" s="466"/>
      <c r="R359" s="467"/>
      <c r="S359" s="467"/>
      <c r="T359" s="467"/>
      <c r="U359" s="467"/>
      <c r="V359" s="467"/>
      <c r="W359" s="467"/>
      <c r="AA359" s="467"/>
      <c r="AB359" s="467"/>
      <c r="AC359" s="467"/>
      <c r="AD359" s="467"/>
      <c r="AE359" s="467"/>
      <c r="AF359" s="467"/>
      <c r="AG359" s="467"/>
    </row>
    <row r="360" spans="5:33" ht="15">
      <c r="E360" s="466"/>
      <c r="F360" s="466"/>
      <c r="G360" s="466"/>
      <c r="H360" s="466"/>
      <c r="I360" s="466"/>
      <c r="J360" s="466"/>
      <c r="K360" s="466"/>
      <c r="R360" s="467"/>
      <c r="S360" s="467"/>
      <c r="T360" s="467"/>
      <c r="U360" s="467"/>
      <c r="V360" s="467"/>
      <c r="W360" s="467"/>
      <c r="AA360" s="467"/>
      <c r="AB360" s="467"/>
      <c r="AC360" s="467"/>
      <c r="AD360" s="467"/>
      <c r="AE360" s="467"/>
      <c r="AF360" s="467"/>
      <c r="AG360" s="467"/>
    </row>
    <row r="361" spans="5:33" ht="15">
      <c r="E361" s="466"/>
      <c r="F361" s="466"/>
      <c r="G361" s="466"/>
      <c r="H361" s="466"/>
      <c r="I361" s="466"/>
      <c r="J361" s="466"/>
      <c r="K361" s="466"/>
      <c r="R361" s="467"/>
      <c r="S361" s="467"/>
      <c r="T361" s="467"/>
      <c r="U361" s="467"/>
      <c r="V361" s="467"/>
      <c r="W361" s="467"/>
      <c r="AA361" s="467"/>
      <c r="AB361" s="467"/>
      <c r="AC361" s="467"/>
      <c r="AD361" s="467"/>
      <c r="AE361" s="467"/>
      <c r="AF361" s="467"/>
      <c r="AG361" s="467"/>
    </row>
    <row r="362" spans="5:33" ht="15">
      <c r="E362" s="466"/>
      <c r="F362" s="466"/>
      <c r="G362" s="466"/>
      <c r="H362" s="466"/>
      <c r="I362" s="466"/>
      <c r="J362" s="466"/>
      <c r="K362" s="466"/>
      <c r="R362" s="467"/>
      <c r="S362" s="467"/>
      <c r="T362" s="467"/>
      <c r="U362" s="467"/>
      <c r="V362" s="467"/>
      <c r="W362" s="467"/>
      <c r="AA362" s="467"/>
      <c r="AB362" s="467"/>
      <c r="AC362" s="467"/>
      <c r="AD362" s="467"/>
      <c r="AE362" s="467"/>
      <c r="AF362" s="467"/>
      <c r="AG362" s="467"/>
    </row>
    <row r="363" spans="5:33" ht="15">
      <c r="E363" s="466"/>
      <c r="F363" s="466"/>
      <c r="G363" s="466"/>
      <c r="H363" s="466"/>
      <c r="I363" s="466"/>
      <c r="J363" s="466"/>
      <c r="K363" s="466"/>
      <c r="R363" s="467"/>
      <c r="S363" s="467"/>
      <c r="T363" s="467"/>
      <c r="U363" s="467"/>
      <c r="V363" s="467"/>
      <c r="W363" s="467"/>
      <c r="AA363" s="467"/>
      <c r="AB363" s="467"/>
      <c r="AC363" s="467"/>
      <c r="AD363" s="467"/>
      <c r="AE363" s="467"/>
      <c r="AF363" s="467"/>
      <c r="AG363" s="467"/>
    </row>
    <row r="364" spans="5:33" ht="15">
      <c r="E364" s="466"/>
      <c r="F364" s="466"/>
      <c r="G364" s="466"/>
      <c r="H364" s="466"/>
      <c r="I364" s="466"/>
      <c r="J364" s="466"/>
      <c r="K364" s="466"/>
      <c r="R364" s="467"/>
      <c r="S364" s="467"/>
      <c r="T364" s="467"/>
      <c r="U364" s="467"/>
      <c r="V364" s="467"/>
      <c r="W364" s="467"/>
      <c r="AA364" s="467"/>
      <c r="AB364" s="467"/>
      <c r="AC364" s="467"/>
      <c r="AD364" s="467"/>
      <c r="AE364" s="467"/>
      <c r="AF364" s="467"/>
      <c r="AG364" s="467"/>
    </row>
    <row r="365" spans="5:33" ht="15">
      <c r="E365" s="466"/>
      <c r="F365" s="466"/>
      <c r="G365" s="466"/>
      <c r="H365" s="466"/>
      <c r="I365" s="466"/>
      <c r="J365" s="466"/>
      <c r="K365" s="466"/>
      <c r="R365" s="467"/>
      <c r="S365" s="467"/>
      <c r="T365" s="467"/>
      <c r="U365" s="467"/>
      <c r="V365" s="467"/>
      <c r="W365" s="467"/>
      <c r="AA365" s="467"/>
      <c r="AB365" s="467"/>
      <c r="AC365" s="467"/>
      <c r="AD365" s="467"/>
      <c r="AE365" s="467"/>
      <c r="AF365" s="467"/>
      <c r="AG365" s="467"/>
    </row>
    <row r="366" spans="5:33" ht="15">
      <c r="E366" s="466"/>
      <c r="F366" s="466"/>
      <c r="G366" s="466"/>
      <c r="H366" s="466"/>
      <c r="I366" s="466"/>
      <c r="J366" s="466"/>
      <c r="K366" s="466"/>
      <c r="R366" s="467"/>
      <c r="S366" s="467"/>
      <c r="T366" s="467"/>
      <c r="U366" s="467"/>
      <c r="V366" s="467"/>
      <c r="W366" s="467"/>
      <c r="AA366" s="467"/>
      <c r="AB366" s="467"/>
      <c r="AC366" s="467"/>
      <c r="AD366" s="467"/>
      <c r="AE366" s="467"/>
      <c r="AF366" s="467"/>
      <c r="AG366" s="467"/>
    </row>
    <row r="367" spans="5:33" ht="15">
      <c r="E367" s="466"/>
      <c r="F367" s="466"/>
      <c r="G367" s="466"/>
      <c r="H367" s="466"/>
      <c r="I367" s="466"/>
      <c r="J367" s="466"/>
      <c r="K367" s="466"/>
      <c r="R367" s="467"/>
      <c r="S367" s="467"/>
      <c r="T367" s="467"/>
      <c r="U367" s="467"/>
      <c r="V367" s="467"/>
      <c r="W367" s="467"/>
      <c r="AA367" s="467"/>
      <c r="AB367" s="467"/>
      <c r="AC367" s="467"/>
      <c r="AD367" s="467"/>
      <c r="AE367" s="467"/>
      <c r="AF367" s="467"/>
      <c r="AG367" s="467"/>
    </row>
    <row r="368" spans="5:33" ht="15">
      <c r="E368" s="466"/>
      <c r="F368" s="466"/>
      <c r="G368" s="466"/>
      <c r="H368" s="466"/>
      <c r="I368" s="466"/>
      <c r="J368" s="466"/>
      <c r="K368" s="466"/>
      <c r="R368" s="467"/>
      <c r="S368" s="467"/>
      <c r="T368" s="467"/>
      <c r="U368" s="467"/>
      <c r="V368" s="467"/>
      <c r="W368" s="467"/>
      <c r="AA368" s="467"/>
      <c r="AB368" s="467"/>
      <c r="AC368" s="467"/>
      <c r="AD368" s="467"/>
      <c r="AE368" s="467"/>
      <c r="AF368" s="467"/>
      <c r="AG368" s="467"/>
    </row>
    <row r="369" spans="5:33" ht="15">
      <c r="E369" s="466"/>
      <c r="F369" s="466"/>
      <c r="G369" s="466"/>
      <c r="H369" s="466"/>
      <c r="I369" s="466"/>
      <c r="J369" s="466"/>
      <c r="K369" s="466"/>
      <c r="R369" s="467"/>
      <c r="S369" s="467"/>
      <c r="T369" s="467"/>
      <c r="U369" s="467"/>
      <c r="V369" s="467"/>
      <c r="W369" s="467"/>
      <c r="AA369" s="467"/>
      <c r="AB369" s="467"/>
      <c r="AC369" s="467"/>
      <c r="AD369" s="467"/>
      <c r="AE369" s="467"/>
      <c r="AF369" s="467"/>
      <c r="AG369" s="467"/>
    </row>
    <row r="370" spans="5:33" ht="15">
      <c r="E370" s="466"/>
      <c r="F370" s="466"/>
      <c r="G370" s="466"/>
      <c r="H370" s="466"/>
      <c r="I370" s="466"/>
      <c r="J370" s="466"/>
      <c r="K370" s="466"/>
      <c r="R370" s="467"/>
      <c r="S370" s="467"/>
      <c r="T370" s="467"/>
      <c r="U370" s="467"/>
      <c r="V370" s="467"/>
      <c r="W370" s="467"/>
      <c r="AA370" s="467"/>
      <c r="AB370" s="467"/>
      <c r="AC370" s="467"/>
      <c r="AD370" s="467"/>
      <c r="AE370" s="467"/>
      <c r="AF370" s="467"/>
      <c r="AG370" s="467"/>
    </row>
    <row r="371" spans="5:33" ht="15">
      <c r="E371" s="466"/>
      <c r="F371" s="466"/>
      <c r="G371" s="466"/>
      <c r="H371" s="466"/>
      <c r="I371" s="466"/>
      <c r="J371" s="466"/>
      <c r="K371" s="466"/>
      <c r="R371" s="467"/>
      <c r="S371" s="467"/>
      <c r="T371" s="467"/>
      <c r="U371" s="467"/>
      <c r="V371" s="467"/>
      <c r="W371" s="467"/>
      <c r="AA371" s="467"/>
      <c r="AB371" s="467"/>
      <c r="AC371" s="467"/>
      <c r="AD371" s="467"/>
      <c r="AE371" s="467"/>
      <c r="AF371" s="467"/>
      <c r="AG371" s="467"/>
    </row>
    <row r="372" spans="5:33" ht="15">
      <c r="E372" s="466"/>
      <c r="F372" s="466"/>
      <c r="G372" s="466"/>
      <c r="H372" s="466"/>
      <c r="I372" s="466"/>
      <c r="J372" s="466"/>
      <c r="K372" s="466"/>
      <c r="R372" s="467"/>
      <c r="S372" s="467"/>
      <c r="T372" s="467"/>
      <c r="U372" s="467"/>
      <c r="V372" s="467"/>
      <c r="W372" s="467"/>
      <c r="AA372" s="467"/>
      <c r="AB372" s="467"/>
      <c r="AC372" s="467"/>
      <c r="AD372" s="467"/>
      <c r="AE372" s="467"/>
      <c r="AF372" s="467"/>
      <c r="AG372" s="467"/>
    </row>
    <row r="373" spans="5:33" ht="15">
      <c r="E373" s="466"/>
      <c r="F373" s="466"/>
      <c r="G373" s="466"/>
      <c r="H373" s="466"/>
      <c r="I373" s="466"/>
      <c r="J373" s="466"/>
      <c r="K373" s="466"/>
      <c r="R373" s="467"/>
      <c r="S373" s="467"/>
      <c r="T373" s="467"/>
      <c r="U373" s="467"/>
      <c r="V373" s="467"/>
      <c r="W373" s="467"/>
      <c r="AA373" s="467"/>
      <c r="AB373" s="467"/>
      <c r="AC373" s="467"/>
      <c r="AD373" s="467"/>
      <c r="AE373" s="467"/>
      <c r="AF373" s="467"/>
      <c r="AG373" s="467"/>
    </row>
    <row r="374" spans="5:33" ht="15">
      <c r="E374" s="466"/>
      <c r="F374" s="466"/>
      <c r="G374" s="466"/>
      <c r="H374" s="466"/>
      <c r="I374" s="466"/>
      <c r="J374" s="466"/>
      <c r="K374" s="466"/>
      <c r="R374" s="467"/>
      <c r="S374" s="467"/>
      <c r="T374" s="467"/>
      <c r="U374" s="467"/>
      <c r="V374" s="467"/>
      <c r="W374" s="467"/>
      <c r="AA374" s="467"/>
      <c r="AB374" s="467"/>
      <c r="AC374" s="467"/>
      <c r="AD374" s="467"/>
      <c r="AE374" s="467"/>
      <c r="AF374" s="467"/>
      <c r="AG374" s="467"/>
    </row>
    <row r="375" spans="5:33" ht="15">
      <c r="E375" s="466"/>
      <c r="F375" s="466"/>
      <c r="G375" s="466"/>
      <c r="H375" s="466"/>
      <c r="I375" s="466"/>
      <c r="J375" s="466"/>
      <c r="K375" s="466"/>
      <c r="R375" s="467"/>
      <c r="S375" s="467"/>
      <c r="T375" s="467"/>
      <c r="U375" s="467"/>
      <c r="V375" s="467"/>
      <c r="W375" s="467"/>
      <c r="AA375" s="467"/>
      <c r="AB375" s="467"/>
      <c r="AC375" s="467"/>
      <c r="AD375" s="467"/>
      <c r="AE375" s="467"/>
      <c r="AF375" s="467"/>
      <c r="AG375" s="467"/>
    </row>
    <row r="376" spans="5:33" ht="15">
      <c r="E376" s="466"/>
      <c r="F376" s="466"/>
      <c r="G376" s="466"/>
      <c r="H376" s="466"/>
      <c r="I376" s="466"/>
      <c r="J376" s="466"/>
      <c r="K376" s="466"/>
      <c r="R376" s="467"/>
      <c r="S376" s="467"/>
      <c r="T376" s="467"/>
      <c r="U376" s="467"/>
      <c r="V376" s="467"/>
      <c r="W376" s="467"/>
      <c r="AA376" s="467"/>
      <c r="AB376" s="467"/>
      <c r="AC376" s="467"/>
      <c r="AD376" s="467"/>
      <c r="AE376" s="467"/>
      <c r="AF376" s="467"/>
      <c r="AG376" s="467"/>
    </row>
    <row r="377" spans="5:33" ht="15">
      <c r="E377" s="466"/>
      <c r="F377" s="466"/>
      <c r="G377" s="466"/>
      <c r="H377" s="466"/>
      <c r="I377" s="466"/>
      <c r="J377" s="466"/>
      <c r="K377" s="466"/>
      <c r="R377" s="467"/>
      <c r="S377" s="467"/>
      <c r="T377" s="467"/>
      <c r="U377" s="467"/>
      <c r="V377" s="467"/>
      <c r="W377" s="467"/>
      <c r="AA377" s="467"/>
      <c r="AB377" s="467"/>
      <c r="AC377" s="467"/>
      <c r="AD377" s="467"/>
      <c r="AE377" s="467"/>
      <c r="AF377" s="467"/>
      <c r="AG377" s="467"/>
    </row>
    <row r="378" spans="5:33" ht="15">
      <c r="E378" s="466"/>
      <c r="F378" s="466"/>
      <c r="G378" s="466"/>
      <c r="H378" s="466"/>
      <c r="I378" s="466"/>
      <c r="J378" s="466"/>
      <c r="K378" s="466"/>
      <c r="R378" s="467"/>
      <c r="S378" s="467"/>
      <c r="T378" s="467"/>
      <c r="U378" s="467"/>
      <c r="V378" s="467"/>
      <c r="W378" s="467"/>
      <c r="AA378" s="467"/>
      <c r="AB378" s="467"/>
      <c r="AC378" s="467"/>
      <c r="AD378" s="467"/>
      <c r="AE378" s="467"/>
      <c r="AF378" s="467"/>
      <c r="AG378" s="467"/>
    </row>
    <row r="379" spans="5:33" ht="15">
      <c r="E379" s="466"/>
      <c r="F379" s="466"/>
      <c r="G379" s="466"/>
      <c r="H379" s="466"/>
      <c r="I379" s="466"/>
      <c r="J379" s="466"/>
      <c r="K379" s="466"/>
      <c r="R379" s="467"/>
      <c r="S379" s="467"/>
      <c r="T379" s="467"/>
      <c r="U379" s="467"/>
      <c r="V379" s="467"/>
      <c r="W379" s="467"/>
      <c r="AA379" s="467"/>
      <c r="AB379" s="467"/>
      <c r="AC379" s="467"/>
      <c r="AD379" s="467"/>
      <c r="AE379" s="467"/>
      <c r="AF379" s="467"/>
      <c r="AG379" s="467"/>
    </row>
    <row r="380" spans="5:33" ht="15">
      <c r="E380" s="466"/>
      <c r="F380" s="466"/>
      <c r="G380" s="466"/>
      <c r="H380" s="466"/>
      <c r="I380" s="466"/>
      <c r="J380" s="466"/>
      <c r="K380" s="466"/>
      <c r="R380" s="467"/>
      <c r="S380" s="467"/>
      <c r="T380" s="467"/>
      <c r="U380" s="467"/>
      <c r="V380" s="467"/>
      <c r="W380" s="467"/>
      <c r="AA380" s="467"/>
      <c r="AB380" s="467"/>
      <c r="AC380" s="467"/>
      <c r="AD380" s="467"/>
      <c r="AE380" s="467"/>
      <c r="AF380" s="467"/>
      <c r="AG380" s="467"/>
    </row>
    <row r="381" spans="5:33" ht="15">
      <c r="E381" s="466"/>
      <c r="F381" s="466"/>
      <c r="G381" s="466"/>
      <c r="H381" s="466"/>
      <c r="I381" s="466"/>
      <c r="J381" s="466"/>
      <c r="K381" s="466"/>
      <c r="R381" s="467"/>
      <c r="S381" s="467"/>
      <c r="T381" s="467"/>
      <c r="U381" s="467"/>
      <c r="V381" s="467"/>
      <c r="W381" s="467"/>
      <c r="AA381" s="467"/>
      <c r="AB381" s="467"/>
      <c r="AC381" s="467"/>
      <c r="AD381" s="467"/>
      <c r="AE381" s="467"/>
      <c r="AF381" s="467"/>
      <c r="AG381" s="467"/>
    </row>
    <row r="382" spans="5:33" ht="15">
      <c r="E382" s="466"/>
      <c r="F382" s="466"/>
      <c r="G382" s="466"/>
      <c r="H382" s="466"/>
      <c r="I382" s="466"/>
      <c r="J382" s="466"/>
      <c r="K382" s="466"/>
      <c r="R382" s="467"/>
      <c r="S382" s="467"/>
      <c r="T382" s="467"/>
      <c r="U382" s="467"/>
      <c r="V382" s="467"/>
      <c r="W382" s="467"/>
      <c r="AA382" s="467"/>
      <c r="AB382" s="467"/>
      <c r="AC382" s="467"/>
      <c r="AD382" s="467"/>
      <c r="AE382" s="467"/>
      <c r="AF382" s="467"/>
      <c r="AG382" s="467"/>
    </row>
    <row r="383" spans="5:33" ht="15">
      <c r="E383" s="466"/>
      <c r="F383" s="466"/>
      <c r="G383" s="466"/>
      <c r="H383" s="466"/>
      <c r="I383" s="466"/>
      <c r="J383" s="466"/>
      <c r="K383" s="466"/>
      <c r="R383" s="467"/>
      <c r="S383" s="467"/>
      <c r="T383" s="467"/>
      <c r="U383" s="467"/>
      <c r="V383" s="467"/>
      <c r="W383" s="467"/>
      <c r="AA383" s="467"/>
      <c r="AB383" s="467"/>
      <c r="AC383" s="467"/>
      <c r="AD383" s="467"/>
      <c r="AE383" s="467"/>
      <c r="AF383" s="467"/>
      <c r="AG383" s="467"/>
    </row>
    <row r="384" spans="5:33" ht="15">
      <c r="E384" s="466"/>
      <c r="F384" s="466"/>
      <c r="G384" s="466"/>
      <c r="H384" s="466"/>
      <c r="I384" s="466"/>
      <c r="J384" s="466"/>
      <c r="K384" s="466"/>
      <c r="R384" s="467"/>
      <c r="S384" s="467"/>
      <c r="T384" s="467"/>
      <c r="U384" s="467"/>
      <c r="V384" s="467"/>
      <c r="W384" s="467"/>
      <c r="AA384" s="467"/>
      <c r="AB384" s="467"/>
      <c r="AC384" s="467"/>
      <c r="AD384" s="467"/>
      <c r="AE384" s="467"/>
      <c r="AF384" s="467"/>
      <c r="AG384" s="467"/>
    </row>
    <row r="385" spans="5:33" ht="15">
      <c r="E385" s="466"/>
      <c r="F385" s="466"/>
      <c r="G385" s="466"/>
      <c r="H385" s="466"/>
      <c r="I385" s="466"/>
      <c r="J385" s="466"/>
      <c r="K385" s="466"/>
      <c r="R385" s="467"/>
      <c r="S385" s="467"/>
      <c r="T385" s="467"/>
      <c r="U385" s="467"/>
      <c r="V385" s="467"/>
      <c r="W385" s="467"/>
      <c r="AA385" s="467"/>
      <c r="AB385" s="467"/>
      <c r="AC385" s="467"/>
      <c r="AD385" s="467"/>
      <c r="AE385" s="467"/>
      <c r="AF385" s="467"/>
      <c r="AG385" s="467"/>
    </row>
    <row r="386" spans="5:33" ht="15">
      <c r="E386" s="466"/>
      <c r="F386" s="466"/>
      <c r="G386" s="466"/>
      <c r="H386" s="466"/>
      <c r="I386" s="466"/>
      <c r="J386" s="466"/>
      <c r="K386" s="466"/>
      <c r="R386" s="467"/>
      <c r="S386" s="467"/>
      <c r="T386" s="467"/>
      <c r="U386" s="467"/>
      <c r="V386" s="467"/>
      <c r="W386" s="467"/>
      <c r="AA386" s="467"/>
      <c r="AB386" s="467"/>
      <c r="AC386" s="467"/>
      <c r="AD386" s="467"/>
      <c r="AE386" s="467"/>
      <c r="AF386" s="467"/>
      <c r="AG386" s="467"/>
    </row>
    <row r="387" spans="5:33" ht="15">
      <c r="E387" s="466"/>
      <c r="F387" s="466"/>
      <c r="G387" s="466"/>
      <c r="H387" s="466"/>
      <c r="I387" s="466"/>
      <c r="J387" s="466"/>
      <c r="K387" s="466"/>
      <c r="R387" s="467"/>
      <c r="S387" s="467"/>
      <c r="T387" s="467"/>
      <c r="U387" s="467"/>
      <c r="V387" s="467"/>
      <c r="W387" s="467"/>
      <c r="AA387" s="467"/>
      <c r="AB387" s="467"/>
      <c r="AC387" s="467"/>
      <c r="AD387" s="467"/>
      <c r="AE387" s="467"/>
      <c r="AF387" s="467"/>
      <c r="AG387" s="467"/>
    </row>
    <row r="388" spans="5:33" ht="15">
      <c r="E388" s="466"/>
      <c r="F388" s="466"/>
      <c r="G388" s="466"/>
      <c r="H388" s="466"/>
      <c r="I388" s="466"/>
      <c r="J388" s="466"/>
      <c r="K388" s="466"/>
      <c r="R388" s="467"/>
      <c r="S388" s="467"/>
      <c r="T388" s="467"/>
      <c r="U388" s="467"/>
      <c r="V388" s="467"/>
      <c r="W388" s="467"/>
      <c r="AA388" s="467"/>
      <c r="AB388" s="467"/>
      <c r="AC388" s="467"/>
      <c r="AD388" s="467"/>
      <c r="AE388" s="467"/>
      <c r="AF388" s="467"/>
      <c r="AG388" s="467"/>
    </row>
    <row r="389" spans="5:33" ht="15">
      <c r="E389" s="466"/>
      <c r="F389" s="466"/>
      <c r="G389" s="466"/>
      <c r="H389" s="466"/>
      <c r="I389" s="466"/>
      <c r="J389" s="466"/>
      <c r="K389" s="466"/>
      <c r="R389" s="467"/>
      <c r="S389" s="467"/>
      <c r="T389" s="467"/>
      <c r="U389" s="467"/>
      <c r="V389" s="467"/>
      <c r="W389" s="467"/>
      <c r="AA389" s="467"/>
      <c r="AB389" s="467"/>
      <c r="AC389" s="467"/>
      <c r="AD389" s="467"/>
      <c r="AE389" s="467"/>
      <c r="AF389" s="467"/>
      <c r="AG389" s="467"/>
    </row>
    <row r="390" spans="5:33" ht="15">
      <c r="E390" s="466"/>
      <c r="F390" s="466"/>
      <c r="G390" s="466"/>
      <c r="H390" s="466"/>
      <c r="I390" s="466"/>
      <c r="J390" s="466"/>
      <c r="K390" s="466"/>
      <c r="R390" s="467"/>
      <c r="S390" s="467"/>
      <c r="T390" s="467"/>
      <c r="U390" s="467"/>
      <c r="V390" s="467"/>
      <c r="W390" s="467"/>
      <c r="AA390" s="467"/>
      <c r="AB390" s="467"/>
      <c r="AC390" s="467"/>
      <c r="AD390" s="467"/>
      <c r="AE390" s="467"/>
      <c r="AF390" s="467"/>
      <c r="AG390" s="467"/>
    </row>
    <row r="391" spans="5:33" ht="15">
      <c r="E391" s="466"/>
      <c r="F391" s="466"/>
      <c r="G391" s="466"/>
      <c r="H391" s="466"/>
      <c r="I391" s="466"/>
      <c r="J391" s="466"/>
      <c r="K391" s="466"/>
      <c r="R391" s="467"/>
      <c r="S391" s="467"/>
      <c r="T391" s="467"/>
      <c r="U391" s="467"/>
      <c r="V391" s="467"/>
      <c r="W391" s="467"/>
      <c r="AA391" s="467"/>
      <c r="AB391" s="467"/>
      <c r="AC391" s="467"/>
      <c r="AD391" s="467"/>
      <c r="AE391" s="467"/>
      <c r="AF391" s="467"/>
      <c r="AG391" s="467"/>
    </row>
    <row r="392" spans="5:33" ht="15">
      <c r="E392" s="466"/>
      <c r="F392" s="466"/>
      <c r="G392" s="466"/>
      <c r="H392" s="466"/>
      <c r="I392" s="466"/>
      <c r="J392" s="466"/>
      <c r="K392" s="466"/>
      <c r="R392" s="467"/>
      <c r="S392" s="467"/>
      <c r="T392" s="467"/>
      <c r="U392" s="467"/>
      <c r="V392" s="467"/>
      <c r="W392" s="467"/>
      <c r="AA392" s="467"/>
      <c r="AB392" s="467"/>
      <c r="AC392" s="467"/>
      <c r="AD392" s="467"/>
      <c r="AE392" s="467"/>
      <c r="AF392" s="467"/>
      <c r="AG392" s="467"/>
    </row>
    <row r="393" spans="5:33" ht="15">
      <c r="E393" s="466"/>
      <c r="F393" s="466"/>
      <c r="G393" s="466"/>
      <c r="H393" s="466"/>
      <c r="I393" s="466"/>
      <c r="J393" s="466"/>
      <c r="K393" s="466"/>
      <c r="R393" s="467"/>
      <c r="S393" s="467"/>
      <c r="T393" s="467"/>
      <c r="U393" s="467"/>
      <c r="V393" s="467"/>
      <c r="W393" s="467"/>
      <c r="AA393" s="467"/>
      <c r="AB393" s="467"/>
      <c r="AC393" s="467"/>
      <c r="AD393" s="467"/>
      <c r="AE393" s="467"/>
      <c r="AF393" s="467"/>
      <c r="AG393" s="467"/>
    </row>
    <row r="394" spans="5:33" ht="15">
      <c r="E394" s="466"/>
      <c r="F394" s="466"/>
      <c r="G394" s="466"/>
      <c r="H394" s="466"/>
      <c r="I394" s="466"/>
      <c r="J394" s="466"/>
      <c r="K394" s="466"/>
      <c r="R394" s="467"/>
      <c r="S394" s="467"/>
      <c r="T394" s="467"/>
      <c r="U394" s="467"/>
      <c r="V394" s="467"/>
      <c r="W394" s="467"/>
      <c r="AA394" s="467"/>
      <c r="AB394" s="467"/>
      <c r="AC394" s="467"/>
      <c r="AD394" s="467"/>
      <c r="AE394" s="467"/>
      <c r="AF394" s="467"/>
      <c r="AG394" s="467"/>
    </row>
    <row r="395" spans="5:33" ht="15">
      <c r="E395" s="466"/>
      <c r="F395" s="466"/>
      <c r="G395" s="466"/>
      <c r="H395" s="466"/>
      <c r="I395" s="466"/>
      <c r="J395" s="466"/>
      <c r="K395" s="466"/>
      <c r="R395" s="467"/>
      <c r="S395" s="467"/>
      <c r="T395" s="467"/>
      <c r="U395" s="467"/>
      <c r="V395" s="467"/>
      <c r="W395" s="467"/>
      <c r="AA395" s="467"/>
      <c r="AB395" s="467"/>
      <c r="AC395" s="467"/>
      <c r="AD395" s="467"/>
      <c r="AE395" s="467"/>
      <c r="AF395" s="467"/>
      <c r="AG395" s="467"/>
    </row>
    <row r="396" spans="5:33" ht="15">
      <c r="E396" s="466"/>
      <c r="F396" s="466"/>
      <c r="G396" s="466"/>
      <c r="H396" s="466"/>
      <c r="I396" s="466"/>
      <c r="J396" s="466"/>
      <c r="K396" s="466"/>
      <c r="R396" s="467"/>
      <c r="S396" s="467"/>
      <c r="T396" s="467"/>
      <c r="U396" s="467"/>
      <c r="V396" s="467"/>
      <c r="W396" s="467"/>
      <c r="AA396" s="467"/>
      <c r="AB396" s="467"/>
      <c r="AC396" s="467"/>
      <c r="AD396" s="467"/>
      <c r="AE396" s="467"/>
      <c r="AF396" s="467"/>
      <c r="AG396" s="467"/>
    </row>
    <row r="397" spans="5:33" ht="15">
      <c r="E397" s="466"/>
      <c r="F397" s="466"/>
      <c r="G397" s="466"/>
      <c r="H397" s="466"/>
      <c r="I397" s="466"/>
      <c r="J397" s="466"/>
      <c r="K397" s="466"/>
      <c r="R397" s="467"/>
      <c r="S397" s="467"/>
      <c r="T397" s="467"/>
      <c r="U397" s="467"/>
      <c r="V397" s="467"/>
      <c r="W397" s="467"/>
      <c r="AA397" s="467"/>
      <c r="AB397" s="467"/>
      <c r="AC397" s="467"/>
      <c r="AD397" s="467"/>
      <c r="AE397" s="467"/>
      <c r="AF397" s="467"/>
      <c r="AG397" s="467"/>
    </row>
    <row r="398" spans="5:33" ht="15">
      <c r="E398" s="466"/>
      <c r="F398" s="466"/>
      <c r="G398" s="466"/>
      <c r="H398" s="466"/>
      <c r="I398" s="466"/>
      <c r="J398" s="466"/>
      <c r="K398" s="466"/>
      <c r="R398" s="467"/>
      <c r="S398" s="467"/>
      <c r="T398" s="467"/>
      <c r="U398" s="467"/>
      <c r="V398" s="467"/>
      <c r="W398" s="467"/>
      <c r="AA398" s="467"/>
      <c r="AB398" s="467"/>
      <c r="AC398" s="467"/>
      <c r="AD398" s="467"/>
      <c r="AE398" s="467"/>
      <c r="AF398" s="467"/>
      <c r="AG398" s="467"/>
    </row>
    <row r="399" spans="5:33" ht="15">
      <c r="E399" s="466"/>
      <c r="F399" s="466"/>
      <c r="G399" s="466"/>
      <c r="H399" s="466"/>
      <c r="I399" s="466"/>
      <c r="J399" s="466"/>
      <c r="K399" s="466"/>
      <c r="R399" s="467"/>
      <c r="S399" s="467"/>
      <c r="T399" s="467"/>
      <c r="U399" s="467"/>
      <c r="V399" s="467"/>
      <c r="W399" s="467"/>
      <c r="AA399" s="467"/>
      <c r="AB399" s="467"/>
      <c r="AC399" s="467"/>
      <c r="AD399" s="467"/>
      <c r="AE399" s="467"/>
      <c r="AF399" s="467"/>
      <c r="AG399" s="467"/>
    </row>
    <row r="400" spans="5:33" ht="15">
      <c r="E400" s="466"/>
      <c r="F400" s="466"/>
      <c r="G400" s="466"/>
      <c r="H400" s="466"/>
      <c r="I400" s="466"/>
      <c r="J400" s="466"/>
      <c r="K400" s="466"/>
      <c r="R400" s="467"/>
      <c r="S400" s="467"/>
      <c r="T400" s="467"/>
      <c r="U400" s="467"/>
      <c r="V400" s="467"/>
      <c r="W400" s="467"/>
      <c r="AA400" s="467"/>
      <c r="AB400" s="467"/>
      <c r="AC400" s="467"/>
      <c r="AD400" s="467"/>
      <c r="AE400" s="467"/>
      <c r="AF400" s="467"/>
      <c r="AG400" s="467"/>
    </row>
    <row r="401" spans="5:33" ht="15">
      <c r="E401" s="466"/>
      <c r="F401" s="466"/>
      <c r="G401" s="466"/>
      <c r="H401" s="466"/>
      <c r="I401" s="466"/>
      <c r="J401" s="466"/>
      <c r="K401" s="466"/>
      <c r="R401" s="467"/>
      <c r="S401" s="467"/>
      <c r="T401" s="467"/>
      <c r="U401" s="467"/>
      <c r="V401" s="467"/>
      <c r="W401" s="467"/>
      <c r="AA401" s="467"/>
      <c r="AB401" s="467"/>
      <c r="AC401" s="467"/>
      <c r="AD401" s="467"/>
      <c r="AE401" s="467"/>
      <c r="AF401" s="467"/>
      <c r="AG401" s="467"/>
    </row>
    <row r="402" spans="5:33" ht="15">
      <c r="E402" s="466"/>
      <c r="F402" s="466"/>
      <c r="G402" s="466"/>
      <c r="H402" s="466"/>
      <c r="I402" s="466"/>
      <c r="J402" s="466"/>
      <c r="K402" s="466"/>
      <c r="R402" s="467"/>
      <c r="S402" s="467"/>
      <c r="T402" s="467"/>
      <c r="U402" s="467"/>
      <c r="V402" s="467"/>
      <c r="W402" s="467"/>
      <c r="AA402" s="467"/>
      <c r="AB402" s="467"/>
      <c r="AC402" s="467"/>
      <c r="AD402" s="467"/>
      <c r="AE402" s="467"/>
      <c r="AF402" s="467"/>
      <c r="AG402" s="467"/>
    </row>
    <row r="403" spans="5:33" ht="15">
      <c r="E403" s="466"/>
      <c r="F403" s="466"/>
      <c r="G403" s="466"/>
      <c r="H403" s="466"/>
      <c r="I403" s="466"/>
      <c r="J403" s="466"/>
      <c r="K403" s="466"/>
      <c r="R403" s="467"/>
      <c r="S403" s="467"/>
      <c r="T403" s="467"/>
      <c r="U403" s="467"/>
      <c r="V403" s="467"/>
      <c r="W403" s="467"/>
      <c r="AA403" s="467"/>
      <c r="AB403" s="467"/>
      <c r="AC403" s="467"/>
      <c r="AD403" s="467"/>
      <c r="AE403" s="467"/>
      <c r="AF403" s="467"/>
      <c r="AG403" s="467"/>
    </row>
    <row r="404" spans="5:33" ht="15">
      <c r="E404" s="466"/>
      <c r="F404" s="466"/>
      <c r="G404" s="466"/>
      <c r="H404" s="466"/>
      <c r="I404" s="466"/>
      <c r="J404" s="466"/>
      <c r="K404" s="466"/>
      <c r="R404" s="467"/>
      <c r="S404" s="467"/>
      <c r="T404" s="467"/>
      <c r="U404" s="467"/>
      <c r="V404" s="467"/>
      <c r="W404" s="467"/>
      <c r="AA404" s="467"/>
      <c r="AB404" s="467"/>
      <c r="AC404" s="467"/>
      <c r="AD404" s="467"/>
      <c r="AE404" s="467"/>
      <c r="AF404" s="467"/>
      <c r="AG404" s="467"/>
    </row>
    <row r="405" spans="5:33" ht="15">
      <c r="E405" s="466"/>
      <c r="F405" s="466"/>
      <c r="G405" s="466"/>
      <c r="H405" s="466"/>
      <c r="I405" s="466"/>
      <c r="J405" s="466"/>
      <c r="K405" s="466"/>
      <c r="R405" s="467"/>
      <c r="S405" s="467"/>
      <c r="T405" s="467"/>
      <c r="U405" s="467"/>
      <c r="V405" s="467"/>
      <c r="W405" s="467"/>
      <c r="AA405" s="467"/>
      <c r="AB405" s="467"/>
      <c r="AC405" s="467"/>
      <c r="AD405" s="467"/>
      <c r="AE405" s="467"/>
      <c r="AF405" s="467"/>
      <c r="AG405" s="467"/>
    </row>
    <row r="406" spans="5:33" ht="15">
      <c r="E406" s="466"/>
      <c r="F406" s="466"/>
      <c r="G406" s="466"/>
      <c r="H406" s="466"/>
      <c r="I406" s="466"/>
      <c r="J406" s="466"/>
      <c r="K406" s="466"/>
      <c r="R406" s="467"/>
      <c r="S406" s="467"/>
      <c r="T406" s="467"/>
      <c r="U406" s="467"/>
      <c r="V406" s="467"/>
      <c r="W406" s="467"/>
      <c r="AA406" s="467"/>
      <c r="AB406" s="467"/>
      <c r="AC406" s="467"/>
      <c r="AD406" s="467"/>
      <c r="AE406" s="467"/>
      <c r="AF406" s="467"/>
      <c r="AG406" s="467"/>
    </row>
    <row r="407" spans="5:33" ht="15">
      <c r="E407" s="466"/>
      <c r="F407" s="466"/>
      <c r="G407" s="466"/>
      <c r="H407" s="466"/>
      <c r="I407" s="466"/>
      <c r="J407" s="466"/>
      <c r="K407" s="466"/>
      <c r="R407" s="467"/>
      <c r="S407" s="467"/>
      <c r="T407" s="467"/>
      <c r="U407" s="467"/>
      <c r="V407" s="467"/>
      <c r="W407" s="467"/>
      <c r="AA407" s="467"/>
      <c r="AB407" s="467"/>
      <c r="AC407" s="467"/>
      <c r="AD407" s="467"/>
      <c r="AE407" s="467"/>
      <c r="AF407" s="467"/>
      <c r="AG407" s="467"/>
    </row>
    <row r="408" spans="5:33" ht="15">
      <c r="E408" s="466"/>
      <c r="F408" s="466"/>
      <c r="G408" s="466"/>
      <c r="H408" s="466"/>
      <c r="I408" s="466"/>
      <c r="J408" s="466"/>
      <c r="K408" s="466"/>
      <c r="R408" s="467"/>
      <c r="S408" s="467"/>
      <c r="T408" s="467"/>
      <c r="U408" s="467"/>
      <c r="V408" s="467"/>
      <c r="W408" s="467"/>
      <c r="AA408" s="467"/>
      <c r="AB408" s="467"/>
      <c r="AC408" s="467"/>
      <c r="AD408" s="467"/>
      <c r="AE408" s="467"/>
      <c r="AF408" s="467"/>
      <c r="AG408" s="467"/>
    </row>
    <row r="409" spans="5:33" ht="15">
      <c r="E409" s="466"/>
      <c r="F409" s="466"/>
      <c r="G409" s="466"/>
      <c r="H409" s="466"/>
      <c r="I409" s="466"/>
      <c r="J409" s="466"/>
      <c r="K409" s="466"/>
      <c r="R409" s="467"/>
      <c r="S409" s="467"/>
      <c r="T409" s="467"/>
      <c r="U409" s="467"/>
      <c r="V409" s="467"/>
      <c r="W409" s="467"/>
      <c r="AA409" s="467"/>
      <c r="AB409" s="467"/>
      <c r="AC409" s="467"/>
      <c r="AD409" s="467"/>
      <c r="AE409" s="467"/>
      <c r="AF409" s="467"/>
      <c r="AG409" s="467"/>
    </row>
    <row r="410" spans="5:33" ht="15">
      <c r="E410" s="466"/>
      <c r="F410" s="466"/>
      <c r="G410" s="466"/>
      <c r="H410" s="466"/>
      <c r="I410" s="466"/>
      <c r="J410" s="466"/>
      <c r="K410" s="466"/>
      <c r="R410" s="467"/>
      <c r="S410" s="467"/>
      <c r="T410" s="467"/>
      <c r="U410" s="467"/>
      <c r="V410" s="467"/>
      <c r="W410" s="467"/>
      <c r="AA410" s="467"/>
      <c r="AB410" s="467"/>
      <c r="AC410" s="467"/>
      <c r="AD410" s="467"/>
      <c r="AE410" s="467"/>
      <c r="AF410" s="467"/>
      <c r="AG410" s="467"/>
    </row>
    <row r="411" spans="5:33" ht="15">
      <c r="E411" s="466"/>
      <c r="F411" s="466"/>
      <c r="G411" s="466"/>
      <c r="H411" s="466"/>
      <c r="I411" s="466"/>
      <c r="J411" s="466"/>
      <c r="K411" s="466"/>
      <c r="R411" s="467"/>
      <c r="S411" s="467"/>
      <c r="T411" s="467"/>
      <c r="U411" s="467"/>
      <c r="V411" s="467"/>
      <c r="W411" s="467"/>
      <c r="AA411" s="467"/>
      <c r="AB411" s="467"/>
      <c r="AC411" s="467"/>
      <c r="AD411" s="467"/>
      <c r="AE411" s="467"/>
      <c r="AF411" s="467"/>
      <c r="AG411" s="467"/>
    </row>
    <row r="412" spans="5:33" ht="15">
      <c r="E412" s="466"/>
      <c r="F412" s="466"/>
      <c r="G412" s="466"/>
      <c r="H412" s="466"/>
      <c r="I412" s="466"/>
      <c r="J412" s="466"/>
      <c r="K412" s="466"/>
      <c r="R412" s="467"/>
      <c r="S412" s="467"/>
      <c r="T412" s="467"/>
      <c r="U412" s="467"/>
      <c r="V412" s="467"/>
      <c r="W412" s="467"/>
      <c r="AA412" s="467"/>
      <c r="AB412" s="467"/>
      <c r="AC412" s="467"/>
      <c r="AD412" s="467"/>
      <c r="AE412" s="467"/>
      <c r="AF412" s="467"/>
      <c r="AG412" s="467"/>
    </row>
    <row r="413" spans="5:33" ht="15">
      <c r="E413" s="466"/>
      <c r="F413" s="466"/>
      <c r="G413" s="466"/>
      <c r="H413" s="466"/>
      <c r="I413" s="466"/>
      <c r="J413" s="466"/>
      <c r="K413" s="466"/>
      <c r="R413" s="467"/>
      <c r="S413" s="467"/>
      <c r="T413" s="467"/>
      <c r="U413" s="467"/>
      <c r="V413" s="467"/>
      <c r="W413" s="467"/>
      <c r="AA413" s="467"/>
      <c r="AB413" s="467"/>
      <c r="AC413" s="467"/>
      <c r="AD413" s="467"/>
      <c r="AE413" s="467"/>
      <c r="AF413" s="467"/>
      <c r="AG413" s="467"/>
    </row>
    <row r="414" spans="5:33" ht="15">
      <c r="E414" s="466"/>
      <c r="F414" s="466"/>
      <c r="G414" s="466"/>
      <c r="H414" s="466"/>
      <c r="I414" s="466"/>
      <c r="J414" s="466"/>
      <c r="K414" s="466"/>
      <c r="R414" s="467"/>
      <c r="S414" s="467"/>
      <c r="T414" s="467"/>
      <c r="U414" s="467"/>
      <c r="V414" s="467"/>
      <c r="W414" s="467"/>
      <c r="AA414" s="467"/>
      <c r="AB414" s="467"/>
      <c r="AC414" s="467"/>
      <c r="AD414" s="467"/>
      <c r="AE414" s="467"/>
      <c r="AF414" s="467"/>
      <c r="AG414" s="467"/>
    </row>
    <row r="415" spans="5:33" ht="15">
      <c r="E415" s="466"/>
      <c r="F415" s="466"/>
      <c r="G415" s="466"/>
      <c r="H415" s="466"/>
      <c r="I415" s="466"/>
      <c r="J415" s="466"/>
      <c r="K415" s="466"/>
      <c r="R415" s="467"/>
      <c r="S415" s="467"/>
      <c r="T415" s="467"/>
      <c r="U415" s="467"/>
      <c r="V415" s="467"/>
      <c r="W415" s="467"/>
      <c r="AA415" s="467"/>
      <c r="AB415" s="467"/>
      <c r="AC415" s="467"/>
      <c r="AD415" s="467"/>
      <c r="AE415" s="467"/>
      <c r="AF415" s="467"/>
      <c r="AG415" s="467"/>
    </row>
    <row r="416" spans="5:33" ht="15">
      <c r="E416" s="466"/>
      <c r="F416" s="466"/>
      <c r="G416" s="466"/>
      <c r="H416" s="466"/>
      <c r="I416" s="466"/>
      <c r="J416" s="466"/>
      <c r="K416" s="466"/>
      <c r="R416" s="467"/>
      <c r="S416" s="467"/>
      <c r="T416" s="467"/>
      <c r="U416" s="467"/>
      <c r="V416" s="467"/>
      <c r="W416" s="467"/>
      <c r="AA416" s="467"/>
      <c r="AB416" s="467"/>
      <c r="AC416" s="467"/>
      <c r="AD416" s="467"/>
      <c r="AE416" s="467"/>
      <c r="AF416" s="467"/>
      <c r="AG416" s="467"/>
    </row>
    <row r="417" spans="5:33" ht="15">
      <c r="E417" s="466"/>
      <c r="F417" s="466"/>
      <c r="G417" s="466"/>
      <c r="H417" s="466"/>
      <c r="I417" s="466"/>
      <c r="J417" s="466"/>
      <c r="K417" s="466"/>
      <c r="R417" s="467"/>
      <c r="S417" s="467"/>
      <c r="T417" s="467"/>
      <c r="U417" s="467"/>
      <c r="V417" s="467"/>
      <c r="W417" s="467"/>
      <c r="AA417" s="467"/>
      <c r="AB417" s="467"/>
      <c r="AC417" s="467"/>
      <c r="AD417" s="467"/>
      <c r="AE417" s="467"/>
      <c r="AF417" s="467"/>
      <c r="AG417" s="467"/>
    </row>
    <row r="418" spans="5:33" ht="15">
      <c r="E418" s="466"/>
      <c r="F418" s="466"/>
      <c r="G418" s="466"/>
      <c r="H418" s="466"/>
      <c r="I418" s="466"/>
      <c r="J418" s="466"/>
      <c r="K418" s="466"/>
      <c r="R418" s="467"/>
      <c r="S418" s="467"/>
      <c r="T418" s="467"/>
      <c r="U418" s="467"/>
      <c r="V418" s="467"/>
      <c r="W418" s="467"/>
      <c r="AA418" s="467"/>
      <c r="AB418" s="467"/>
      <c r="AC418" s="467"/>
      <c r="AD418" s="467"/>
      <c r="AE418" s="467"/>
      <c r="AF418" s="467"/>
      <c r="AG418" s="467"/>
    </row>
    <row r="419" spans="5:33" ht="15">
      <c r="E419" s="466"/>
      <c r="F419" s="466"/>
      <c r="G419" s="466"/>
      <c r="H419" s="466"/>
      <c r="I419" s="466"/>
      <c r="J419" s="466"/>
      <c r="K419" s="466"/>
      <c r="R419" s="467"/>
      <c r="S419" s="467"/>
      <c r="T419" s="467"/>
      <c r="U419" s="467"/>
      <c r="V419" s="467"/>
      <c r="W419" s="467"/>
      <c r="AA419" s="467"/>
      <c r="AB419" s="467"/>
      <c r="AC419" s="467"/>
      <c r="AD419" s="467"/>
      <c r="AE419" s="467"/>
      <c r="AF419" s="467"/>
      <c r="AG419" s="467"/>
    </row>
    <row r="420" spans="5:33" ht="15">
      <c r="E420" s="466"/>
      <c r="F420" s="466"/>
      <c r="G420" s="466"/>
      <c r="H420" s="466"/>
      <c r="I420" s="466"/>
      <c r="J420" s="466"/>
      <c r="K420" s="466"/>
      <c r="R420" s="467"/>
      <c r="S420" s="467"/>
      <c r="T420" s="467"/>
      <c r="U420" s="467"/>
      <c r="V420" s="467"/>
      <c r="W420" s="467"/>
      <c r="AA420" s="467"/>
      <c r="AB420" s="467"/>
      <c r="AC420" s="467"/>
      <c r="AD420" s="467"/>
      <c r="AE420" s="467"/>
      <c r="AF420" s="467"/>
      <c r="AG420" s="467"/>
    </row>
    <row r="421" spans="5:33" ht="15">
      <c r="E421" s="466"/>
      <c r="F421" s="466"/>
      <c r="G421" s="466"/>
      <c r="H421" s="466"/>
      <c r="I421" s="466"/>
      <c r="J421" s="466"/>
      <c r="K421" s="466"/>
      <c r="R421" s="467"/>
      <c r="S421" s="467"/>
      <c r="T421" s="467"/>
      <c r="U421" s="467"/>
      <c r="V421" s="467"/>
      <c r="W421" s="467"/>
      <c r="AA421" s="467"/>
      <c r="AB421" s="467"/>
      <c r="AC421" s="467"/>
      <c r="AD421" s="467"/>
      <c r="AE421" s="467"/>
      <c r="AF421" s="467"/>
      <c r="AG421" s="467"/>
    </row>
    <row r="422" spans="5:33" ht="15">
      <c r="E422" s="466"/>
      <c r="F422" s="466"/>
      <c r="G422" s="466"/>
      <c r="H422" s="466"/>
      <c r="I422" s="466"/>
      <c r="J422" s="466"/>
      <c r="K422" s="466"/>
      <c r="R422" s="467"/>
      <c r="S422" s="467"/>
      <c r="T422" s="467"/>
      <c r="U422" s="467"/>
      <c r="V422" s="467"/>
      <c r="W422" s="467"/>
      <c r="AA422" s="467"/>
      <c r="AB422" s="467"/>
      <c r="AC422" s="467"/>
      <c r="AD422" s="467"/>
      <c r="AE422" s="467"/>
      <c r="AF422" s="467"/>
      <c r="AG422" s="467"/>
    </row>
    <row r="423" spans="5:33" ht="15">
      <c r="E423" s="466"/>
      <c r="F423" s="466"/>
      <c r="G423" s="466"/>
      <c r="H423" s="466"/>
      <c r="I423" s="466"/>
      <c r="J423" s="466"/>
      <c r="K423" s="466"/>
      <c r="R423" s="467"/>
      <c r="S423" s="467"/>
      <c r="T423" s="467"/>
      <c r="U423" s="467"/>
      <c r="V423" s="467"/>
      <c r="W423" s="467"/>
      <c r="AA423" s="467"/>
      <c r="AB423" s="467"/>
      <c r="AC423" s="467"/>
      <c r="AD423" s="467"/>
      <c r="AE423" s="467"/>
      <c r="AF423" s="467"/>
      <c r="AG423" s="467"/>
    </row>
    <row r="424" spans="5:33" ht="15">
      <c r="E424" s="466"/>
      <c r="F424" s="466"/>
      <c r="G424" s="466"/>
      <c r="H424" s="466"/>
      <c r="I424" s="466"/>
      <c r="J424" s="466"/>
      <c r="K424" s="466"/>
      <c r="R424" s="467"/>
      <c r="S424" s="467"/>
      <c r="T424" s="467"/>
      <c r="U424" s="467"/>
      <c r="V424" s="467"/>
      <c r="W424" s="467"/>
      <c r="AA424" s="467"/>
      <c r="AB424" s="467"/>
      <c r="AC424" s="467"/>
      <c r="AD424" s="467"/>
      <c r="AE424" s="467"/>
      <c r="AF424" s="467"/>
      <c r="AG424" s="467"/>
    </row>
    <row r="425" spans="5:33" ht="15">
      <c r="E425" s="466"/>
      <c r="F425" s="466"/>
      <c r="G425" s="466"/>
      <c r="H425" s="466"/>
      <c r="I425" s="466"/>
      <c r="J425" s="466"/>
      <c r="K425" s="466"/>
      <c r="R425" s="467"/>
      <c r="S425" s="467"/>
      <c r="T425" s="467"/>
      <c r="U425" s="467"/>
      <c r="V425" s="467"/>
      <c r="W425" s="467"/>
      <c r="AA425" s="467"/>
      <c r="AB425" s="467"/>
      <c r="AC425" s="467"/>
      <c r="AD425" s="467"/>
      <c r="AE425" s="467"/>
      <c r="AF425" s="467"/>
      <c r="AG425" s="467"/>
    </row>
    <row r="426" spans="5:33" ht="15">
      <c r="E426" s="466"/>
      <c r="F426" s="466"/>
      <c r="G426" s="466"/>
      <c r="H426" s="466"/>
      <c r="I426" s="466"/>
      <c r="J426" s="466"/>
      <c r="K426" s="466"/>
      <c r="R426" s="467"/>
      <c r="S426" s="467"/>
      <c r="T426" s="467"/>
      <c r="U426" s="467"/>
      <c r="V426" s="467"/>
      <c r="W426" s="467"/>
      <c r="AA426" s="467"/>
      <c r="AB426" s="467"/>
      <c r="AC426" s="467"/>
      <c r="AD426" s="467"/>
      <c r="AE426" s="467"/>
      <c r="AF426" s="467"/>
      <c r="AG426" s="467"/>
    </row>
    <row r="427" spans="5:33" ht="15">
      <c r="E427" s="466"/>
      <c r="F427" s="466"/>
      <c r="G427" s="466"/>
      <c r="H427" s="466"/>
      <c r="I427" s="466"/>
      <c r="J427" s="466"/>
      <c r="K427" s="466"/>
      <c r="R427" s="467"/>
      <c r="S427" s="467"/>
      <c r="T427" s="467"/>
      <c r="U427" s="467"/>
      <c r="V427" s="467"/>
      <c r="W427" s="467"/>
      <c r="AA427" s="467"/>
      <c r="AB427" s="467"/>
      <c r="AC427" s="467"/>
      <c r="AD427" s="467"/>
      <c r="AE427" s="467"/>
      <c r="AF427" s="467"/>
      <c r="AG427" s="467"/>
    </row>
    <row r="428" spans="5:33" ht="15">
      <c r="E428" s="466"/>
      <c r="F428" s="466"/>
      <c r="G428" s="466"/>
      <c r="H428" s="466"/>
      <c r="I428" s="466"/>
      <c r="J428" s="466"/>
      <c r="K428" s="466"/>
      <c r="R428" s="467"/>
      <c r="S428" s="467"/>
      <c r="T428" s="467"/>
      <c r="U428" s="467"/>
      <c r="V428" s="467"/>
      <c r="W428" s="467"/>
      <c r="AA428" s="467"/>
      <c r="AB428" s="467"/>
      <c r="AC428" s="467"/>
      <c r="AD428" s="467"/>
      <c r="AE428" s="467"/>
      <c r="AF428" s="467"/>
      <c r="AG428" s="467"/>
    </row>
    <row r="429" spans="5:33" ht="15">
      <c r="E429" s="466"/>
      <c r="F429" s="466"/>
      <c r="G429" s="466"/>
      <c r="H429" s="466"/>
      <c r="I429" s="466"/>
      <c r="J429" s="466"/>
      <c r="K429" s="466"/>
      <c r="R429" s="467"/>
      <c r="S429" s="467"/>
      <c r="T429" s="467"/>
      <c r="U429" s="467"/>
      <c r="V429" s="467"/>
      <c r="W429" s="467"/>
      <c r="AA429" s="467"/>
      <c r="AB429" s="467"/>
      <c r="AC429" s="467"/>
      <c r="AD429" s="467"/>
      <c r="AE429" s="467"/>
      <c r="AF429" s="467"/>
      <c r="AG429" s="467"/>
    </row>
    <row r="430" spans="5:33" ht="15">
      <c r="E430" s="466"/>
      <c r="F430" s="466"/>
      <c r="G430" s="466"/>
      <c r="H430" s="466"/>
      <c r="I430" s="466"/>
      <c r="J430" s="466"/>
      <c r="K430" s="466"/>
      <c r="R430" s="467"/>
      <c r="S430" s="467"/>
      <c r="T430" s="467"/>
      <c r="U430" s="467"/>
      <c r="V430" s="467"/>
      <c r="W430" s="467"/>
      <c r="AA430" s="467"/>
      <c r="AB430" s="467"/>
      <c r="AC430" s="467"/>
      <c r="AD430" s="467"/>
      <c r="AE430" s="467"/>
      <c r="AF430" s="467"/>
      <c r="AG430" s="467"/>
    </row>
    <row r="431" spans="5:33" ht="15">
      <c r="E431" s="466"/>
      <c r="F431" s="466"/>
      <c r="G431" s="466"/>
      <c r="H431" s="466"/>
      <c r="I431" s="466"/>
      <c r="J431" s="466"/>
      <c r="K431" s="466"/>
      <c r="R431" s="467"/>
      <c r="S431" s="467"/>
      <c r="T431" s="467"/>
      <c r="U431" s="467"/>
      <c r="V431" s="467"/>
      <c r="W431" s="467"/>
      <c r="AA431" s="467"/>
      <c r="AB431" s="467"/>
      <c r="AC431" s="467"/>
      <c r="AD431" s="467"/>
      <c r="AE431" s="467"/>
      <c r="AF431" s="467"/>
      <c r="AG431" s="467"/>
    </row>
    <row r="432" spans="5:33" ht="15">
      <c r="E432" s="466"/>
      <c r="F432" s="466"/>
      <c r="G432" s="466"/>
      <c r="H432" s="466"/>
      <c r="I432" s="466"/>
      <c r="J432" s="466"/>
      <c r="K432" s="466"/>
      <c r="R432" s="467"/>
      <c r="S432" s="467"/>
      <c r="T432" s="467"/>
      <c r="U432" s="467"/>
      <c r="V432" s="467"/>
      <c r="W432" s="467"/>
      <c r="AA432" s="467"/>
      <c r="AB432" s="467"/>
      <c r="AC432" s="467"/>
      <c r="AD432" s="467"/>
      <c r="AE432" s="467"/>
      <c r="AF432" s="467"/>
      <c r="AG432" s="467"/>
    </row>
    <row r="433" spans="5:33" ht="15">
      <c r="E433" s="466"/>
      <c r="F433" s="466"/>
      <c r="G433" s="466"/>
      <c r="H433" s="466"/>
      <c r="I433" s="466"/>
      <c r="J433" s="466"/>
      <c r="K433" s="466"/>
      <c r="R433" s="467"/>
      <c r="S433" s="467"/>
      <c r="T433" s="467"/>
      <c r="U433" s="467"/>
      <c r="V433" s="467"/>
      <c r="W433" s="467"/>
      <c r="AA433" s="467"/>
      <c r="AB433" s="467"/>
      <c r="AC433" s="467"/>
      <c r="AD433" s="467"/>
      <c r="AE433" s="467"/>
      <c r="AF433" s="467"/>
      <c r="AG433" s="467"/>
    </row>
    <row r="434" spans="5:33" ht="15">
      <c r="E434" s="466"/>
      <c r="F434" s="466"/>
      <c r="G434" s="466"/>
      <c r="H434" s="466"/>
      <c r="I434" s="466"/>
      <c r="J434" s="466"/>
      <c r="K434" s="466"/>
      <c r="R434" s="467"/>
      <c r="S434" s="467"/>
      <c r="T434" s="467"/>
      <c r="U434" s="467"/>
      <c r="V434" s="467"/>
      <c r="W434" s="467"/>
      <c r="AA434" s="467"/>
      <c r="AB434" s="467"/>
      <c r="AC434" s="467"/>
      <c r="AD434" s="467"/>
      <c r="AE434" s="467"/>
      <c r="AF434" s="467"/>
      <c r="AG434" s="467"/>
    </row>
    <row r="435" spans="5:33" ht="15">
      <c r="E435" s="466"/>
      <c r="F435" s="466"/>
      <c r="G435" s="466"/>
      <c r="H435" s="466"/>
      <c r="I435" s="466"/>
      <c r="J435" s="466"/>
      <c r="K435" s="466"/>
      <c r="R435" s="467"/>
      <c r="S435" s="467"/>
      <c r="T435" s="467"/>
      <c r="U435" s="467"/>
      <c r="V435" s="467"/>
      <c r="W435" s="467"/>
      <c r="AA435" s="467"/>
      <c r="AB435" s="467"/>
      <c r="AC435" s="467"/>
      <c r="AD435" s="467"/>
      <c r="AE435" s="467"/>
      <c r="AF435" s="467"/>
      <c r="AG435" s="467"/>
    </row>
    <row r="436" spans="5:33" ht="15">
      <c r="E436" s="466"/>
      <c r="F436" s="466"/>
      <c r="G436" s="466"/>
      <c r="H436" s="466"/>
      <c r="I436" s="466"/>
      <c r="J436" s="466"/>
      <c r="K436" s="466"/>
      <c r="R436" s="467"/>
      <c r="S436" s="467"/>
      <c r="T436" s="467"/>
      <c r="U436" s="467"/>
      <c r="V436" s="467"/>
      <c r="W436" s="467"/>
      <c r="AA436" s="467"/>
      <c r="AB436" s="467"/>
      <c r="AC436" s="467"/>
      <c r="AD436" s="467"/>
      <c r="AE436" s="467"/>
      <c r="AF436" s="467"/>
      <c r="AG436" s="467"/>
    </row>
    <row r="437" spans="5:33" ht="15">
      <c r="E437" s="466"/>
      <c r="F437" s="466"/>
      <c r="G437" s="466"/>
      <c r="H437" s="466"/>
      <c r="I437" s="466"/>
      <c r="J437" s="466"/>
      <c r="K437" s="466"/>
      <c r="R437" s="467"/>
      <c r="S437" s="467"/>
      <c r="T437" s="467"/>
      <c r="U437" s="467"/>
      <c r="V437" s="467"/>
      <c r="W437" s="467"/>
      <c r="AA437" s="467"/>
      <c r="AB437" s="467"/>
      <c r="AC437" s="467"/>
      <c r="AD437" s="467"/>
      <c r="AE437" s="467"/>
      <c r="AF437" s="467"/>
      <c r="AG437" s="467"/>
    </row>
    <row r="438" spans="5:33" ht="15">
      <c r="E438" s="466"/>
      <c r="F438" s="466"/>
      <c r="G438" s="466"/>
      <c r="H438" s="466"/>
      <c r="I438" s="466"/>
      <c r="J438" s="466"/>
      <c r="K438" s="466"/>
      <c r="R438" s="467"/>
      <c r="S438" s="467"/>
      <c r="T438" s="467"/>
      <c r="U438" s="467"/>
      <c r="V438" s="467"/>
      <c r="W438" s="467"/>
      <c r="AA438" s="467"/>
      <c r="AB438" s="467"/>
      <c r="AC438" s="467"/>
      <c r="AD438" s="467"/>
      <c r="AE438" s="467"/>
      <c r="AF438" s="467"/>
      <c r="AG438" s="467"/>
    </row>
    <row r="439" spans="5:33" ht="15">
      <c r="E439" s="466"/>
      <c r="F439" s="466"/>
      <c r="G439" s="466"/>
      <c r="H439" s="466"/>
      <c r="I439" s="466"/>
      <c r="J439" s="466"/>
      <c r="K439" s="466"/>
      <c r="R439" s="467"/>
      <c r="S439" s="467"/>
      <c r="T439" s="467"/>
      <c r="U439" s="467"/>
      <c r="V439" s="467"/>
      <c r="W439" s="467"/>
      <c r="AA439" s="467"/>
      <c r="AB439" s="467"/>
      <c r="AC439" s="467"/>
      <c r="AD439" s="467"/>
      <c r="AE439" s="467"/>
      <c r="AF439" s="467"/>
      <c r="AG439" s="467"/>
    </row>
    <row r="440" spans="5:33" ht="15">
      <c r="E440" s="466"/>
      <c r="F440" s="466"/>
      <c r="G440" s="466"/>
      <c r="H440" s="466"/>
      <c r="I440" s="466"/>
      <c r="J440" s="466"/>
      <c r="K440" s="466"/>
      <c r="R440" s="467"/>
      <c r="S440" s="467"/>
      <c r="T440" s="467"/>
      <c r="U440" s="467"/>
      <c r="V440" s="467"/>
      <c r="W440" s="467"/>
      <c r="AA440" s="467"/>
      <c r="AB440" s="467"/>
      <c r="AC440" s="467"/>
      <c r="AD440" s="467"/>
      <c r="AE440" s="467"/>
      <c r="AF440" s="467"/>
      <c r="AG440" s="467"/>
    </row>
    <row r="441" spans="5:33" ht="15">
      <c r="E441" s="466"/>
      <c r="F441" s="466"/>
      <c r="G441" s="466"/>
      <c r="H441" s="466"/>
      <c r="I441" s="466"/>
      <c r="J441" s="466"/>
      <c r="K441" s="466"/>
      <c r="R441" s="467"/>
      <c r="S441" s="467"/>
      <c r="T441" s="467"/>
      <c r="U441" s="467"/>
      <c r="V441" s="467"/>
      <c r="W441" s="467"/>
      <c r="AA441" s="467"/>
      <c r="AB441" s="467"/>
      <c r="AC441" s="467"/>
      <c r="AD441" s="467"/>
      <c r="AE441" s="467"/>
      <c r="AF441" s="467"/>
      <c r="AG441" s="467"/>
    </row>
    <row r="442" spans="5:33" ht="15">
      <c r="E442" s="466"/>
      <c r="F442" s="466"/>
      <c r="G442" s="466"/>
      <c r="H442" s="466"/>
      <c r="I442" s="466"/>
      <c r="J442" s="466"/>
      <c r="K442" s="466"/>
      <c r="R442" s="467"/>
      <c r="S442" s="467"/>
      <c r="T442" s="467"/>
      <c r="U442" s="467"/>
      <c r="V442" s="467"/>
      <c r="W442" s="467"/>
      <c r="AA442" s="467"/>
      <c r="AB442" s="467"/>
      <c r="AC442" s="467"/>
      <c r="AD442" s="467"/>
      <c r="AE442" s="467"/>
      <c r="AF442" s="467"/>
      <c r="AG442" s="467"/>
    </row>
    <row r="443" spans="5:33" ht="15">
      <c r="E443" s="466"/>
      <c r="F443" s="466"/>
      <c r="G443" s="466"/>
      <c r="H443" s="466"/>
      <c r="I443" s="466"/>
      <c r="J443" s="466"/>
      <c r="K443" s="466"/>
      <c r="R443" s="467"/>
      <c r="S443" s="467"/>
      <c r="T443" s="467"/>
      <c r="U443" s="467"/>
      <c r="V443" s="467"/>
      <c r="W443" s="467"/>
      <c r="AA443" s="467"/>
      <c r="AB443" s="467"/>
      <c r="AC443" s="467"/>
      <c r="AD443" s="467"/>
      <c r="AE443" s="467"/>
      <c r="AF443" s="467"/>
      <c r="AG443" s="467"/>
    </row>
    <row r="444" spans="5:33" ht="15">
      <c r="E444" s="466"/>
      <c r="F444" s="466"/>
      <c r="G444" s="466"/>
      <c r="H444" s="466"/>
      <c r="I444" s="466"/>
      <c r="J444" s="466"/>
      <c r="K444" s="466"/>
      <c r="R444" s="467"/>
      <c r="S444" s="467"/>
      <c r="T444" s="467"/>
      <c r="U444" s="467"/>
      <c r="V444" s="467"/>
      <c r="W444" s="467"/>
      <c r="AA444" s="467"/>
      <c r="AB444" s="467"/>
      <c r="AC444" s="467"/>
      <c r="AD444" s="467"/>
      <c r="AE444" s="467"/>
      <c r="AF444" s="467"/>
      <c r="AG444" s="467"/>
    </row>
    <row r="445" spans="5:33" ht="15">
      <c r="E445" s="466"/>
      <c r="F445" s="466"/>
      <c r="G445" s="466"/>
      <c r="H445" s="466"/>
      <c r="I445" s="466"/>
      <c r="J445" s="466"/>
      <c r="K445" s="466"/>
      <c r="R445" s="467"/>
      <c r="S445" s="467"/>
      <c r="T445" s="467"/>
      <c r="U445" s="467"/>
      <c r="V445" s="467"/>
      <c r="W445" s="467"/>
      <c r="AA445" s="467"/>
      <c r="AB445" s="467"/>
      <c r="AC445" s="467"/>
      <c r="AD445" s="467"/>
      <c r="AE445" s="467"/>
      <c r="AF445" s="467"/>
      <c r="AG445" s="467"/>
    </row>
    <row r="446" spans="5:33" ht="15">
      <c r="E446" s="466"/>
      <c r="F446" s="466"/>
      <c r="G446" s="466"/>
      <c r="H446" s="466"/>
      <c r="I446" s="466"/>
      <c r="J446" s="466"/>
      <c r="K446" s="466"/>
      <c r="R446" s="467"/>
      <c r="S446" s="467"/>
      <c r="T446" s="467"/>
      <c r="U446" s="467"/>
      <c r="V446" s="467"/>
      <c r="W446" s="467"/>
      <c r="AA446" s="467"/>
      <c r="AB446" s="467"/>
      <c r="AC446" s="467"/>
      <c r="AD446" s="467"/>
      <c r="AE446" s="467"/>
      <c r="AF446" s="467"/>
      <c r="AG446" s="467"/>
    </row>
    <row r="447" spans="5:33" ht="15">
      <c r="E447" s="466"/>
      <c r="F447" s="466"/>
      <c r="G447" s="466"/>
      <c r="H447" s="466"/>
      <c r="I447" s="466"/>
      <c r="J447" s="466"/>
      <c r="K447" s="466"/>
      <c r="R447" s="467"/>
      <c r="S447" s="467"/>
      <c r="T447" s="467"/>
      <c r="U447" s="467"/>
      <c r="V447" s="467"/>
      <c r="W447" s="467"/>
      <c r="AA447" s="467"/>
      <c r="AB447" s="467"/>
      <c r="AC447" s="467"/>
      <c r="AD447" s="467"/>
      <c r="AE447" s="467"/>
      <c r="AF447" s="467"/>
      <c r="AG447" s="467"/>
    </row>
    <row r="448" spans="5:33" ht="15">
      <c r="E448" s="466"/>
      <c r="F448" s="466"/>
      <c r="G448" s="466"/>
      <c r="H448" s="466"/>
      <c r="I448" s="466"/>
      <c r="J448" s="466"/>
      <c r="K448" s="466"/>
      <c r="R448" s="467"/>
      <c r="S448" s="467"/>
      <c r="T448" s="467"/>
      <c r="U448" s="467"/>
      <c r="V448" s="467"/>
      <c r="W448" s="467"/>
      <c r="AA448" s="467"/>
      <c r="AB448" s="467"/>
      <c r="AC448" s="467"/>
      <c r="AD448" s="467"/>
      <c r="AE448" s="467"/>
      <c r="AF448" s="467"/>
      <c r="AG448" s="467"/>
    </row>
    <row r="449" spans="5:33" ht="15">
      <c r="E449" s="466"/>
      <c r="F449" s="466"/>
      <c r="G449" s="466"/>
      <c r="H449" s="466"/>
      <c r="I449" s="466"/>
      <c r="J449" s="466"/>
      <c r="K449" s="466"/>
      <c r="R449" s="467"/>
      <c r="S449" s="467"/>
      <c r="T449" s="467"/>
      <c r="U449" s="467"/>
      <c r="V449" s="467"/>
      <c r="W449" s="467"/>
      <c r="AA449" s="467"/>
      <c r="AB449" s="467"/>
      <c r="AC449" s="467"/>
      <c r="AD449" s="467"/>
      <c r="AE449" s="467"/>
      <c r="AF449" s="467"/>
      <c r="AG449" s="467"/>
    </row>
    <row r="450" spans="5:33" ht="15">
      <c r="E450" s="466"/>
      <c r="F450" s="466"/>
      <c r="G450" s="466"/>
      <c r="H450" s="466"/>
      <c r="I450" s="466"/>
      <c r="J450" s="466"/>
      <c r="K450" s="466"/>
      <c r="R450" s="467"/>
      <c r="S450" s="467"/>
      <c r="T450" s="467"/>
      <c r="U450" s="467"/>
      <c r="V450" s="467"/>
      <c r="W450" s="467"/>
      <c r="AA450" s="467"/>
      <c r="AB450" s="467"/>
      <c r="AC450" s="467"/>
      <c r="AD450" s="467"/>
      <c r="AE450" s="467"/>
      <c r="AF450" s="467"/>
      <c r="AG450" s="467"/>
    </row>
    <row r="451" spans="5:33" ht="15">
      <c r="E451" s="466"/>
      <c r="F451" s="466"/>
      <c r="G451" s="466"/>
      <c r="H451" s="466"/>
      <c r="I451" s="466"/>
      <c r="J451" s="466"/>
      <c r="K451" s="466"/>
      <c r="R451" s="467"/>
      <c r="S451" s="467"/>
      <c r="T451" s="467"/>
      <c r="U451" s="467"/>
      <c r="V451" s="467"/>
      <c r="W451" s="467"/>
      <c r="AA451" s="467"/>
      <c r="AB451" s="467"/>
      <c r="AC451" s="467"/>
      <c r="AD451" s="467"/>
      <c r="AE451" s="467"/>
      <c r="AF451" s="467"/>
      <c r="AG451" s="467"/>
    </row>
    <row r="452" spans="5:33" ht="15">
      <c r="E452" s="466"/>
      <c r="F452" s="466"/>
      <c r="G452" s="466"/>
      <c r="H452" s="466"/>
      <c r="I452" s="466"/>
      <c r="J452" s="466"/>
      <c r="K452" s="466"/>
      <c r="R452" s="467"/>
      <c r="S452" s="467"/>
      <c r="T452" s="467"/>
      <c r="U452" s="467"/>
      <c r="V452" s="467"/>
      <c r="W452" s="467"/>
      <c r="AA452" s="467"/>
      <c r="AB452" s="467"/>
      <c r="AC452" s="467"/>
      <c r="AD452" s="467"/>
      <c r="AE452" s="467"/>
      <c r="AF452" s="467"/>
      <c r="AG452" s="467"/>
    </row>
    <row r="453" spans="5:33" ht="15">
      <c r="E453" s="466"/>
      <c r="F453" s="466"/>
      <c r="G453" s="466"/>
      <c r="H453" s="466"/>
      <c r="I453" s="466"/>
      <c r="J453" s="466"/>
      <c r="K453" s="466"/>
      <c r="R453" s="467"/>
      <c r="S453" s="467"/>
      <c r="T453" s="467"/>
      <c r="U453" s="467"/>
      <c r="V453" s="467"/>
      <c r="W453" s="467"/>
      <c r="AA453" s="467"/>
      <c r="AB453" s="467"/>
      <c r="AC453" s="467"/>
      <c r="AD453" s="467"/>
      <c r="AE453" s="467"/>
      <c r="AF453" s="467"/>
      <c r="AG453" s="467"/>
    </row>
    <row r="454" spans="5:33" ht="15">
      <c r="E454" s="466"/>
      <c r="F454" s="466"/>
      <c r="G454" s="466"/>
      <c r="H454" s="466"/>
      <c r="I454" s="466"/>
      <c r="J454" s="466"/>
      <c r="K454" s="466"/>
      <c r="R454" s="467"/>
      <c r="S454" s="467"/>
      <c r="T454" s="467"/>
      <c r="U454" s="467"/>
      <c r="V454" s="467"/>
      <c r="W454" s="467"/>
      <c r="AA454" s="467"/>
      <c r="AB454" s="467"/>
      <c r="AC454" s="467"/>
      <c r="AD454" s="467"/>
      <c r="AE454" s="467"/>
      <c r="AF454" s="467"/>
      <c r="AG454" s="467"/>
    </row>
    <row r="455" spans="5:33" ht="15">
      <c r="E455" s="466"/>
      <c r="F455" s="466"/>
      <c r="G455" s="466"/>
      <c r="H455" s="466"/>
      <c r="I455" s="466"/>
      <c r="J455" s="466"/>
      <c r="K455" s="466"/>
      <c r="R455" s="467"/>
      <c r="S455" s="467"/>
      <c r="T455" s="467"/>
      <c r="U455" s="467"/>
      <c r="V455" s="467"/>
      <c r="W455" s="467"/>
      <c r="AA455" s="467"/>
      <c r="AB455" s="467"/>
      <c r="AC455" s="467"/>
      <c r="AD455" s="467"/>
      <c r="AE455" s="467"/>
      <c r="AF455" s="467"/>
      <c r="AG455" s="467"/>
    </row>
    <row r="456" spans="5:33" ht="15">
      <c r="E456" s="466"/>
      <c r="F456" s="466"/>
      <c r="G456" s="466"/>
      <c r="H456" s="466"/>
      <c r="I456" s="466"/>
      <c r="J456" s="466"/>
      <c r="K456" s="466"/>
      <c r="R456" s="467"/>
      <c r="S456" s="467"/>
      <c r="T456" s="467"/>
      <c r="U456" s="467"/>
      <c r="V456" s="467"/>
      <c r="W456" s="467"/>
      <c r="AA456" s="467"/>
      <c r="AB456" s="467"/>
      <c r="AC456" s="467"/>
      <c r="AD456" s="467"/>
      <c r="AE456" s="467"/>
      <c r="AF456" s="467"/>
      <c r="AG456" s="467"/>
    </row>
    <row r="457" spans="5:33" ht="15">
      <c r="E457" s="466"/>
      <c r="F457" s="466"/>
      <c r="G457" s="466"/>
      <c r="H457" s="466"/>
      <c r="I457" s="466"/>
      <c r="J457" s="466"/>
      <c r="K457" s="466"/>
      <c r="R457" s="467"/>
      <c r="S457" s="467"/>
      <c r="T457" s="467"/>
      <c r="U457" s="467"/>
      <c r="V457" s="467"/>
      <c r="W457" s="467"/>
      <c r="AA457" s="467"/>
      <c r="AB457" s="467"/>
      <c r="AC457" s="467"/>
      <c r="AD457" s="467"/>
      <c r="AE457" s="467"/>
      <c r="AF457" s="467"/>
      <c r="AG457" s="467"/>
    </row>
    <row r="458" spans="5:33" ht="15">
      <c r="E458" s="466"/>
      <c r="F458" s="466"/>
      <c r="G458" s="466"/>
      <c r="H458" s="466"/>
      <c r="I458" s="466"/>
      <c r="J458" s="466"/>
      <c r="K458" s="466"/>
      <c r="R458" s="467"/>
      <c r="S458" s="467"/>
      <c r="T458" s="467"/>
      <c r="U458" s="467"/>
      <c r="V458" s="467"/>
      <c r="W458" s="467"/>
      <c r="AA458" s="467"/>
      <c r="AB458" s="467"/>
      <c r="AC458" s="467"/>
      <c r="AD458" s="467"/>
      <c r="AE458" s="467"/>
      <c r="AF458" s="467"/>
      <c r="AG458" s="467"/>
    </row>
    <row r="459" spans="5:33" ht="15">
      <c r="E459" s="466"/>
      <c r="F459" s="466"/>
      <c r="G459" s="466"/>
      <c r="H459" s="466"/>
      <c r="I459" s="466"/>
      <c r="J459" s="466"/>
      <c r="K459" s="466"/>
      <c r="R459" s="467"/>
      <c r="S459" s="467"/>
      <c r="T459" s="467"/>
      <c r="U459" s="467"/>
      <c r="V459" s="467"/>
      <c r="W459" s="467"/>
      <c r="AA459" s="467"/>
      <c r="AB459" s="467"/>
      <c r="AC459" s="467"/>
      <c r="AD459" s="467"/>
      <c r="AE459" s="467"/>
      <c r="AF459" s="467"/>
      <c r="AG459" s="467"/>
    </row>
    <row r="460" spans="5:33" ht="15">
      <c r="E460" s="466"/>
      <c r="F460" s="466"/>
      <c r="G460" s="466"/>
      <c r="H460" s="466"/>
      <c r="I460" s="466"/>
      <c r="J460" s="466"/>
      <c r="K460" s="466"/>
      <c r="R460" s="467"/>
      <c r="S460" s="467"/>
      <c r="T460" s="467"/>
      <c r="U460" s="467"/>
      <c r="V460" s="467"/>
      <c r="W460" s="467"/>
      <c r="AA460" s="467"/>
      <c r="AB460" s="467"/>
      <c r="AC460" s="467"/>
      <c r="AD460" s="467"/>
      <c r="AE460" s="467"/>
      <c r="AF460" s="467"/>
      <c r="AG460" s="467"/>
    </row>
    <row r="461" spans="5:33" ht="15">
      <c r="E461" s="466"/>
      <c r="F461" s="466"/>
      <c r="G461" s="466"/>
      <c r="H461" s="466"/>
      <c r="I461" s="466"/>
      <c r="J461" s="466"/>
      <c r="K461" s="466"/>
      <c r="R461" s="467"/>
      <c r="S461" s="467"/>
      <c r="T461" s="467"/>
      <c r="U461" s="467"/>
      <c r="V461" s="467"/>
      <c r="W461" s="467"/>
      <c r="AA461" s="467"/>
      <c r="AB461" s="467"/>
      <c r="AC461" s="467"/>
      <c r="AD461" s="467"/>
      <c r="AE461" s="467"/>
      <c r="AF461" s="467"/>
      <c r="AG461" s="467"/>
    </row>
    <row r="462" spans="5:33" ht="15">
      <c r="E462" s="466"/>
      <c r="F462" s="466"/>
      <c r="G462" s="466"/>
      <c r="H462" s="466"/>
      <c r="I462" s="466"/>
      <c r="J462" s="466"/>
      <c r="K462" s="466"/>
      <c r="R462" s="467"/>
      <c r="S462" s="467"/>
      <c r="T462" s="467"/>
      <c r="U462" s="467"/>
      <c r="V462" s="467"/>
      <c r="W462" s="467"/>
      <c r="AA462" s="467"/>
      <c r="AB462" s="467"/>
      <c r="AC462" s="467"/>
      <c r="AD462" s="467"/>
      <c r="AE462" s="467"/>
      <c r="AF462" s="467"/>
      <c r="AG462" s="467"/>
    </row>
    <row r="463" spans="5:33" ht="15">
      <c r="E463" s="466"/>
      <c r="F463" s="466"/>
      <c r="G463" s="466"/>
      <c r="H463" s="466"/>
      <c r="I463" s="466"/>
      <c r="J463" s="466"/>
      <c r="K463" s="466"/>
      <c r="R463" s="467"/>
      <c r="S463" s="467"/>
      <c r="T463" s="467"/>
      <c r="U463" s="467"/>
      <c r="V463" s="467"/>
      <c r="W463" s="467"/>
      <c r="AA463" s="467"/>
      <c r="AB463" s="467"/>
      <c r="AC463" s="467"/>
      <c r="AD463" s="467"/>
      <c r="AE463" s="467"/>
      <c r="AF463" s="467"/>
      <c r="AG463" s="467"/>
    </row>
    <row r="464" spans="5:33" ht="15">
      <c r="E464" s="466"/>
      <c r="F464" s="466"/>
      <c r="G464" s="466"/>
      <c r="H464" s="466"/>
      <c r="I464" s="466"/>
      <c r="J464" s="466"/>
      <c r="K464" s="466"/>
      <c r="R464" s="467"/>
      <c r="S464" s="467"/>
      <c r="T464" s="467"/>
      <c r="U464" s="467"/>
      <c r="V464" s="467"/>
      <c r="W464" s="467"/>
      <c r="AA464" s="467"/>
      <c r="AB464" s="467"/>
      <c r="AC464" s="467"/>
      <c r="AD464" s="467"/>
      <c r="AE464" s="467"/>
      <c r="AF464" s="467"/>
      <c r="AG464" s="467"/>
    </row>
    <row r="465" spans="5:33" ht="15">
      <c r="E465" s="466"/>
      <c r="F465" s="466"/>
      <c r="G465" s="466"/>
      <c r="H465" s="466"/>
      <c r="I465" s="466"/>
      <c r="J465" s="466"/>
      <c r="K465" s="466"/>
      <c r="R465" s="467"/>
      <c r="S465" s="467"/>
      <c r="T465" s="467"/>
      <c r="U465" s="467"/>
      <c r="V465" s="467"/>
      <c r="W465" s="467"/>
      <c r="AA465" s="467"/>
      <c r="AB465" s="467"/>
      <c r="AC465" s="467"/>
      <c r="AD465" s="467"/>
      <c r="AE465" s="467"/>
      <c r="AF465" s="467"/>
      <c r="AG465" s="467"/>
    </row>
    <row r="466" spans="5:33" ht="15">
      <c r="E466" s="466"/>
      <c r="F466" s="466"/>
      <c r="G466" s="466"/>
      <c r="H466" s="466"/>
      <c r="I466" s="466"/>
      <c r="J466" s="466"/>
      <c r="K466" s="466"/>
      <c r="R466" s="467"/>
      <c r="S466" s="467"/>
      <c r="T466" s="467"/>
      <c r="U466" s="467"/>
      <c r="V466" s="467"/>
      <c r="W466" s="467"/>
      <c r="AA466" s="467"/>
      <c r="AB466" s="467"/>
      <c r="AC466" s="467"/>
      <c r="AD466" s="467"/>
      <c r="AE466" s="467"/>
      <c r="AF466" s="467"/>
      <c r="AG466" s="467"/>
    </row>
    <row r="467" spans="5:33" ht="15">
      <c r="E467" s="466"/>
      <c r="F467" s="466"/>
      <c r="G467" s="466"/>
      <c r="H467" s="466"/>
      <c r="I467" s="466"/>
      <c r="J467" s="466"/>
      <c r="K467" s="466"/>
      <c r="R467" s="467"/>
      <c r="S467" s="467"/>
      <c r="T467" s="467"/>
      <c r="U467" s="467"/>
      <c r="V467" s="467"/>
      <c r="W467" s="467"/>
      <c r="AA467" s="467"/>
      <c r="AB467" s="467"/>
      <c r="AC467" s="467"/>
      <c r="AD467" s="467"/>
      <c r="AE467" s="467"/>
      <c r="AF467" s="467"/>
      <c r="AG467" s="467"/>
    </row>
    <row r="468" spans="5:33" ht="15">
      <c r="E468" s="466"/>
      <c r="F468" s="466"/>
      <c r="G468" s="466"/>
      <c r="H468" s="466"/>
      <c r="I468" s="466"/>
      <c r="J468" s="466"/>
      <c r="K468" s="466"/>
      <c r="R468" s="467"/>
      <c r="S468" s="467"/>
      <c r="T468" s="467"/>
      <c r="U468" s="467"/>
      <c r="V468" s="467"/>
      <c r="W468" s="467"/>
      <c r="AA468" s="467"/>
      <c r="AB468" s="467"/>
      <c r="AC468" s="467"/>
      <c r="AD468" s="467"/>
      <c r="AE468" s="467"/>
      <c r="AF468" s="467"/>
      <c r="AG468" s="467"/>
    </row>
    <row r="469" spans="5:33" ht="15">
      <c r="E469" s="466"/>
      <c r="F469" s="466"/>
      <c r="G469" s="466"/>
      <c r="H469" s="466"/>
      <c r="I469" s="466"/>
      <c r="J469" s="466"/>
      <c r="K469" s="466"/>
      <c r="R469" s="467"/>
      <c r="S469" s="467"/>
      <c r="T469" s="467"/>
      <c r="U469" s="467"/>
      <c r="V469" s="467"/>
      <c r="W469" s="467"/>
      <c r="AA469" s="467"/>
      <c r="AB469" s="467"/>
      <c r="AC469" s="467"/>
      <c r="AD469" s="467"/>
      <c r="AE469" s="467"/>
      <c r="AF469" s="467"/>
      <c r="AG469" s="467"/>
    </row>
    <row r="470" spans="5:33" ht="15">
      <c r="E470" s="466"/>
      <c r="F470" s="466"/>
      <c r="G470" s="466"/>
      <c r="H470" s="466"/>
      <c r="I470" s="466"/>
      <c r="J470" s="466"/>
      <c r="K470" s="466"/>
      <c r="R470" s="467"/>
      <c r="S470" s="467"/>
      <c r="T470" s="467"/>
      <c r="U470" s="467"/>
      <c r="V470" s="467"/>
      <c r="W470" s="467"/>
      <c r="AA470" s="467"/>
      <c r="AB470" s="467"/>
      <c r="AC470" s="467"/>
      <c r="AD470" s="467"/>
      <c r="AE470" s="467"/>
      <c r="AF470" s="467"/>
      <c r="AG470" s="467"/>
    </row>
    <row r="471" spans="5:33" ht="15">
      <c r="E471" s="466"/>
      <c r="F471" s="466"/>
      <c r="G471" s="466"/>
      <c r="H471" s="466"/>
      <c r="I471" s="466"/>
      <c r="J471" s="466"/>
      <c r="K471" s="466"/>
      <c r="R471" s="467"/>
      <c r="S471" s="467"/>
      <c r="T471" s="467"/>
      <c r="U471" s="467"/>
      <c r="V471" s="467"/>
      <c r="W471" s="467"/>
      <c r="AA471" s="467"/>
      <c r="AB471" s="467"/>
      <c r="AC471" s="467"/>
      <c r="AD471" s="467"/>
      <c r="AE471" s="467"/>
      <c r="AF471" s="467"/>
      <c r="AG471" s="467"/>
    </row>
    <row r="472" spans="5:33" ht="15">
      <c r="E472" s="466"/>
      <c r="F472" s="466"/>
      <c r="G472" s="466"/>
      <c r="H472" s="466"/>
      <c r="I472" s="466"/>
      <c r="J472" s="466"/>
      <c r="K472" s="466"/>
      <c r="R472" s="467"/>
      <c r="S472" s="467"/>
      <c r="T472" s="467"/>
      <c r="U472" s="467"/>
      <c r="V472" s="467"/>
      <c r="W472" s="467"/>
      <c r="AA472" s="467"/>
      <c r="AB472" s="467"/>
      <c r="AC472" s="467"/>
      <c r="AD472" s="467"/>
      <c r="AE472" s="467"/>
      <c r="AF472" s="467"/>
      <c r="AG472" s="467"/>
    </row>
    <row r="473" spans="5:33" ht="15">
      <c r="E473" s="466"/>
      <c r="F473" s="466"/>
      <c r="G473" s="466"/>
      <c r="H473" s="466"/>
      <c r="I473" s="466"/>
      <c r="J473" s="466"/>
      <c r="K473" s="466"/>
      <c r="R473" s="467"/>
      <c r="S473" s="467"/>
      <c r="T473" s="467"/>
      <c r="U473" s="467"/>
      <c r="V473" s="467"/>
      <c r="W473" s="467"/>
      <c r="AA473" s="467"/>
      <c r="AB473" s="467"/>
      <c r="AC473" s="467"/>
      <c r="AD473" s="467"/>
      <c r="AE473" s="467"/>
      <c r="AF473" s="467"/>
      <c r="AG473" s="467"/>
    </row>
    <row r="474" spans="5:33" ht="15">
      <c r="E474" s="466"/>
      <c r="F474" s="466"/>
      <c r="G474" s="466"/>
      <c r="H474" s="466"/>
      <c r="I474" s="466"/>
      <c r="J474" s="466"/>
      <c r="K474" s="466"/>
      <c r="R474" s="467"/>
      <c r="S474" s="467"/>
      <c r="T474" s="467"/>
      <c r="U474" s="467"/>
      <c r="V474" s="467"/>
      <c r="W474" s="467"/>
      <c r="AA474" s="467"/>
      <c r="AB474" s="467"/>
      <c r="AC474" s="467"/>
      <c r="AD474" s="467"/>
      <c r="AE474" s="467"/>
      <c r="AF474" s="467"/>
      <c r="AG474" s="467"/>
    </row>
    <row r="475" spans="5:33" ht="15">
      <c r="E475" s="466"/>
      <c r="F475" s="466"/>
      <c r="G475" s="466"/>
      <c r="H475" s="466"/>
      <c r="I475" s="466"/>
      <c r="J475" s="466"/>
      <c r="K475" s="466"/>
      <c r="R475" s="467"/>
      <c r="S475" s="467"/>
      <c r="T475" s="467"/>
      <c r="U475" s="467"/>
      <c r="V475" s="467"/>
      <c r="W475" s="467"/>
      <c r="AA475" s="467"/>
      <c r="AB475" s="467"/>
      <c r="AC475" s="467"/>
      <c r="AD475" s="467"/>
      <c r="AE475" s="467"/>
      <c r="AF475" s="467"/>
      <c r="AG475" s="467"/>
    </row>
    <row r="476" spans="5:33" ht="15">
      <c r="E476" s="466"/>
      <c r="F476" s="466"/>
      <c r="G476" s="466"/>
      <c r="H476" s="466"/>
      <c r="I476" s="466"/>
      <c r="J476" s="466"/>
      <c r="K476" s="466"/>
      <c r="R476" s="467"/>
      <c r="S476" s="467"/>
      <c r="T476" s="467"/>
      <c r="U476" s="467"/>
      <c r="V476" s="467"/>
      <c r="W476" s="467"/>
      <c r="AA476" s="467"/>
      <c r="AB476" s="467"/>
      <c r="AC476" s="467"/>
      <c r="AD476" s="467"/>
      <c r="AE476" s="467"/>
      <c r="AF476" s="467"/>
      <c r="AG476" s="467"/>
    </row>
    <row r="477" spans="5:33" ht="15">
      <c r="E477" s="466"/>
      <c r="F477" s="466"/>
      <c r="G477" s="466"/>
      <c r="H477" s="466"/>
      <c r="I477" s="466"/>
      <c r="J477" s="466"/>
      <c r="K477" s="466"/>
      <c r="R477" s="467"/>
      <c r="S477" s="467"/>
      <c r="T477" s="467"/>
      <c r="U477" s="467"/>
      <c r="V477" s="467"/>
      <c r="W477" s="467"/>
      <c r="AA477" s="467"/>
      <c r="AB477" s="467"/>
      <c r="AC477" s="467"/>
      <c r="AD477" s="467"/>
      <c r="AE477" s="467"/>
      <c r="AF477" s="467"/>
      <c r="AG477" s="467"/>
    </row>
    <row r="478" spans="5:33" ht="15">
      <c r="E478" s="466"/>
      <c r="F478" s="466"/>
      <c r="G478" s="466"/>
      <c r="H478" s="466"/>
      <c r="I478" s="466"/>
      <c r="J478" s="466"/>
      <c r="K478" s="466"/>
      <c r="R478" s="467"/>
      <c r="S478" s="467"/>
      <c r="T478" s="467"/>
      <c r="U478" s="467"/>
      <c r="V478" s="467"/>
      <c r="W478" s="467"/>
      <c r="AA478" s="467"/>
      <c r="AB478" s="467"/>
      <c r="AC478" s="467"/>
      <c r="AD478" s="467"/>
      <c r="AE478" s="467"/>
      <c r="AF478" s="467"/>
      <c r="AG478" s="467"/>
    </row>
    <row r="479" spans="5:33" ht="15">
      <c r="E479" s="466"/>
      <c r="F479" s="466"/>
      <c r="G479" s="466"/>
      <c r="H479" s="466"/>
      <c r="I479" s="466"/>
      <c r="J479" s="466"/>
      <c r="K479" s="466"/>
      <c r="R479" s="467"/>
      <c r="S479" s="467"/>
      <c r="T479" s="467"/>
      <c r="U479" s="467"/>
      <c r="V479" s="467"/>
      <c r="W479" s="467"/>
      <c r="AA479" s="467"/>
      <c r="AB479" s="467"/>
      <c r="AC479" s="467"/>
      <c r="AD479" s="467"/>
      <c r="AE479" s="467"/>
      <c r="AF479" s="467"/>
      <c r="AG479" s="467"/>
    </row>
    <row r="480" spans="5:33" ht="15">
      <c r="E480" s="466"/>
      <c r="F480" s="466"/>
      <c r="G480" s="466"/>
      <c r="H480" s="466"/>
      <c r="I480" s="466"/>
      <c r="J480" s="466"/>
      <c r="K480" s="466"/>
      <c r="R480" s="467"/>
      <c r="S480" s="467"/>
      <c r="T480" s="467"/>
      <c r="U480" s="467"/>
      <c r="V480" s="467"/>
      <c r="W480" s="467"/>
      <c r="AA480" s="467"/>
      <c r="AB480" s="467"/>
      <c r="AC480" s="467"/>
      <c r="AD480" s="467"/>
      <c r="AE480" s="467"/>
      <c r="AF480" s="467"/>
      <c r="AG480" s="467"/>
    </row>
    <row r="481" spans="5:33" ht="15">
      <c r="E481" s="466"/>
      <c r="F481" s="466"/>
      <c r="G481" s="466"/>
      <c r="H481" s="466"/>
      <c r="I481" s="466"/>
      <c r="J481" s="466"/>
      <c r="K481" s="466"/>
      <c r="R481" s="467"/>
      <c r="S481" s="467"/>
      <c r="T481" s="467"/>
      <c r="U481" s="467"/>
      <c r="V481" s="467"/>
      <c r="W481" s="467"/>
      <c r="AA481" s="467"/>
      <c r="AB481" s="467"/>
      <c r="AC481" s="467"/>
      <c r="AD481" s="467"/>
      <c r="AE481" s="467"/>
      <c r="AF481" s="467"/>
      <c r="AG481" s="467"/>
    </row>
    <row r="482" spans="5:33" ht="15">
      <c r="E482" s="466"/>
      <c r="F482" s="466"/>
      <c r="G482" s="466"/>
      <c r="H482" s="466"/>
      <c r="I482" s="466"/>
      <c r="J482" s="466"/>
      <c r="K482" s="466"/>
      <c r="R482" s="467"/>
      <c r="S482" s="467"/>
      <c r="T482" s="467"/>
      <c r="U482" s="467"/>
      <c r="V482" s="467"/>
      <c r="W482" s="467"/>
      <c r="AA482" s="467"/>
      <c r="AB482" s="467"/>
      <c r="AC482" s="467"/>
      <c r="AD482" s="467"/>
      <c r="AE482" s="467"/>
      <c r="AF482" s="467"/>
      <c r="AG482" s="467"/>
    </row>
    <row r="483" spans="5:33" ht="15">
      <c r="E483" s="466"/>
      <c r="F483" s="466"/>
      <c r="G483" s="466"/>
      <c r="H483" s="466"/>
      <c r="I483" s="466"/>
      <c r="J483" s="466"/>
      <c r="K483" s="466"/>
      <c r="R483" s="467"/>
      <c r="S483" s="467"/>
      <c r="T483" s="467"/>
      <c r="U483" s="467"/>
      <c r="V483" s="467"/>
      <c r="W483" s="467"/>
      <c r="AA483" s="467"/>
      <c r="AB483" s="467"/>
      <c r="AC483" s="467"/>
      <c r="AD483" s="467"/>
      <c r="AE483" s="467"/>
      <c r="AF483" s="467"/>
      <c r="AG483" s="467"/>
    </row>
    <row r="484" spans="5:33" ht="15">
      <c r="E484" s="466"/>
      <c r="F484" s="466"/>
      <c r="G484" s="466"/>
      <c r="H484" s="466"/>
      <c r="I484" s="466"/>
      <c r="J484" s="466"/>
      <c r="K484" s="466"/>
      <c r="R484" s="467"/>
      <c r="S484" s="467"/>
      <c r="T484" s="467"/>
      <c r="U484" s="467"/>
      <c r="V484" s="467"/>
      <c r="W484" s="467"/>
      <c r="AA484" s="467"/>
      <c r="AB484" s="467"/>
      <c r="AC484" s="467"/>
      <c r="AD484" s="467"/>
      <c r="AE484" s="467"/>
      <c r="AF484" s="467"/>
      <c r="AG484" s="467"/>
    </row>
    <row r="485" spans="5:33" ht="15">
      <c r="E485" s="466"/>
      <c r="F485" s="466"/>
      <c r="G485" s="466"/>
      <c r="H485" s="466"/>
      <c r="I485" s="466"/>
      <c r="J485" s="466"/>
      <c r="K485" s="466"/>
      <c r="R485" s="467"/>
      <c r="S485" s="467"/>
      <c r="T485" s="467"/>
      <c r="U485" s="467"/>
      <c r="V485" s="467"/>
      <c r="W485" s="467"/>
      <c r="AA485" s="467"/>
      <c r="AB485" s="467"/>
      <c r="AC485" s="467"/>
      <c r="AD485" s="467"/>
      <c r="AE485" s="467"/>
      <c r="AF485" s="467"/>
      <c r="AG485" s="467"/>
    </row>
    <row r="486" spans="5:33" ht="15">
      <c r="E486" s="466"/>
      <c r="F486" s="466"/>
      <c r="G486" s="466"/>
      <c r="H486" s="466"/>
      <c r="I486" s="466"/>
      <c r="J486" s="466"/>
      <c r="K486" s="466"/>
      <c r="R486" s="467"/>
      <c r="S486" s="467"/>
      <c r="T486" s="467"/>
      <c r="U486" s="467"/>
      <c r="V486" s="467"/>
      <c r="W486" s="467"/>
      <c r="AA486" s="467"/>
      <c r="AB486" s="467"/>
      <c r="AC486" s="467"/>
      <c r="AD486" s="467"/>
      <c r="AE486" s="467"/>
      <c r="AF486" s="467"/>
      <c r="AG486" s="467"/>
    </row>
    <row r="487" spans="5:33" ht="15">
      <c r="E487" s="466"/>
      <c r="F487" s="466"/>
      <c r="G487" s="466"/>
      <c r="H487" s="466"/>
      <c r="I487" s="466"/>
      <c r="J487" s="466"/>
      <c r="K487" s="466"/>
      <c r="R487" s="467"/>
      <c r="S487" s="467"/>
      <c r="T487" s="467"/>
      <c r="U487" s="467"/>
      <c r="V487" s="467"/>
      <c r="W487" s="467"/>
      <c r="AA487" s="467"/>
      <c r="AB487" s="467"/>
      <c r="AC487" s="467"/>
      <c r="AD487" s="467"/>
      <c r="AE487" s="467"/>
      <c r="AF487" s="467"/>
      <c r="AG487" s="467"/>
    </row>
    <row r="488" spans="5:33" ht="15">
      <c r="E488" s="466"/>
      <c r="F488" s="466"/>
      <c r="G488" s="466"/>
      <c r="H488" s="466"/>
      <c r="I488" s="466"/>
      <c r="J488" s="466"/>
      <c r="K488" s="466"/>
      <c r="R488" s="467"/>
      <c r="S488" s="467"/>
      <c r="T488" s="467"/>
      <c r="U488" s="467"/>
      <c r="V488" s="467"/>
      <c r="W488" s="467"/>
      <c r="AA488" s="467"/>
      <c r="AB488" s="467"/>
      <c r="AC488" s="467"/>
      <c r="AD488" s="467"/>
      <c r="AE488" s="467"/>
      <c r="AF488" s="467"/>
      <c r="AG488" s="467"/>
    </row>
    <row r="489" spans="5:33" ht="15">
      <c r="E489" s="466"/>
      <c r="F489" s="466"/>
      <c r="G489" s="466"/>
      <c r="H489" s="466"/>
      <c r="I489" s="466"/>
      <c r="J489" s="466"/>
      <c r="K489" s="466"/>
      <c r="R489" s="467"/>
      <c r="S489" s="467"/>
      <c r="T489" s="467"/>
      <c r="U489" s="467"/>
      <c r="V489" s="467"/>
      <c r="W489" s="467"/>
      <c r="AA489" s="467"/>
      <c r="AB489" s="467"/>
      <c r="AC489" s="467"/>
      <c r="AD489" s="467"/>
      <c r="AE489" s="467"/>
      <c r="AF489" s="467"/>
      <c r="AG489" s="467"/>
    </row>
    <row r="490" spans="5:33" ht="15">
      <c r="E490" s="466"/>
      <c r="F490" s="466"/>
      <c r="G490" s="466"/>
      <c r="H490" s="466"/>
      <c r="I490" s="466"/>
      <c r="J490" s="466"/>
      <c r="K490" s="466"/>
      <c r="R490" s="467"/>
      <c r="S490" s="467"/>
      <c r="T490" s="467"/>
      <c r="U490" s="467"/>
      <c r="V490" s="467"/>
      <c r="W490" s="467"/>
      <c r="AA490" s="467"/>
      <c r="AB490" s="467"/>
      <c r="AC490" s="467"/>
      <c r="AD490" s="467"/>
      <c r="AE490" s="467"/>
      <c r="AF490" s="467"/>
      <c r="AG490" s="467"/>
    </row>
    <row r="491" spans="5:33" ht="15">
      <c r="E491" s="466"/>
      <c r="F491" s="466"/>
      <c r="G491" s="466"/>
      <c r="H491" s="466"/>
      <c r="I491" s="466"/>
      <c r="J491" s="466"/>
      <c r="K491" s="466"/>
      <c r="R491" s="467"/>
      <c r="S491" s="467"/>
      <c r="T491" s="467"/>
      <c r="U491" s="467"/>
      <c r="V491" s="467"/>
      <c r="W491" s="467"/>
      <c r="AA491" s="467"/>
      <c r="AB491" s="467"/>
      <c r="AC491" s="467"/>
      <c r="AD491" s="467"/>
      <c r="AE491" s="467"/>
      <c r="AF491" s="467"/>
      <c r="AG491" s="467"/>
    </row>
    <row r="492" spans="5:33" ht="15">
      <c r="E492" s="466"/>
      <c r="F492" s="466"/>
      <c r="G492" s="466"/>
      <c r="H492" s="466"/>
      <c r="I492" s="466"/>
      <c r="J492" s="466"/>
      <c r="K492" s="466"/>
      <c r="R492" s="467"/>
      <c r="S492" s="467"/>
      <c r="T492" s="467"/>
      <c r="U492" s="467"/>
      <c r="V492" s="467"/>
      <c r="W492" s="467"/>
      <c r="AA492" s="467"/>
      <c r="AB492" s="467"/>
      <c r="AC492" s="467"/>
      <c r="AD492" s="467"/>
      <c r="AE492" s="467"/>
      <c r="AF492" s="467"/>
      <c r="AG492" s="467"/>
    </row>
    <row r="493" spans="5:33" ht="15">
      <c r="E493" s="466"/>
      <c r="F493" s="466"/>
      <c r="G493" s="466"/>
      <c r="H493" s="466"/>
      <c r="I493" s="466"/>
      <c r="J493" s="466"/>
      <c r="K493" s="466"/>
      <c r="R493" s="467"/>
      <c r="S493" s="467"/>
      <c r="T493" s="467"/>
      <c r="U493" s="467"/>
      <c r="V493" s="467"/>
      <c r="W493" s="467"/>
      <c r="AA493" s="467"/>
      <c r="AB493" s="467"/>
      <c r="AC493" s="467"/>
      <c r="AD493" s="467"/>
      <c r="AE493" s="467"/>
      <c r="AF493" s="467"/>
      <c r="AG493" s="467"/>
    </row>
    <row r="494" spans="5:33" ht="15">
      <c r="E494" s="466"/>
      <c r="F494" s="466"/>
      <c r="G494" s="466"/>
      <c r="H494" s="466"/>
      <c r="I494" s="466"/>
      <c r="J494" s="466"/>
      <c r="K494" s="466"/>
      <c r="R494" s="467"/>
      <c r="S494" s="467"/>
      <c r="T494" s="467"/>
      <c r="U494" s="467"/>
      <c r="V494" s="467"/>
      <c r="W494" s="467"/>
      <c r="AA494" s="467"/>
      <c r="AB494" s="467"/>
      <c r="AC494" s="467"/>
      <c r="AD494" s="467"/>
      <c r="AE494" s="467"/>
      <c r="AF494" s="467"/>
      <c r="AG494" s="467"/>
    </row>
    <row r="495" spans="5:33" ht="15">
      <c r="E495" s="466"/>
      <c r="F495" s="466"/>
      <c r="G495" s="466"/>
      <c r="H495" s="466"/>
      <c r="I495" s="466"/>
      <c r="J495" s="466"/>
      <c r="K495" s="466"/>
      <c r="R495" s="467"/>
      <c r="S495" s="467"/>
      <c r="T495" s="467"/>
      <c r="U495" s="467"/>
      <c r="V495" s="467"/>
      <c r="W495" s="467"/>
      <c r="AA495" s="467"/>
      <c r="AB495" s="467"/>
      <c r="AC495" s="467"/>
      <c r="AD495" s="467"/>
      <c r="AE495" s="467"/>
      <c r="AF495" s="467"/>
      <c r="AG495" s="467"/>
    </row>
    <row r="496" spans="5:33" ht="15">
      <c r="E496" s="466"/>
      <c r="F496" s="466"/>
      <c r="G496" s="466"/>
      <c r="H496" s="466"/>
      <c r="I496" s="466"/>
      <c r="J496" s="466"/>
      <c r="K496" s="466"/>
      <c r="R496" s="467"/>
      <c r="S496" s="467"/>
      <c r="T496" s="467"/>
      <c r="U496" s="467"/>
      <c r="V496" s="467"/>
      <c r="W496" s="467"/>
      <c r="AA496" s="467"/>
      <c r="AB496" s="467"/>
      <c r="AC496" s="467"/>
      <c r="AD496" s="467"/>
      <c r="AE496" s="467"/>
      <c r="AF496" s="467"/>
      <c r="AG496" s="467"/>
    </row>
    <row r="497" spans="5:33" ht="15">
      <c r="E497" s="466"/>
      <c r="F497" s="466"/>
      <c r="G497" s="466"/>
      <c r="H497" s="466"/>
      <c r="I497" s="466"/>
      <c r="J497" s="466"/>
      <c r="K497" s="466"/>
      <c r="R497" s="467"/>
      <c r="S497" s="467"/>
      <c r="T497" s="467"/>
      <c r="U497" s="467"/>
      <c r="V497" s="467"/>
      <c r="W497" s="467"/>
      <c r="AA497" s="467"/>
      <c r="AB497" s="467"/>
      <c r="AC497" s="467"/>
      <c r="AD497" s="467"/>
      <c r="AE497" s="467"/>
      <c r="AF497" s="467"/>
      <c r="AG497" s="467"/>
    </row>
    <row r="498" spans="5:33" ht="15">
      <c r="E498" s="466"/>
      <c r="F498" s="466"/>
      <c r="G498" s="466"/>
      <c r="H498" s="466"/>
      <c r="I498" s="466"/>
      <c r="J498" s="466"/>
      <c r="K498" s="466"/>
      <c r="R498" s="467"/>
      <c r="S498" s="467"/>
      <c r="T498" s="467"/>
      <c r="U498" s="467"/>
      <c r="V498" s="467"/>
      <c r="W498" s="467"/>
      <c r="AA498" s="467"/>
      <c r="AB498" s="467"/>
      <c r="AC498" s="467"/>
      <c r="AD498" s="467"/>
      <c r="AE498" s="467"/>
      <c r="AF498" s="467"/>
      <c r="AG498" s="467"/>
    </row>
    <row r="499" spans="5:33" ht="15">
      <c r="E499" s="466"/>
      <c r="F499" s="466"/>
      <c r="G499" s="466"/>
      <c r="H499" s="466"/>
      <c r="I499" s="466"/>
      <c r="J499" s="466"/>
      <c r="K499" s="466"/>
      <c r="R499" s="467"/>
      <c r="S499" s="467"/>
      <c r="T499" s="467"/>
      <c r="U499" s="467"/>
      <c r="V499" s="467"/>
      <c r="W499" s="467"/>
      <c r="AA499" s="467"/>
      <c r="AB499" s="467"/>
      <c r="AC499" s="467"/>
      <c r="AD499" s="467"/>
      <c r="AE499" s="467"/>
      <c r="AF499" s="467"/>
      <c r="AG499" s="467"/>
    </row>
    <row r="500" spans="5:33" ht="15">
      <c r="E500" s="466"/>
      <c r="F500" s="466"/>
      <c r="G500" s="466"/>
      <c r="H500" s="466"/>
      <c r="I500" s="466"/>
      <c r="J500" s="466"/>
      <c r="K500" s="466"/>
      <c r="R500" s="467"/>
      <c r="S500" s="467"/>
      <c r="T500" s="467"/>
      <c r="U500" s="467"/>
      <c r="V500" s="467"/>
      <c r="W500" s="467"/>
      <c r="AA500" s="467"/>
      <c r="AB500" s="467"/>
      <c r="AC500" s="467"/>
      <c r="AD500" s="467"/>
      <c r="AE500" s="467"/>
      <c r="AF500" s="467"/>
      <c r="AG500" s="467"/>
    </row>
    <row r="501" spans="5:33" ht="15">
      <c r="E501" s="466"/>
      <c r="F501" s="466"/>
      <c r="G501" s="466"/>
      <c r="H501" s="466"/>
      <c r="I501" s="466"/>
      <c r="J501" s="466"/>
      <c r="K501" s="466"/>
      <c r="R501" s="467"/>
      <c r="S501" s="467"/>
      <c r="T501" s="467"/>
      <c r="U501" s="467"/>
      <c r="V501" s="467"/>
      <c r="W501" s="467"/>
      <c r="AA501" s="467"/>
      <c r="AB501" s="467"/>
      <c r="AC501" s="467"/>
      <c r="AD501" s="467"/>
      <c r="AE501" s="467"/>
      <c r="AF501" s="467"/>
      <c r="AG501" s="467"/>
    </row>
    <row r="502" spans="5:33" ht="15">
      <c r="E502" s="466"/>
      <c r="F502" s="466"/>
      <c r="G502" s="466"/>
      <c r="H502" s="466"/>
      <c r="I502" s="466"/>
      <c r="J502" s="466"/>
      <c r="K502" s="466"/>
      <c r="R502" s="467"/>
      <c r="S502" s="467"/>
      <c r="T502" s="467"/>
      <c r="U502" s="467"/>
      <c r="V502" s="467"/>
      <c r="W502" s="467"/>
      <c r="AA502" s="467"/>
      <c r="AB502" s="467"/>
      <c r="AC502" s="467"/>
      <c r="AD502" s="467"/>
      <c r="AE502" s="467"/>
      <c r="AF502" s="467"/>
      <c r="AG502" s="467"/>
    </row>
    <row r="503" spans="5:33" ht="15">
      <c r="E503" s="466"/>
      <c r="F503" s="466"/>
      <c r="G503" s="466"/>
      <c r="H503" s="466"/>
      <c r="I503" s="466"/>
      <c r="J503" s="466"/>
      <c r="K503" s="466"/>
      <c r="R503" s="467"/>
      <c r="S503" s="467"/>
      <c r="T503" s="467"/>
      <c r="U503" s="467"/>
      <c r="V503" s="467"/>
      <c r="W503" s="467"/>
      <c r="AA503" s="467"/>
      <c r="AB503" s="467"/>
      <c r="AC503" s="467"/>
      <c r="AD503" s="467"/>
      <c r="AE503" s="467"/>
      <c r="AF503" s="467"/>
      <c r="AG503" s="467"/>
    </row>
    <row r="504" spans="5:33" ht="15">
      <c r="E504" s="466"/>
      <c r="F504" s="466"/>
      <c r="G504" s="466"/>
      <c r="H504" s="466"/>
      <c r="I504" s="466"/>
      <c r="J504" s="466"/>
      <c r="K504" s="466"/>
      <c r="R504" s="467"/>
      <c r="S504" s="467"/>
      <c r="T504" s="467"/>
      <c r="U504" s="467"/>
      <c r="V504" s="467"/>
      <c r="W504" s="467"/>
      <c r="AA504" s="467"/>
      <c r="AB504" s="467"/>
      <c r="AC504" s="467"/>
      <c r="AD504" s="467"/>
      <c r="AE504" s="467"/>
      <c r="AF504" s="467"/>
      <c r="AG504" s="467"/>
    </row>
    <row r="505" spans="5:33" ht="15">
      <c r="E505" s="466"/>
      <c r="F505" s="466"/>
      <c r="G505" s="466"/>
      <c r="H505" s="466"/>
      <c r="I505" s="466"/>
      <c r="J505" s="466"/>
      <c r="K505" s="466"/>
      <c r="R505" s="467"/>
      <c r="S505" s="467"/>
      <c r="T505" s="467"/>
      <c r="U505" s="467"/>
      <c r="V505" s="467"/>
      <c r="W505" s="467"/>
      <c r="AA505" s="467"/>
      <c r="AB505" s="467"/>
      <c r="AC505" s="467"/>
      <c r="AD505" s="467"/>
      <c r="AE505" s="467"/>
      <c r="AF505" s="467"/>
      <c r="AG505" s="467"/>
    </row>
    <row r="506" spans="5:33" ht="15">
      <c r="E506" s="466"/>
      <c r="F506" s="466"/>
      <c r="G506" s="466"/>
      <c r="H506" s="466"/>
      <c r="I506" s="466"/>
      <c r="J506" s="466"/>
      <c r="K506" s="466"/>
      <c r="R506" s="467"/>
      <c r="S506" s="467"/>
      <c r="T506" s="467"/>
      <c r="U506" s="467"/>
      <c r="V506" s="467"/>
      <c r="W506" s="467"/>
      <c r="AA506" s="467"/>
      <c r="AB506" s="467"/>
      <c r="AC506" s="467"/>
      <c r="AD506" s="467"/>
      <c r="AE506" s="467"/>
      <c r="AF506" s="467"/>
      <c r="AG506" s="467"/>
    </row>
    <row r="507" spans="5:33" ht="15">
      <c r="E507" s="466"/>
      <c r="F507" s="466"/>
      <c r="G507" s="466"/>
      <c r="H507" s="466"/>
      <c r="I507" s="466"/>
      <c r="J507" s="466"/>
      <c r="K507" s="466"/>
      <c r="R507" s="467"/>
      <c r="S507" s="467"/>
      <c r="T507" s="467"/>
      <c r="U507" s="467"/>
      <c r="V507" s="467"/>
      <c r="W507" s="467"/>
      <c r="AA507" s="467"/>
      <c r="AB507" s="467"/>
      <c r="AC507" s="467"/>
      <c r="AD507" s="467"/>
      <c r="AE507" s="467"/>
      <c r="AF507" s="467"/>
      <c r="AG507" s="467"/>
    </row>
    <row r="508" spans="5:33" ht="15">
      <c r="E508" s="466"/>
      <c r="F508" s="466"/>
      <c r="G508" s="466"/>
      <c r="H508" s="466"/>
      <c r="I508" s="466"/>
      <c r="J508" s="466"/>
      <c r="K508" s="466"/>
      <c r="R508" s="467"/>
      <c r="S508" s="467"/>
      <c r="T508" s="467"/>
      <c r="U508" s="467"/>
      <c r="V508" s="467"/>
      <c r="W508" s="467"/>
      <c r="AA508" s="467"/>
      <c r="AB508" s="467"/>
      <c r="AC508" s="467"/>
      <c r="AD508" s="467"/>
      <c r="AE508" s="467"/>
      <c r="AF508" s="467"/>
      <c r="AG508" s="467"/>
    </row>
    <row r="509" spans="5:33" ht="15">
      <c r="E509" s="466"/>
      <c r="F509" s="466"/>
      <c r="G509" s="466"/>
      <c r="H509" s="466"/>
      <c r="I509" s="466"/>
      <c r="J509" s="466"/>
      <c r="K509" s="466"/>
      <c r="R509" s="467"/>
      <c r="S509" s="467"/>
      <c r="T509" s="467"/>
      <c r="U509" s="467"/>
      <c r="V509" s="467"/>
      <c r="W509" s="467"/>
      <c r="AA509" s="467"/>
      <c r="AB509" s="467"/>
      <c r="AC509" s="467"/>
      <c r="AD509" s="467"/>
      <c r="AE509" s="467"/>
      <c r="AF509" s="467"/>
      <c r="AG509" s="467"/>
    </row>
    <row r="510" spans="5:33" ht="15">
      <c r="E510" s="466"/>
      <c r="F510" s="466"/>
      <c r="G510" s="466"/>
      <c r="H510" s="466"/>
      <c r="I510" s="466"/>
      <c r="J510" s="466"/>
      <c r="K510" s="466"/>
      <c r="R510" s="467"/>
      <c r="S510" s="467"/>
      <c r="T510" s="467"/>
      <c r="U510" s="467"/>
      <c r="V510" s="467"/>
      <c r="W510" s="467"/>
      <c r="AA510" s="467"/>
      <c r="AB510" s="467"/>
      <c r="AC510" s="467"/>
      <c r="AD510" s="467"/>
      <c r="AE510" s="467"/>
      <c r="AF510" s="467"/>
      <c r="AG510" s="467"/>
    </row>
    <row r="511" spans="5:33" ht="15">
      <c r="E511" s="466"/>
      <c r="F511" s="466"/>
      <c r="G511" s="466"/>
      <c r="H511" s="466"/>
      <c r="I511" s="466"/>
      <c r="J511" s="466"/>
      <c r="K511" s="466"/>
      <c r="R511" s="467"/>
      <c r="S511" s="467"/>
      <c r="T511" s="467"/>
      <c r="U511" s="467"/>
      <c r="V511" s="467"/>
      <c r="W511" s="467"/>
      <c r="AA511" s="467"/>
      <c r="AB511" s="467"/>
      <c r="AC511" s="467"/>
      <c r="AD511" s="467"/>
      <c r="AE511" s="467"/>
      <c r="AF511" s="467"/>
      <c r="AG511" s="467"/>
    </row>
    <row r="512" spans="5:33" ht="15">
      <c r="E512" s="466"/>
      <c r="F512" s="466"/>
      <c r="G512" s="466"/>
      <c r="H512" s="466"/>
      <c r="I512" s="466"/>
      <c r="J512" s="466"/>
      <c r="K512" s="466"/>
      <c r="R512" s="467"/>
      <c r="S512" s="467"/>
      <c r="T512" s="467"/>
      <c r="U512" s="467"/>
      <c r="V512" s="467"/>
      <c r="W512" s="467"/>
      <c r="AA512" s="467"/>
      <c r="AB512" s="467"/>
      <c r="AC512" s="467"/>
      <c r="AD512" s="467"/>
      <c r="AE512" s="467"/>
      <c r="AF512" s="467"/>
      <c r="AG512" s="467"/>
    </row>
    <row r="513" spans="5:33" ht="15">
      <c r="E513" s="466"/>
      <c r="F513" s="466"/>
      <c r="G513" s="466"/>
      <c r="H513" s="466"/>
      <c r="I513" s="466"/>
      <c r="J513" s="466"/>
      <c r="K513" s="466"/>
      <c r="R513" s="467"/>
      <c r="S513" s="467"/>
      <c r="T513" s="467"/>
      <c r="U513" s="467"/>
      <c r="V513" s="467"/>
      <c r="W513" s="467"/>
      <c r="AA513" s="467"/>
      <c r="AB513" s="467"/>
      <c r="AC513" s="467"/>
      <c r="AD513" s="467"/>
      <c r="AE513" s="467"/>
      <c r="AF513" s="467"/>
      <c r="AG513" s="467"/>
    </row>
    <row r="514" spans="5:33" ht="15">
      <c r="E514" s="466"/>
      <c r="F514" s="466"/>
      <c r="G514" s="466"/>
      <c r="H514" s="466"/>
      <c r="I514" s="466"/>
      <c r="J514" s="466"/>
      <c r="K514" s="466"/>
      <c r="R514" s="467"/>
      <c r="S514" s="467"/>
      <c r="T514" s="467"/>
      <c r="U514" s="467"/>
      <c r="V514" s="467"/>
      <c r="W514" s="467"/>
      <c r="AA514" s="467"/>
      <c r="AB514" s="467"/>
      <c r="AC514" s="467"/>
      <c r="AD514" s="467"/>
      <c r="AE514" s="467"/>
      <c r="AF514" s="467"/>
      <c r="AG514" s="467"/>
    </row>
    <row r="515" spans="5:33" ht="15">
      <c r="E515" s="466"/>
      <c r="F515" s="466"/>
      <c r="G515" s="466"/>
      <c r="H515" s="466"/>
      <c r="I515" s="466"/>
      <c r="J515" s="466"/>
      <c r="K515" s="466"/>
      <c r="R515" s="467"/>
      <c r="S515" s="467"/>
      <c r="T515" s="467"/>
      <c r="U515" s="467"/>
      <c r="V515" s="467"/>
      <c r="W515" s="467"/>
      <c r="AA515" s="467"/>
      <c r="AB515" s="467"/>
      <c r="AC515" s="467"/>
      <c r="AD515" s="467"/>
      <c r="AE515" s="467"/>
      <c r="AF515" s="467"/>
      <c r="AG515" s="467"/>
    </row>
    <row r="516" spans="5:33" ht="15">
      <c r="E516" s="466"/>
      <c r="F516" s="466"/>
      <c r="G516" s="466"/>
      <c r="H516" s="466"/>
      <c r="I516" s="466"/>
      <c r="J516" s="466"/>
      <c r="K516" s="466"/>
      <c r="R516" s="467"/>
      <c r="S516" s="467"/>
      <c r="T516" s="467"/>
      <c r="U516" s="467"/>
      <c r="V516" s="467"/>
      <c r="W516" s="467"/>
      <c r="AA516" s="467"/>
      <c r="AB516" s="467"/>
      <c r="AC516" s="467"/>
      <c r="AD516" s="467"/>
      <c r="AE516" s="467"/>
      <c r="AF516" s="467"/>
      <c r="AG516" s="467"/>
    </row>
    <row r="517" spans="5:33" ht="15">
      <c r="E517" s="466"/>
      <c r="F517" s="466"/>
      <c r="G517" s="466"/>
      <c r="H517" s="466"/>
      <c r="I517" s="466"/>
      <c r="J517" s="466"/>
      <c r="K517" s="466"/>
      <c r="R517" s="467"/>
      <c r="S517" s="467"/>
      <c r="T517" s="467"/>
      <c r="U517" s="467"/>
      <c r="V517" s="467"/>
      <c r="W517" s="467"/>
      <c r="AA517" s="467"/>
      <c r="AB517" s="467"/>
      <c r="AC517" s="467"/>
      <c r="AD517" s="467"/>
      <c r="AE517" s="467"/>
      <c r="AF517" s="467"/>
      <c r="AG517" s="467"/>
    </row>
    <row r="518" spans="5:33" ht="15">
      <c r="E518" s="466"/>
      <c r="F518" s="466"/>
      <c r="G518" s="466"/>
      <c r="H518" s="466"/>
      <c r="I518" s="466"/>
      <c r="J518" s="466"/>
      <c r="K518" s="466"/>
      <c r="R518" s="467"/>
      <c r="S518" s="467"/>
      <c r="T518" s="467"/>
      <c r="U518" s="467"/>
      <c r="V518" s="467"/>
      <c r="W518" s="467"/>
      <c r="AA518" s="467"/>
      <c r="AB518" s="467"/>
      <c r="AC518" s="467"/>
      <c r="AD518" s="467"/>
      <c r="AE518" s="467"/>
      <c r="AF518" s="467"/>
      <c r="AG518" s="467"/>
    </row>
    <row r="519" spans="5:33" ht="15">
      <c r="E519" s="466"/>
      <c r="F519" s="466"/>
      <c r="G519" s="466"/>
      <c r="H519" s="466"/>
      <c r="I519" s="466"/>
      <c r="J519" s="466"/>
      <c r="K519" s="466"/>
      <c r="R519" s="467"/>
      <c r="S519" s="467"/>
      <c r="T519" s="467"/>
      <c r="U519" s="467"/>
      <c r="V519" s="467"/>
      <c r="W519" s="467"/>
      <c r="AA519" s="467"/>
      <c r="AB519" s="467"/>
      <c r="AC519" s="467"/>
      <c r="AD519" s="467"/>
      <c r="AE519" s="467"/>
      <c r="AF519" s="467"/>
      <c r="AG519" s="467"/>
    </row>
    <row r="520" spans="5:33" ht="15">
      <c r="E520" s="466"/>
      <c r="F520" s="466"/>
      <c r="G520" s="466"/>
      <c r="H520" s="466"/>
      <c r="I520" s="466"/>
      <c r="J520" s="466"/>
      <c r="K520" s="466"/>
      <c r="R520" s="467"/>
      <c r="S520" s="467"/>
      <c r="T520" s="467"/>
      <c r="U520" s="467"/>
      <c r="V520" s="467"/>
      <c r="W520" s="467"/>
      <c r="AA520" s="467"/>
      <c r="AB520" s="467"/>
      <c r="AC520" s="467"/>
      <c r="AD520" s="467"/>
      <c r="AE520" s="467"/>
      <c r="AF520" s="467"/>
      <c r="AG520" s="467"/>
    </row>
    <row r="521" spans="5:33" ht="15">
      <c r="E521" s="466"/>
      <c r="F521" s="466"/>
      <c r="G521" s="466"/>
      <c r="H521" s="466"/>
      <c r="I521" s="466"/>
      <c r="J521" s="466"/>
      <c r="K521" s="466"/>
      <c r="R521" s="467"/>
      <c r="S521" s="467"/>
      <c r="T521" s="467"/>
      <c r="U521" s="467"/>
      <c r="V521" s="467"/>
      <c r="W521" s="467"/>
      <c r="AA521" s="467"/>
      <c r="AB521" s="467"/>
      <c r="AC521" s="467"/>
      <c r="AD521" s="467"/>
      <c r="AE521" s="467"/>
      <c r="AF521" s="467"/>
      <c r="AG521" s="467"/>
    </row>
    <row r="522" spans="5:33" ht="15">
      <c r="E522" s="466"/>
      <c r="F522" s="466"/>
      <c r="G522" s="466"/>
      <c r="H522" s="466"/>
      <c r="I522" s="466"/>
      <c r="J522" s="466"/>
      <c r="K522" s="466"/>
      <c r="R522" s="467"/>
      <c r="S522" s="467"/>
      <c r="T522" s="467"/>
      <c r="U522" s="467"/>
      <c r="V522" s="467"/>
      <c r="W522" s="467"/>
      <c r="AA522" s="467"/>
      <c r="AB522" s="467"/>
      <c r="AC522" s="467"/>
      <c r="AD522" s="467"/>
      <c r="AE522" s="467"/>
      <c r="AF522" s="467"/>
      <c r="AG522" s="467"/>
    </row>
    <row r="523" spans="5:33" ht="15">
      <c r="E523" s="466"/>
      <c r="F523" s="466"/>
      <c r="G523" s="466"/>
      <c r="H523" s="466"/>
      <c r="I523" s="466"/>
      <c r="J523" s="466"/>
      <c r="K523" s="466"/>
      <c r="R523" s="467"/>
      <c r="S523" s="467"/>
      <c r="T523" s="467"/>
      <c r="U523" s="467"/>
      <c r="V523" s="467"/>
      <c r="W523" s="467"/>
      <c r="AA523" s="467"/>
      <c r="AB523" s="467"/>
      <c r="AC523" s="467"/>
      <c r="AD523" s="467"/>
      <c r="AE523" s="467"/>
      <c r="AF523" s="467"/>
      <c r="AG523" s="467"/>
    </row>
    <row r="524" spans="5:33" ht="15">
      <c r="E524" s="466"/>
      <c r="F524" s="466"/>
      <c r="G524" s="466"/>
      <c r="H524" s="466"/>
      <c r="I524" s="466"/>
      <c r="J524" s="466"/>
      <c r="K524" s="466"/>
      <c r="R524" s="467"/>
      <c r="S524" s="467"/>
      <c r="T524" s="467"/>
      <c r="U524" s="467"/>
      <c r="V524" s="467"/>
      <c r="W524" s="467"/>
      <c r="AA524" s="467"/>
      <c r="AB524" s="467"/>
      <c r="AC524" s="467"/>
      <c r="AD524" s="467"/>
      <c r="AE524" s="467"/>
      <c r="AF524" s="467"/>
      <c r="AG524" s="467"/>
    </row>
    <row r="525" spans="5:33" ht="15">
      <c r="E525" s="466"/>
      <c r="F525" s="466"/>
      <c r="G525" s="466"/>
      <c r="H525" s="466"/>
      <c r="I525" s="466"/>
      <c r="J525" s="466"/>
      <c r="K525" s="466"/>
      <c r="R525" s="467"/>
      <c r="S525" s="467"/>
      <c r="T525" s="467"/>
      <c r="U525" s="467"/>
      <c r="V525" s="467"/>
      <c r="W525" s="467"/>
      <c r="AA525" s="467"/>
      <c r="AB525" s="467"/>
      <c r="AC525" s="467"/>
      <c r="AD525" s="467"/>
      <c r="AE525" s="467"/>
      <c r="AF525" s="467"/>
      <c r="AG525" s="467"/>
    </row>
    <row r="526" spans="5:33" ht="15">
      <c r="E526" s="466"/>
      <c r="F526" s="466"/>
      <c r="G526" s="466"/>
      <c r="H526" s="466"/>
      <c r="I526" s="466"/>
      <c r="J526" s="466"/>
      <c r="K526" s="466"/>
      <c r="R526" s="467"/>
      <c r="S526" s="467"/>
      <c r="T526" s="467"/>
      <c r="U526" s="467"/>
      <c r="V526" s="467"/>
      <c r="W526" s="467"/>
      <c r="AA526" s="467"/>
      <c r="AB526" s="467"/>
      <c r="AC526" s="467"/>
      <c r="AD526" s="467"/>
      <c r="AE526" s="467"/>
      <c r="AF526" s="467"/>
      <c r="AG526" s="467"/>
    </row>
    <row r="527" spans="5:33" ht="15">
      <c r="E527" s="466"/>
      <c r="F527" s="466"/>
      <c r="G527" s="466"/>
      <c r="H527" s="466"/>
      <c r="I527" s="466"/>
      <c r="J527" s="466"/>
      <c r="K527" s="466"/>
      <c r="R527" s="467"/>
      <c r="S527" s="467"/>
      <c r="T527" s="467"/>
      <c r="U527" s="467"/>
      <c r="V527" s="467"/>
      <c r="W527" s="467"/>
      <c r="AA527" s="467"/>
      <c r="AB527" s="467"/>
      <c r="AC527" s="467"/>
      <c r="AD527" s="467"/>
      <c r="AE527" s="467"/>
      <c r="AF527" s="467"/>
      <c r="AG527" s="467"/>
    </row>
    <row r="528" spans="5:33" ht="15">
      <c r="E528" s="466"/>
      <c r="F528" s="466"/>
      <c r="G528" s="466"/>
      <c r="H528" s="466"/>
      <c r="I528" s="466"/>
      <c r="J528" s="466"/>
      <c r="K528" s="466"/>
      <c r="R528" s="467"/>
      <c r="S528" s="467"/>
      <c r="T528" s="467"/>
      <c r="U528" s="467"/>
      <c r="V528" s="467"/>
      <c r="W528" s="467"/>
      <c r="AA528" s="467"/>
      <c r="AB528" s="467"/>
      <c r="AC528" s="467"/>
      <c r="AD528" s="467"/>
      <c r="AE528" s="467"/>
      <c r="AF528" s="467"/>
      <c r="AG528" s="467"/>
    </row>
    <row r="529" spans="5:33" ht="15">
      <c r="E529" s="466"/>
      <c r="F529" s="466"/>
      <c r="G529" s="466"/>
      <c r="H529" s="466"/>
      <c r="I529" s="466"/>
      <c r="J529" s="466"/>
      <c r="K529" s="466"/>
      <c r="R529" s="467"/>
      <c r="S529" s="467"/>
      <c r="T529" s="467"/>
      <c r="U529" s="467"/>
      <c r="V529" s="467"/>
      <c r="W529" s="467"/>
      <c r="AA529" s="467"/>
      <c r="AB529" s="467"/>
      <c r="AC529" s="467"/>
      <c r="AD529" s="467"/>
      <c r="AE529" s="467"/>
      <c r="AF529" s="467"/>
      <c r="AG529" s="467"/>
    </row>
    <row r="530" spans="5:33" ht="15">
      <c r="E530" s="466"/>
      <c r="F530" s="466"/>
      <c r="G530" s="466"/>
      <c r="H530" s="466"/>
      <c r="I530" s="466"/>
      <c r="J530" s="466"/>
      <c r="K530" s="466"/>
      <c r="R530" s="467"/>
      <c r="S530" s="467"/>
      <c r="T530" s="467"/>
      <c r="U530" s="467"/>
      <c r="V530" s="467"/>
      <c r="W530" s="467"/>
      <c r="AA530" s="467"/>
      <c r="AB530" s="467"/>
      <c r="AC530" s="467"/>
      <c r="AD530" s="467"/>
      <c r="AE530" s="467"/>
      <c r="AF530" s="467"/>
      <c r="AG530" s="467"/>
    </row>
    <row r="531" spans="5:33" ht="15">
      <c r="E531" s="466"/>
      <c r="F531" s="466"/>
      <c r="G531" s="466"/>
      <c r="H531" s="466"/>
      <c r="I531" s="466"/>
      <c r="J531" s="466"/>
      <c r="K531" s="466"/>
      <c r="R531" s="467"/>
      <c r="S531" s="467"/>
      <c r="T531" s="467"/>
      <c r="U531" s="467"/>
      <c r="V531" s="467"/>
      <c r="W531" s="467"/>
      <c r="AA531" s="467"/>
      <c r="AB531" s="467"/>
      <c r="AC531" s="467"/>
      <c r="AD531" s="467"/>
      <c r="AE531" s="467"/>
      <c r="AF531" s="467"/>
      <c r="AG531" s="467"/>
    </row>
    <row r="532" spans="5:33" ht="15">
      <c r="E532" s="466"/>
      <c r="F532" s="466"/>
      <c r="G532" s="466"/>
      <c r="H532" s="466"/>
      <c r="I532" s="466"/>
      <c r="J532" s="466"/>
      <c r="K532" s="466"/>
      <c r="R532" s="467"/>
      <c r="S532" s="467"/>
      <c r="T532" s="467"/>
      <c r="U532" s="467"/>
      <c r="V532" s="467"/>
      <c r="W532" s="467"/>
      <c r="AA532" s="467"/>
      <c r="AB532" s="467"/>
      <c r="AC532" s="467"/>
      <c r="AD532" s="467"/>
      <c r="AE532" s="467"/>
      <c r="AF532" s="467"/>
      <c r="AG532" s="467"/>
    </row>
    <row r="533" spans="5:33" ht="15">
      <c r="E533" s="466"/>
      <c r="F533" s="466"/>
      <c r="G533" s="466"/>
      <c r="H533" s="466"/>
      <c r="I533" s="466"/>
      <c r="J533" s="466"/>
      <c r="K533" s="466"/>
      <c r="R533" s="467"/>
      <c r="S533" s="467"/>
      <c r="T533" s="467"/>
      <c r="U533" s="467"/>
      <c r="V533" s="467"/>
      <c r="W533" s="467"/>
      <c r="AA533" s="467"/>
      <c r="AB533" s="467"/>
      <c r="AC533" s="467"/>
      <c r="AD533" s="467"/>
      <c r="AE533" s="467"/>
      <c r="AF533" s="467"/>
      <c r="AG533" s="467"/>
    </row>
    <row r="534" spans="5:33" ht="15">
      <c r="E534" s="466"/>
      <c r="F534" s="466"/>
      <c r="G534" s="466"/>
      <c r="H534" s="466"/>
      <c r="I534" s="466"/>
      <c r="J534" s="466"/>
      <c r="K534" s="466"/>
      <c r="R534" s="467"/>
      <c r="S534" s="467"/>
      <c r="T534" s="467"/>
      <c r="U534" s="467"/>
      <c r="V534" s="467"/>
      <c r="W534" s="467"/>
      <c r="AA534" s="467"/>
      <c r="AB534" s="467"/>
      <c r="AC534" s="467"/>
      <c r="AD534" s="467"/>
      <c r="AE534" s="467"/>
      <c r="AF534" s="467"/>
      <c r="AG534" s="467"/>
    </row>
    <row r="535" spans="5:33" ht="15">
      <c r="E535" s="466"/>
      <c r="F535" s="466"/>
      <c r="G535" s="466"/>
      <c r="H535" s="466"/>
      <c r="I535" s="466"/>
      <c r="J535" s="466"/>
      <c r="K535" s="466"/>
      <c r="R535" s="467"/>
      <c r="S535" s="467"/>
      <c r="T535" s="467"/>
      <c r="U535" s="467"/>
      <c r="V535" s="467"/>
      <c r="W535" s="467"/>
      <c r="AA535" s="467"/>
      <c r="AB535" s="467"/>
      <c r="AC535" s="467"/>
      <c r="AD535" s="467"/>
      <c r="AE535" s="467"/>
      <c r="AF535" s="467"/>
      <c r="AG535" s="467"/>
    </row>
    <row r="536" spans="5:33" ht="15">
      <c r="E536" s="466"/>
      <c r="F536" s="466"/>
      <c r="G536" s="466"/>
      <c r="H536" s="466"/>
      <c r="I536" s="466"/>
      <c r="J536" s="466"/>
      <c r="K536" s="466"/>
      <c r="R536" s="467"/>
      <c r="S536" s="467"/>
      <c r="T536" s="467"/>
      <c r="U536" s="467"/>
      <c r="V536" s="467"/>
      <c r="W536" s="467"/>
      <c r="AA536" s="467"/>
      <c r="AB536" s="467"/>
      <c r="AC536" s="467"/>
      <c r="AD536" s="467"/>
      <c r="AE536" s="467"/>
      <c r="AF536" s="467"/>
      <c r="AG536" s="467"/>
    </row>
    <row r="537" spans="5:33" ht="15">
      <c r="E537" s="466"/>
      <c r="F537" s="466"/>
      <c r="G537" s="466"/>
      <c r="H537" s="466"/>
      <c r="I537" s="466"/>
      <c r="J537" s="466"/>
      <c r="K537" s="466"/>
      <c r="R537" s="467"/>
      <c r="S537" s="467"/>
      <c r="T537" s="467"/>
      <c r="U537" s="467"/>
      <c r="V537" s="467"/>
      <c r="W537" s="467"/>
      <c r="AA537" s="467"/>
      <c r="AB537" s="467"/>
      <c r="AC537" s="467"/>
      <c r="AD537" s="467"/>
      <c r="AE537" s="467"/>
      <c r="AF537" s="467"/>
      <c r="AG537" s="467"/>
    </row>
    <row r="538" spans="5:33" ht="15">
      <c r="E538" s="466"/>
      <c r="F538" s="466"/>
      <c r="G538" s="466"/>
      <c r="H538" s="466"/>
      <c r="I538" s="466"/>
      <c r="J538" s="466"/>
      <c r="K538" s="466"/>
      <c r="R538" s="467"/>
      <c r="S538" s="467"/>
      <c r="T538" s="467"/>
      <c r="U538" s="467"/>
      <c r="V538" s="467"/>
      <c r="W538" s="467"/>
      <c r="AA538" s="467"/>
      <c r="AB538" s="467"/>
      <c r="AC538" s="467"/>
      <c r="AD538" s="467"/>
      <c r="AE538" s="467"/>
      <c r="AF538" s="467"/>
      <c r="AG538" s="467"/>
    </row>
    <row r="539" spans="5:33" ht="15">
      <c r="E539" s="466"/>
      <c r="F539" s="466"/>
      <c r="G539" s="466"/>
      <c r="H539" s="466"/>
      <c r="I539" s="466"/>
      <c r="J539" s="466"/>
      <c r="K539" s="466"/>
      <c r="R539" s="467"/>
      <c r="S539" s="467"/>
      <c r="T539" s="467"/>
      <c r="U539" s="467"/>
      <c r="V539" s="467"/>
      <c r="W539" s="467"/>
      <c r="AA539" s="467"/>
      <c r="AB539" s="467"/>
      <c r="AC539" s="467"/>
      <c r="AD539" s="467"/>
      <c r="AE539" s="467"/>
      <c r="AF539" s="467"/>
      <c r="AG539" s="467"/>
    </row>
    <row r="540" spans="5:33" ht="15">
      <c r="E540" s="466"/>
      <c r="F540" s="466"/>
      <c r="G540" s="466"/>
      <c r="H540" s="466"/>
      <c r="I540" s="466"/>
      <c r="J540" s="466"/>
      <c r="K540" s="466"/>
      <c r="R540" s="467"/>
      <c r="S540" s="467"/>
      <c r="T540" s="467"/>
      <c r="U540" s="467"/>
      <c r="V540" s="467"/>
      <c r="W540" s="467"/>
      <c r="AA540" s="467"/>
      <c r="AB540" s="467"/>
      <c r="AC540" s="467"/>
      <c r="AD540" s="467"/>
      <c r="AE540" s="467"/>
      <c r="AF540" s="467"/>
      <c r="AG540" s="467"/>
    </row>
    <row r="541" spans="5:33" ht="15">
      <c r="E541" s="466"/>
      <c r="F541" s="466"/>
      <c r="G541" s="466"/>
      <c r="H541" s="466"/>
      <c r="I541" s="466"/>
      <c r="J541" s="466"/>
      <c r="K541" s="466"/>
      <c r="R541" s="467"/>
      <c r="S541" s="467"/>
      <c r="T541" s="467"/>
      <c r="U541" s="467"/>
      <c r="V541" s="467"/>
      <c r="W541" s="467"/>
      <c r="AA541" s="467"/>
      <c r="AB541" s="467"/>
      <c r="AC541" s="467"/>
      <c r="AD541" s="467"/>
      <c r="AE541" s="467"/>
      <c r="AF541" s="467"/>
      <c r="AG541" s="467"/>
    </row>
    <row r="542" spans="5:33" ht="15">
      <c r="E542" s="466"/>
      <c r="F542" s="466"/>
      <c r="G542" s="466"/>
      <c r="H542" s="466"/>
      <c r="I542" s="466"/>
      <c r="J542" s="466"/>
      <c r="K542" s="466"/>
      <c r="R542" s="467"/>
      <c r="S542" s="467"/>
      <c r="T542" s="467"/>
      <c r="U542" s="467"/>
      <c r="V542" s="467"/>
      <c r="W542" s="467"/>
      <c r="AA542" s="467"/>
      <c r="AB542" s="467"/>
      <c r="AC542" s="467"/>
      <c r="AD542" s="467"/>
      <c r="AE542" s="467"/>
      <c r="AF542" s="467"/>
      <c r="AG542" s="467"/>
    </row>
    <row r="543" spans="5:33" ht="15">
      <c r="E543" s="466"/>
      <c r="F543" s="466"/>
      <c r="G543" s="466"/>
      <c r="H543" s="466"/>
      <c r="I543" s="466"/>
      <c r="J543" s="466"/>
      <c r="K543" s="466"/>
      <c r="R543" s="467"/>
      <c r="S543" s="467"/>
      <c r="T543" s="467"/>
      <c r="U543" s="467"/>
      <c r="V543" s="467"/>
      <c r="W543" s="467"/>
      <c r="AA543" s="467"/>
      <c r="AB543" s="467"/>
      <c r="AC543" s="467"/>
      <c r="AD543" s="467"/>
      <c r="AE543" s="467"/>
      <c r="AF543" s="467"/>
      <c r="AG543" s="467"/>
    </row>
    <row r="544" spans="5:33" ht="15">
      <c r="E544" s="466"/>
      <c r="F544" s="466"/>
      <c r="G544" s="466"/>
      <c r="H544" s="466"/>
      <c r="I544" s="466"/>
      <c r="J544" s="466"/>
      <c r="K544" s="466"/>
      <c r="R544" s="467"/>
      <c r="S544" s="467"/>
      <c r="T544" s="467"/>
      <c r="U544" s="467"/>
      <c r="V544" s="467"/>
      <c r="W544" s="467"/>
      <c r="AA544" s="467"/>
      <c r="AB544" s="467"/>
      <c r="AC544" s="467"/>
      <c r="AD544" s="467"/>
      <c r="AE544" s="467"/>
      <c r="AF544" s="467"/>
      <c r="AG544" s="467"/>
    </row>
    <row r="545" spans="5:33" ht="15">
      <c r="E545" s="466"/>
      <c r="F545" s="466"/>
      <c r="G545" s="466"/>
      <c r="H545" s="466"/>
      <c r="I545" s="466"/>
      <c r="J545" s="466"/>
      <c r="K545" s="466"/>
      <c r="R545" s="467"/>
      <c r="S545" s="467"/>
      <c r="T545" s="467"/>
      <c r="U545" s="467"/>
      <c r="V545" s="467"/>
      <c r="W545" s="467"/>
      <c r="AA545" s="467"/>
      <c r="AB545" s="467"/>
      <c r="AC545" s="467"/>
      <c r="AD545" s="467"/>
      <c r="AE545" s="467"/>
      <c r="AF545" s="467"/>
      <c r="AG545" s="467"/>
    </row>
    <row r="546" spans="5:33" ht="15">
      <c r="E546" s="466"/>
      <c r="F546" s="466"/>
      <c r="G546" s="466"/>
      <c r="H546" s="466"/>
      <c r="I546" s="466"/>
      <c r="J546" s="466"/>
      <c r="K546" s="466"/>
      <c r="R546" s="467"/>
      <c r="S546" s="467"/>
      <c r="T546" s="467"/>
      <c r="U546" s="467"/>
      <c r="V546" s="467"/>
      <c r="W546" s="467"/>
      <c r="AA546" s="467"/>
      <c r="AB546" s="467"/>
      <c r="AC546" s="467"/>
      <c r="AD546" s="467"/>
      <c r="AE546" s="467"/>
      <c r="AF546" s="467"/>
      <c r="AG546" s="467"/>
    </row>
    <row r="547" spans="5:33" ht="15">
      <c r="E547" s="466"/>
      <c r="F547" s="466"/>
      <c r="G547" s="466"/>
      <c r="H547" s="466"/>
      <c r="I547" s="466"/>
      <c r="J547" s="466"/>
      <c r="K547" s="466"/>
      <c r="R547" s="467"/>
      <c r="S547" s="467"/>
      <c r="T547" s="467"/>
      <c r="U547" s="467"/>
      <c r="V547" s="467"/>
      <c r="W547" s="467"/>
      <c r="AA547" s="467"/>
      <c r="AB547" s="467"/>
      <c r="AC547" s="467"/>
      <c r="AD547" s="467"/>
      <c r="AE547" s="467"/>
      <c r="AF547" s="467"/>
      <c r="AG547" s="467"/>
    </row>
    <row r="548" spans="5:33" ht="15">
      <c r="E548" s="466"/>
      <c r="F548" s="466"/>
      <c r="G548" s="466"/>
      <c r="H548" s="466"/>
      <c r="I548" s="466"/>
      <c r="J548" s="466"/>
      <c r="K548" s="466"/>
      <c r="R548" s="467"/>
      <c r="S548" s="467"/>
      <c r="T548" s="467"/>
      <c r="U548" s="467"/>
      <c r="V548" s="467"/>
      <c r="W548" s="467"/>
      <c r="AA548" s="467"/>
      <c r="AB548" s="467"/>
      <c r="AC548" s="467"/>
      <c r="AD548" s="467"/>
      <c r="AE548" s="467"/>
      <c r="AF548" s="467"/>
      <c r="AG548" s="467"/>
    </row>
    <row r="549" spans="5:33" ht="15">
      <c r="E549" s="466"/>
      <c r="F549" s="466"/>
      <c r="G549" s="466"/>
      <c r="H549" s="466"/>
      <c r="I549" s="466"/>
      <c r="J549" s="466"/>
      <c r="K549" s="466"/>
      <c r="R549" s="467"/>
      <c r="S549" s="467"/>
      <c r="T549" s="467"/>
      <c r="U549" s="467"/>
      <c r="V549" s="467"/>
      <c r="W549" s="467"/>
      <c r="AA549" s="467"/>
      <c r="AB549" s="467"/>
      <c r="AC549" s="467"/>
      <c r="AD549" s="467"/>
      <c r="AE549" s="467"/>
      <c r="AF549" s="467"/>
      <c r="AG549" s="467"/>
    </row>
    <row r="550" spans="5:33" ht="15">
      <c r="E550" s="466"/>
      <c r="F550" s="466"/>
      <c r="G550" s="466"/>
      <c r="H550" s="466"/>
      <c r="I550" s="466"/>
      <c r="J550" s="466"/>
      <c r="K550" s="466"/>
      <c r="R550" s="467"/>
      <c r="S550" s="467"/>
      <c r="T550" s="467"/>
      <c r="U550" s="467"/>
      <c r="V550" s="467"/>
      <c r="W550" s="467"/>
      <c r="AA550" s="467"/>
      <c r="AB550" s="467"/>
      <c r="AC550" s="467"/>
      <c r="AD550" s="467"/>
      <c r="AE550" s="467"/>
      <c r="AF550" s="467"/>
      <c r="AG550" s="467"/>
    </row>
    <row r="551" spans="5:33" ht="15">
      <c r="E551" s="466"/>
      <c r="F551" s="466"/>
      <c r="G551" s="466"/>
      <c r="H551" s="466"/>
      <c r="I551" s="466"/>
      <c r="J551" s="466"/>
      <c r="K551" s="466"/>
      <c r="R551" s="467"/>
      <c r="S551" s="467"/>
      <c r="T551" s="467"/>
      <c r="U551" s="467"/>
      <c r="V551" s="467"/>
      <c r="W551" s="467"/>
      <c r="AA551" s="467"/>
      <c r="AB551" s="467"/>
      <c r="AC551" s="467"/>
      <c r="AD551" s="467"/>
      <c r="AE551" s="467"/>
      <c r="AF551" s="467"/>
      <c r="AG551" s="467"/>
    </row>
    <row r="552" spans="5:33" ht="15">
      <c r="E552" s="466"/>
      <c r="F552" s="466"/>
      <c r="G552" s="466"/>
      <c r="H552" s="466"/>
      <c r="I552" s="466"/>
      <c r="J552" s="466"/>
      <c r="K552" s="466"/>
      <c r="R552" s="467"/>
      <c r="S552" s="467"/>
      <c r="T552" s="467"/>
      <c r="U552" s="467"/>
      <c r="V552" s="467"/>
      <c r="W552" s="467"/>
      <c r="AA552" s="467"/>
      <c r="AB552" s="467"/>
      <c r="AC552" s="467"/>
      <c r="AD552" s="467"/>
      <c r="AE552" s="467"/>
      <c r="AF552" s="467"/>
      <c r="AG552" s="467"/>
    </row>
    <row r="553" spans="5:33" ht="15">
      <c r="E553" s="466"/>
      <c r="F553" s="466"/>
      <c r="G553" s="466"/>
      <c r="H553" s="466"/>
      <c r="I553" s="466"/>
      <c r="J553" s="466"/>
      <c r="K553" s="466"/>
      <c r="R553" s="467"/>
      <c r="S553" s="467"/>
      <c r="T553" s="467"/>
      <c r="U553" s="467"/>
      <c r="V553" s="467"/>
      <c r="W553" s="467"/>
      <c r="AA553" s="467"/>
      <c r="AB553" s="467"/>
      <c r="AC553" s="467"/>
      <c r="AD553" s="467"/>
      <c r="AE553" s="467"/>
      <c r="AF553" s="467"/>
      <c r="AG553" s="467"/>
    </row>
    <row r="554" spans="5:33" ht="15">
      <c r="E554" s="466"/>
      <c r="F554" s="466"/>
      <c r="G554" s="466"/>
      <c r="H554" s="466"/>
      <c r="I554" s="466"/>
      <c r="J554" s="466"/>
      <c r="K554" s="466"/>
      <c r="R554" s="467"/>
      <c r="S554" s="467"/>
      <c r="T554" s="467"/>
      <c r="U554" s="467"/>
      <c r="V554" s="467"/>
      <c r="W554" s="467"/>
      <c r="AA554" s="467"/>
      <c r="AB554" s="467"/>
      <c r="AC554" s="467"/>
      <c r="AD554" s="467"/>
      <c r="AE554" s="467"/>
      <c r="AF554" s="467"/>
      <c r="AG554" s="467"/>
    </row>
    <row r="555" spans="5:33" ht="15">
      <c r="E555" s="466"/>
      <c r="F555" s="466"/>
      <c r="G555" s="466"/>
      <c r="H555" s="466"/>
      <c r="I555" s="466"/>
      <c r="J555" s="466"/>
      <c r="K555" s="466"/>
      <c r="R555" s="467"/>
      <c r="S555" s="467"/>
      <c r="T555" s="467"/>
      <c r="U555" s="467"/>
      <c r="V555" s="467"/>
      <c r="W555" s="467"/>
      <c r="AA555" s="467"/>
      <c r="AB555" s="467"/>
      <c r="AC555" s="467"/>
      <c r="AD555" s="467"/>
      <c r="AE555" s="467"/>
      <c r="AF555" s="467"/>
      <c r="AG555" s="467"/>
    </row>
    <row r="556" spans="5:33" ht="15">
      <c r="E556" s="466"/>
      <c r="F556" s="466"/>
      <c r="G556" s="466"/>
      <c r="H556" s="466"/>
      <c r="I556" s="466"/>
      <c r="J556" s="466"/>
      <c r="K556" s="466"/>
      <c r="R556" s="467"/>
      <c r="S556" s="467"/>
      <c r="T556" s="467"/>
      <c r="U556" s="467"/>
      <c r="V556" s="467"/>
      <c r="W556" s="467"/>
      <c r="AA556" s="467"/>
      <c r="AB556" s="467"/>
      <c r="AC556" s="467"/>
      <c r="AD556" s="467"/>
      <c r="AE556" s="467"/>
      <c r="AF556" s="467"/>
      <c r="AG556" s="467"/>
    </row>
    <row r="557" spans="5:33" ht="15">
      <c r="E557" s="466"/>
      <c r="F557" s="466"/>
      <c r="G557" s="466"/>
      <c r="H557" s="466"/>
      <c r="I557" s="466"/>
      <c r="J557" s="466"/>
      <c r="K557" s="466"/>
      <c r="R557" s="467"/>
      <c r="S557" s="467"/>
      <c r="T557" s="467"/>
      <c r="U557" s="467"/>
      <c r="V557" s="467"/>
      <c r="W557" s="467"/>
      <c r="AA557" s="467"/>
      <c r="AB557" s="467"/>
      <c r="AC557" s="467"/>
      <c r="AD557" s="467"/>
      <c r="AE557" s="467"/>
      <c r="AF557" s="467"/>
      <c r="AG557" s="467"/>
    </row>
    <row r="558" spans="5:33" ht="15">
      <c r="E558" s="466"/>
      <c r="F558" s="466"/>
      <c r="G558" s="466"/>
      <c r="H558" s="466"/>
      <c r="I558" s="466"/>
      <c r="J558" s="466"/>
      <c r="K558" s="466"/>
      <c r="R558" s="467"/>
      <c r="S558" s="467"/>
      <c r="T558" s="467"/>
      <c r="U558" s="467"/>
      <c r="V558" s="467"/>
      <c r="W558" s="467"/>
      <c r="AA558" s="467"/>
      <c r="AB558" s="467"/>
      <c r="AC558" s="467"/>
      <c r="AD558" s="467"/>
      <c r="AE558" s="467"/>
      <c r="AF558" s="467"/>
      <c r="AG558" s="467"/>
    </row>
    <row r="559" spans="5:33" ht="15">
      <c r="E559" s="466"/>
      <c r="F559" s="466"/>
      <c r="G559" s="466"/>
      <c r="H559" s="466"/>
      <c r="I559" s="466"/>
      <c r="J559" s="466"/>
      <c r="K559" s="466"/>
      <c r="R559" s="467"/>
      <c r="S559" s="467"/>
      <c r="T559" s="467"/>
      <c r="U559" s="467"/>
      <c r="V559" s="467"/>
      <c r="W559" s="467"/>
      <c r="AA559" s="467"/>
      <c r="AB559" s="467"/>
      <c r="AC559" s="467"/>
      <c r="AD559" s="467"/>
      <c r="AE559" s="467"/>
      <c r="AF559" s="467"/>
      <c r="AG559" s="467"/>
    </row>
    <row r="560" spans="5:33" ht="15">
      <c r="E560" s="466"/>
      <c r="F560" s="466"/>
      <c r="G560" s="466"/>
      <c r="H560" s="466"/>
      <c r="I560" s="466"/>
      <c r="J560" s="466"/>
      <c r="K560" s="466"/>
      <c r="R560" s="467"/>
      <c r="S560" s="467"/>
      <c r="T560" s="467"/>
      <c r="U560" s="467"/>
      <c r="V560" s="467"/>
      <c r="W560" s="467"/>
      <c r="AA560" s="467"/>
      <c r="AB560" s="467"/>
      <c r="AC560" s="467"/>
      <c r="AD560" s="467"/>
      <c r="AE560" s="467"/>
      <c r="AF560" s="467"/>
      <c r="AG560" s="467"/>
    </row>
    <row r="561" spans="5:33" ht="15">
      <c r="E561" s="466"/>
      <c r="F561" s="466"/>
      <c r="G561" s="466"/>
      <c r="H561" s="466"/>
      <c r="I561" s="466"/>
      <c r="J561" s="466"/>
      <c r="K561" s="466"/>
      <c r="R561" s="467"/>
      <c r="S561" s="467"/>
      <c r="T561" s="467"/>
      <c r="U561" s="467"/>
      <c r="V561" s="467"/>
      <c r="W561" s="467"/>
      <c r="AA561" s="467"/>
      <c r="AB561" s="467"/>
      <c r="AC561" s="467"/>
      <c r="AD561" s="467"/>
      <c r="AE561" s="467"/>
      <c r="AF561" s="467"/>
      <c r="AG561" s="467"/>
    </row>
    <row r="562" spans="5:33" ht="15">
      <c r="E562" s="466"/>
      <c r="F562" s="466"/>
      <c r="G562" s="466"/>
      <c r="H562" s="466"/>
      <c r="I562" s="466"/>
      <c r="J562" s="466"/>
      <c r="K562" s="466"/>
      <c r="R562" s="467"/>
      <c r="S562" s="467"/>
      <c r="T562" s="467"/>
      <c r="U562" s="467"/>
      <c r="V562" s="467"/>
      <c r="W562" s="467"/>
      <c r="AA562" s="467"/>
      <c r="AB562" s="467"/>
      <c r="AC562" s="467"/>
      <c r="AD562" s="467"/>
      <c r="AE562" s="467"/>
      <c r="AF562" s="467"/>
      <c r="AG562" s="467"/>
    </row>
    <row r="563" spans="5:33" ht="15">
      <c r="E563" s="466"/>
      <c r="F563" s="466"/>
      <c r="G563" s="466"/>
      <c r="H563" s="466"/>
      <c r="I563" s="466"/>
      <c r="J563" s="466"/>
      <c r="K563" s="466"/>
      <c r="R563" s="467"/>
      <c r="S563" s="467"/>
      <c r="T563" s="467"/>
      <c r="U563" s="467"/>
      <c r="V563" s="467"/>
      <c r="W563" s="467"/>
      <c r="AA563" s="467"/>
      <c r="AB563" s="467"/>
      <c r="AC563" s="467"/>
      <c r="AD563" s="467"/>
      <c r="AE563" s="467"/>
      <c r="AF563" s="467"/>
      <c r="AG563" s="467"/>
    </row>
    <row r="564" spans="5:33" ht="15">
      <c r="E564" s="466"/>
      <c r="F564" s="466"/>
      <c r="G564" s="466"/>
      <c r="H564" s="466"/>
      <c r="I564" s="466"/>
      <c r="J564" s="466"/>
      <c r="K564" s="466"/>
      <c r="R564" s="467"/>
      <c r="S564" s="467"/>
      <c r="T564" s="467"/>
      <c r="U564" s="467"/>
      <c r="V564" s="467"/>
      <c r="W564" s="467"/>
      <c r="AA564" s="467"/>
      <c r="AB564" s="467"/>
      <c r="AC564" s="467"/>
      <c r="AD564" s="467"/>
      <c r="AE564" s="467"/>
      <c r="AF564" s="467"/>
      <c r="AG564" s="467"/>
    </row>
    <row r="565" spans="5:33" ht="15">
      <c r="E565" s="466"/>
      <c r="F565" s="466"/>
      <c r="G565" s="466"/>
      <c r="H565" s="466"/>
      <c r="I565" s="466"/>
      <c r="J565" s="466"/>
      <c r="K565" s="466"/>
      <c r="R565" s="467"/>
      <c r="S565" s="467"/>
      <c r="T565" s="467"/>
      <c r="U565" s="467"/>
      <c r="V565" s="467"/>
      <c r="W565" s="467"/>
      <c r="AA565" s="467"/>
      <c r="AB565" s="467"/>
      <c r="AC565" s="467"/>
      <c r="AD565" s="467"/>
      <c r="AE565" s="467"/>
      <c r="AF565" s="467"/>
      <c r="AG565" s="467"/>
    </row>
    <row r="566" spans="5:33" ht="15">
      <c r="E566" s="466"/>
      <c r="F566" s="466"/>
      <c r="G566" s="466"/>
      <c r="H566" s="466"/>
      <c r="I566" s="466"/>
      <c r="J566" s="466"/>
      <c r="K566" s="466"/>
      <c r="R566" s="467"/>
      <c r="S566" s="467"/>
      <c r="T566" s="467"/>
      <c r="U566" s="467"/>
      <c r="V566" s="467"/>
      <c r="W566" s="467"/>
      <c r="AA566" s="467"/>
      <c r="AB566" s="467"/>
      <c r="AC566" s="467"/>
      <c r="AD566" s="467"/>
      <c r="AE566" s="467"/>
      <c r="AF566" s="467"/>
      <c r="AG566" s="467"/>
    </row>
    <row r="567" spans="5:33" ht="15">
      <c r="E567" s="466"/>
      <c r="F567" s="466"/>
      <c r="G567" s="466"/>
      <c r="H567" s="466"/>
      <c r="I567" s="466"/>
      <c r="J567" s="466"/>
      <c r="K567" s="466"/>
      <c r="R567" s="467"/>
      <c r="S567" s="467"/>
      <c r="T567" s="467"/>
      <c r="U567" s="467"/>
      <c r="V567" s="467"/>
      <c r="W567" s="467"/>
      <c r="AA567" s="467"/>
      <c r="AB567" s="467"/>
      <c r="AC567" s="467"/>
      <c r="AD567" s="467"/>
      <c r="AE567" s="467"/>
      <c r="AF567" s="467"/>
      <c r="AG567" s="467"/>
    </row>
    <row r="568" spans="5:33" ht="15">
      <c r="E568" s="466"/>
      <c r="F568" s="466"/>
      <c r="G568" s="466"/>
      <c r="H568" s="466"/>
      <c r="I568" s="466"/>
      <c r="J568" s="466"/>
      <c r="K568" s="466"/>
      <c r="R568" s="467"/>
      <c r="S568" s="467"/>
      <c r="T568" s="467"/>
      <c r="U568" s="467"/>
      <c r="V568" s="467"/>
      <c r="W568" s="467"/>
      <c r="AA568" s="467"/>
      <c r="AB568" s="467"/>
      <c r="AC568" s="467"/>
      <c r="AD568" s="467"/>
      <c r="AE568" s="467"/>
      <c r="AF568" s="467"/>
      <c r="AG568" s="467"/>
    </row>
    <row r="569" spans="5:33" ht="15">
      <c r="E569" s="466"/>
      <c r="F569" s="466"/>
      <c r="G569" s="466"/>
      <c r="H569" s="466"/>
      <c r="I569" s="466"/>
      <c r="J569" s="466"/>
      <c r="K569" s="466"/>
      <c r="R569" s="467"/>
      <c r="S569" s="467"/>
      <c r="T569" s="467"/>
      <c r="U569" s="467"/>
      <c r="V569" s="467"/>
      <c r="W569" s="467"/>
      <c r="AA569" s="467"/>
      <c r="AB569" s="467"/>
      <c r="AC569" s="467"/>
      <c r="AD569" s="467"/>
      <c r="AE569" s="467"/>
      <c r="AF569" s="467"/>
      <c r="AG569" s="467"/>
    </row>
    <row r="570" spans="5:33" ht="15">
      <c r="E570" s="466"/>
      <c r="F570" s="466"/>
      <c r="G570" s="466"/>
      <c r="H570" s="466"/>
      <c r="I570" s="466"/>
      <c r="J570" s="466"/>
      <c r="K570" s="466"/>
      <c r="R570" s="467"/>
      <c r="S570" s="467"/>
      <c r="T570" s="467"/>
      <c r="U570" s="467"/>
      <c r="V570" s="467"/>
      <c r="W570" s="467"/>
      <c r="AA570" s="467"/>
      <c r="AB570" s="467"/>
      <c r="AC570" s="467"/>
      <c r="AD570" s="467"/>
      <c r="AE570" s="467"/>
      <c r="AF570" s="467"/>
      <c r="AG570" s="467"/>
    </row>
    <row r="571" spans="5:33" ht="15">
      <c r="E571" s="466"/>
      <c r="F571" s="466"/>
      <c r="G571" s="466"/>
      <c r="H571" s="466"/>
      <c r="I571" s="466"/>
      <c r="J571" s="466"/>
      <c r="K571" s="466"/>
      <c r="R571" s="467"/>
      <c r="S571" s="467"/>
      <c r="T571" s="467"/>
      <c r="U571" s="467"/>
      <c r="V571" s="467"/>
      <c r="W571" s="467"/>
      <c r="AA571" s="467"/>
      <c r="AB571" s="467"/>
      <c r="AC571" s="467"/>
      <c r="AD571" s="467"/>
      <c r="AE571" s="467"/>
      <c r="AF571" s="467"/>
      <c r="AG571" s="467"/>
    </row>
    <row r="572" spans="5:33" ht="15">
      <c r="E572" s="466"/>
      <c r="F572" s="466"/>
      <c r="G572" s="466"/>
      <c r="H572" s="466"/>
      <c r="I572" s="466"/>
      <c r="J572" s="466"/>
      <c r="K572" s="466"/>
      <c r="R572" s="467"/>
      <c r="S572" s="467"/>
      <c r="T572" s="467"/>
      <c r="U572" s="467"/>
      <c r="V572" s="467"/>
      <c r="W572" s="467"/>
      <c r="AA572" s="467"/>
      <c r="AB572" s="467"/>
      <c r="AC572" s="467"/>
      <c r="AD572" s="467"/>
      <c r="AE572" s="467"/>
      <c r="AF572" s="467"/>
      <c r="AG572" s="467"/>
    </row>
    <row r="573" spans="5:33" ht="15">
      <c r="E573" s="466"/>
      <c r="F573" s="466"/>
      <c r="G573" s="466"/>
      <c r="H573" s="466"/>
      <c r="I573" s="466"/>
      <c r="J573" s="466"/>
      <c r="K573" s="466"/>
      <c r="R573" s="467"/>
      <c r="S573" s="467"/>
      <c r="T573" s="467"/>
      <c r="U573" s="467"/>
      <c r="V573" s="467"/>
      <c r="W573" s="467"/>
      <c r="AA573" s="467"/>
      <c r="AB573" s="467"/>
      <c r="AC573" s="467"/>
      <c r="AD573" s="467"/>
      <c r="AE573" s="467"/>
      <c r="AF573" s="467"/>
      <c r="AG573" s="467"/>
    </row>
    <row r="574" spans="5:33" ht="15">
      <c r="E574" s="466"/>
      <c r="F574" s="466"/>
      <c r="G574" s="466"/>
      <c r="H574" s="466"/>
      <c r="I574" s="466"/>
      <c r="J574" s="466"/>
      <c r="K574" s="466"/>
      <c r="R574" s="467"/>
      <c r="S574" s="467"/>
      <c r="T574" s="467"/>
      <c r="U574" s="467"/>
      <c r="V574" s="467"/>
      <c r="W574" s="467"/>
      <c r="AA574" s="467"/>
      <c r="AB574" s="467"/>
      <c r="AC574" s="467"/>
      <c r="AD574" s="467"/>
      <c r="AE574" s="467"/>
      <c r="AF574" s="467"/>
      <c r="AG574" s="467"/>
    </row>
    <row r="575" spans="5:33" ht="15">
      <c r="E575" s="466"/>
      <c r="F575" s="466"/>
      <c r="G575" s="466"/>
      <c r="H575" s="466"/>
      <c r="I575" s="466"/>
      <c r="J575" s="466"/>
      <c r="K575" s="466"/>
      <c r="R575" s="467"/>
      <c r="S575" s="467"/>
      <c r="T575" s="467"/>
      <c r="U575" s="467"/>
      <c r="V575" s="467"/>
      <c r="W575" s="467"/>
      <c r="AA575" s="467"/>
      <c r="AB575" s="467"/>
      <c r="AC575" s="467"/>
      <c r="AD575" s="467"/>
      <c r="AE575" s="467"/>
      <c r="AF575" s="467"/>
      <c r="AG575" s="467"/>
    </row>
    <row r="576" spans="5:33" ht="15">
      <c r="E576" s="466"/>
      <c r="F576" s="466"/>
      <c r="G576" s="466"/>
      <c r="H576" s="466"/>
      <c r="I576" s="466"/>
      <c r="J576" s="466"/>
      <c r="K576" s="466"/>
      <c r="R576" s="467"/>
      <c r="S576" s="467"/>
      <c r="T576" s="467"/>
      <c r="U576" s="467"/>
      <c r="V576" s="467"/>
      <c r="W576" s="467"/>
      <c r="AA576" s="467"/>
      <c r="AB576" s="467"/>
      <c r="AC576" s="467"/>
      <c r="AD576" s="467"/>
      <c r="AE576" s="467"/>
      <c r="AF576" s="467"/>
      <c r="AG576" s="467"/>
    </row>
    <row r="577" spans="5:33" ht="15">
      <c r="E577" s="466"/>
      <c r="F577" s="466"/>
      <c r="G577" s="466"/>
      <c r="H577" s="466"/>
      <c r="I577" s="466"/>
      <c r="J577" s="466"/>
      <c r="K577" s="466"/>
      <c r="R577" s="467"/>
      <c r="S577" s="467"/>
      <c r="T577" s="467"/>
      <c r="U577" s="467"/>
      <c r="V577" s="467"/>
      <c r="W577" s="467"/>
      <c r="AA577" s="467"/>
      <c r="AB577" s="467"/>
      <c r="AC577" s="467"/>
      <c r="AD577" s="467"/>
      <c r="AE577" s="467"/>
      <c r="AF577" s="467"/>
      <c r="AG577" s="467"/>
    </row>
    <row r="578" spans="5:33" ht="15">
      <c r="E578" s="466"/>
      <c r="F578" s="466"/>
      <c r="G578" s="466"/>
      <c r="H578" s="466"/>
      <c r="I578" s="466"/>
      <c r="J578" s="466"/>
      <c r="K578" s="466"/>
      <c r="R578" s="467"/>
      <c r="S578" s="467"/>
      <c r="T578" s="467"/>
      <c r="U578" s="467"/>
      <c r="V578" s="467"/>
      <c r="W578" s="467"/>
      <c r="AA578" s="467"/>
      <c r="AB578" s="467"/>
      <c r="AC578" s="467"/>
      <c r="AD578" s="467"/>
      <c r="AE578" s="467"/>
      <c r="AF578" s="467"/>
      <c r="AG578" s="467"/>
    </row>
    <row r="579" spans="5:33" ht="15">
      <c r="E579" s="466"/>
      <c r="F579" s="466"/>
      <c r="G579" s="466"/>
      <c r="H579" s="466"/>
      <c r="I579" s="466"/>
      <c r="J579" s="466"/>
      <c r="K579" s="466"/>
      <c r="R579" s="467"/>
      <c r="S579" s="467"/>
      <c r="T579" s="467"/>
      <c r="U579" s="467"/>
      <c r="V579" s="467"/>
      <c r="W579" s="467"/>
      <c r="AA579" s="467"/>
      <c r="AB579" s="467"/>
      <c r="AC579" s="467"/>
      <c r="AD579" s="467"/>
      <c r="AE579" s="467"/>
      <c r="AF579" s="467"/>
      <c r="AG579" s="467"/>
    </row>
    <row r="580" spans="5:33" ht="15">
      <c r="E580" s="466"/>
      <c r="F580" s="466"/>
      <c r="G580" s="466"/>
      <c r="H580" s="466"/>
      <c r="I580" s="466"/>
      <c r="J580" s="466"/>
      <c r="K580" s="466"/>
      <c r="R580" s="467"/>
      <c r="S580" s="467"/>
      <c r="T580" s="467"/>
      <c r="U580" s="467"/>
      <c r="V580" s="467"/>
      <c r="W580" s="467"/>
      <c r="AA580" s="467"/>
      <c r="AB580" s="467"/>
      <c r="AC580" s="467"/>
      <c r="AD580" s="467"/>
      <c r="AE580" s="467"/>
      <c r="AF580" s="467"/>
      <c r="AG580" s="467"/>
    </row>
    <row r="581" spans="5:33" ht="15">
      <c r="E581" s="466"/>
      <c r="F581" s="466"/>
      <c r="G581" s="466"/>
      <c r="H581" s="466"/>
      <c r="I581" s="466"/>
      <c r="J581" s="466"/>
      <c r="K581" s="466"/>
      <c r="R581" s="467"/>
      <c r="S581" s="467"/>
      <c r="T581" s="467"/>
      <c r="U581" s="467"/>
      <c r="V581" s="467"/>
      <c r="W581" s="467"/>
      <c r="AA581" s="467"/>
      <c r="AB581" s="467"/>
      <c r="AC581" s="467"/>
      <c r="AD581" s="467"/>
      <c r="AE581" s="467"/>
      <c r="AF581" s="467"/>
      <c r="AG581" s="467"/>
    </row>
    <row r="582" spans="5:33" ht="15">
      <c r="E582" s="466"/>
      <c r="F582" s="466"/>
      <c r="G582" s="466"/>
      <c r="H582" s="466"/>
      <c r="I582" s="466"/>
      <c r="J582" s="466"/>
      <c r="K582" s="466"/>
      <c r="R582" s="467"/>
      <c r="S582" s="467"/>
      <c r="T582" s="467"/>
      <c r="U582" s="467"/>
      <c r="V582" s="467"/>
      <c r="W582" s="467"/>
      <c r="AA582" s="467"/>
      <c r="AB582" s="467"/>
      <c r="AC582" s="467"/>
      <c r="AD582" s="467"/>
      <c r="AE582" s="467"/>
      <c r="AF582" s="467"/>
      <c r="AG582" s="467"/>
    </row>
    <row r="583" spans="5:33" ht="15">
      <c r="E583" s="466"/>
      <c r="F583" s="466"/>
      <c r="G583" s="466"/>
      <c r="H583" s="466"/>
      <c r="I583" s="466"/>
      <c r="J583" s="466"/>
      <c r="K583" s="466"/>
      <c r="R583" s="467"/>
      <c r="S583" s="467"/>
      <c r="T583" s="467"/>
      <c r="U583" s="467"/>
      <c r="V583" s="467"/>
      <c r="W583" s="467"/>
      <c r="AA583" s="467"/>
      <c r="AB583" s="467"/>
      <c r="AC583" s="467"/>
      <c r="AD583" s="467"/>
      <c r="AE583" s="467"/>
      <c r="AF583" s="467"/>
      <c r="AG583" s="467"/>
    </row>
    <row r="584" spans="5:33" ht="15">
      <c r="E584" s="466"/>
      <c r="F584" s="466"/>
      <c r="G584" s="466"/>
      <c r="H584" s="466"/>
      <c r="I584" s="466"/>
      <c r="J584" s="466"/>
      <c r="K584" s="466"/>
      <c r="R584" s="467"/>
      <c r="S584" s="467"/>
      <c r="T584" s="467"/>
      <c r="U584" s="467"/>
      <c r="V584" s="467"/>
      <c r="W584" s="467"/>
      <c r="AA584" s="467"/>
      <c r="AB584" s="467"/>
      <c r="AC584" s="467"/>
      <c r="AD584" s="467"/>
      <c r="AE584" s="467"/>
      <c r="AF584" s="467"/>
      <c r="AG584" s="467"/>
    </row>
    <row r="585" spans="5:33" ht="15">
      <c r="E585" s="466"/>
      <c r="F585" s="466"/>
      <c r="G585" s="466"/>
      <c r="H585" s="466"/>
      <c r="I585" s="466"/>
      <c r="J585" s="466"/>
      <c r="K585" s="466"/>
      <c r="R585" s="467"/>
      <c r="S585" s="467"/>
      <c r="T585" s="467"/>
      <c r="U585" s="467"/>
      <c r="V585" s="467"/>
      <c r="W585" s="467"/>
      <c r="AA585" s="467"/>
      <c r="AB585" s="467"/>
      <c r="AC585" s="467"/>
      <c r="AD585" s="467"/>
      <c r="AE585" s="467"/>
      <c r="AF585" s="467"/>
      <c r="AG585" s="467"/>
    </row>
    <row r="586" spans="5:33" ht="15">
      <c r="E586" s="466"/>
      <c r="F586" s="466"/>
      <c r="G586" s="466"/>
      <c r="H586" s="466"/>
      <c r="I586" s="466"/>
      <c r="J586" s="466"/>
      <c r="K586" s="466"/>
      <c r="R586" s="467"/>
      <c r="S586" s="467"/>
      <c r="T586" s="467"/>
      <c r="U586" s="467"/>
      <c r="V586" s="467"/>
      <c r="W586" s="467"/>
      <c r="AA586" s="467"/>
      <c r="AB586" s="467"/>
      <c r="AC586" s="467"/>
      <c r="AD586" s="467"/>
      <c r="AE586" s="467"/>
      <c r="AF586" s="467"/>
      <c r="AG586" s="467"/>
    </row>
    <row r="587" spans="5:33" ht="15">
      <c r="E587" s="466"/>
      <c r="F587" s="466"/>
      <c r="G587" s="466"/>
      <c r="H587" s="466"/>
      <c r="I587" s="466"/>
      <c r="J587" s="466"/>
      <c r="K587" s="466"/>
      <c r="R587" s="467"/>
      <c r="S587" s="467"/>
      <c r="T587" s="467"/>
      <c r="U587" s="467"/>
      <c r="V587" s="467"/>
      <c r="W587" s="467"/>
      <c r="AA587" s="467"/>
      <c r="AB587" s="467"/>
      <c r="AC587" s="467"/>
      <c r="AD587" s="467"/>
      <c r="AE587" s="467"/>
      <c r="AF587" s="467"/>
      <c r="AG587" s="467"/>
    </row>
    <row r="588" spans="5:33" ht="15">
      <c r="E588" s="466"/>
      <c r="F588" s="466"/>
      <c r="G588" s="466"/>
      <c r="H588" s="466"/>
      <c r="I588" s="466"/>
      <c r="J588" s="466"/>
      <c r="K588" s="466"/>
      <c r="R588" s="467"/>
      <c r="S588" s="467"/>
      <c r="T588" s="467"/>
      <c r="U588" s="467"/>
      <c r="V588" s="467"/>
      <c r="W588" s="467"/>
      <c r="AA588" s="467"/>
      <c r="AB588" s="467"/>
      <c r="AC588" s="467"/>
      <c r="AD588" s="467"/>
      <c r="AE588" s="467"/>
      <c r="AF588" s="467"/>
      <c r="AG588" s="467"/>
    </row>
    <row r="589" spans="5:33" ht="15">
      <c r="E589" s="466"/>
      <c r="F589" s="466"/>
      <c r="G589" s="466"/>
      <c r="H589" s="466"/>
      <c r="I589" s="466"/>
      <c r="J589" s="466"/>
      <c r="K589" s="466"/>
      <c r="R589" s="467"/>
      <c r="S589" s="467"/>
      <c r="T589" s="467"/>
      <c r="U589" s="467"/>
      <c r="V589" s="467"/>
      <c r="W589" s="467"/>
      <c r="AA589" s="467"/>
      <c r="AB589" s="467"/>
      <c r="AC589" s="467"/>
      <c r="AD589" s="467"/>
      <c r="AE589" s="467"/>
      <c r="AF589" s="467"/>
      <c r="AG589" s="467"/>
    </row>
    <row r="590" spans="5:33" ht="15">
      <c r="E590" s="466"/>
      <c r="F590" s="466"/>
      <c r="G590" s="466"/>
      <c r="H590" s="466"/>
      <c r="I590" s="466"/>
      <c r="J590" s="466"/>
      <c r="K590" s="466"/>
      <c r="R590" s="467"/>
      <c r="S590" s="467"/>
      <c r="T590" s="467"/>
      <c r="U590" s="467"/>
      <c r="V590" s="467"/>
      <c r="W590" s="467"/>
      <c r="AA590" s="467"/>
      <c r="AB590" s="467"/>
      <c r="AC590" s="467"/>
      <c r="AD590" s="467"/>
      <c r="AE590" s="467"/>
      <c r="AF590" s="467"/>
      <c r="AG590" s="467"/>
    </row>
    <row r="591" spans="5:33" ht="15">
      <c r="E591" s="466"/>
      <c r="F591" s="466"/>
      <c r="G591" s="466"/>
      <c r="H591" s="466"/>
      <c r="I591" s="466"/>
      <c r="J591" s="466"/>
      <c r="K591" s="466"/>
      <c r="R591" s="467"/>
      <c r="S591" s="467"/>
      <c r="T591" s="467"/>
      <c r="U591" s="467"/>
      <c r="V591" s="467"/>
      <c r="W591" s="467"/>
      <c r="AA591" s="467"/>
      <c r="AB591" s="467"/>
      <c r="AC591" s="467"/>
      <c r="AD591" s="467"/>
      <c r="AE591" s="467"/>
      <c r="AF591" s="467"/>
      <c r="AG591" s="467"/>
    </row>
    <row r="592" spans="5:33" ht="15">
      <c r="E592" s="466"/>
      <c r="F592" s="466"/>
      <c r="G592" s="466"/>
      <c r="H592" s="466"/>
      <c r="I592" s="466"/>
      <c r="J592" s="466"/>
      <c r="K592" s="466"/>
      <c r="R592" s="467"/>
      <c r="S592" s="467"/>
      <c r="T592" s="467"/>
      <c r="U592" s="467"/>
      <c r="V592" s="467"/>
      <c r="W592" s="467"/>
      <c r="AA592" s="467"/>
      <c r="AB592" s="467"/>
      <c r="AC592" s="467"/>
      <c r="AD592" s="467"/>
      <c r="AE592" s="467"/>
      <c r="AF592" s="467"/>
      <c r="AG592" s="467"/>
    </row>
    <row r="593" spans="5:33" ht="15">
      <c r="E593" s="466"/>
      <c r="F593" s="466"/>
      <c r="G593" s="466"/>
      <c r="H593" s="466"/>
      <c r="I593" s="466"/>
      <c r="J593" s="466"/>
      <c r="K593" s="466"/>
      <c r="R593" s="467"/>
      <c r="S593" s="467"/>
      <c r="T593" s="467"/>
      <c r="U593" s="467"/>
      <c r="V593" s="467"/>
      <c r="W593" s="467"/>
      <c r="AA593" s="467"/>
      <c r="AB593" s="467"/>
      <c r="AC593" s="467"/>
      <c r="AD593" s="467"/>
      <c r="AE593" s="467"/>
      <c r="AF593" s="467"/>
      <c r="AG593" s="467"/>
    </row>
    <row r="594" spans="5:33" ht="15">
      <c r="E594" s="466"/>
      <c r="F594" s="466"/>
      <c r="G594" s="466"/>
      <c r="H594" s="466"/>
      <c r="I594" s="466"/>
      <c r="J594" s="466"/>
      <c r="K594" s="466"/>
      <c r="R594" s="467"/>
      <c r="S594" s="467"/>
      <c r="T594" s="467"/>
      <c r="U594" s="467"/>
      <c r="V594" s="467"/>
      <c r="W594" s="467"/>
      <c r="AA594" s="467"/>
      <c r="AB594" s="467"/>
      <c r="AC594" s="467"/>
      <c r="AD594" s="467"/>
      <c r="AE594" s="467"/>
      <c r="AF594" s="467"/>
      <c r="AG594" s="467"/>
    </row>
    <row r="595" spans="5:33" ht="15">
      <c r="E595" s="466"/>
      <c r="F595" s="466"/>
      <c r="G595" s="466"/>
      <c r="H595" s="466"/>
      <c r="I595" s="466"/>
      <c r="J595" s="466"/>
      <c r="K595" s="466"/>
      <c r="R595" s="467"/>
      <c r="S595" s="467"/>
      <c r="T595" s="467"/>
      <c r="U595" s="467"/>
      <c r="V595" s="467"/>
      <c r="W595" s="467"/>
      <c r="AA595" s="467"/>
      <c r="AB595" s="467"/>
      <c r="AC595" s="467"/>
      <c r="AD595" s="467"/>
      <c r="AE595" s="467"/>
      <c r="AF595" s="467"/>
      <c r="AG595" s="467"/>
    </row>
    <row r="596" spans="5:33" ht="15">
      <c r="E596" s="466"/>
      <c r="F596" s="466"/>
      <c r="G596" s="466"/>
      <c r="H596" s="466"/>
      <c r="I596" s="466"/>
      <c r="J596" s="466"/>
      <c r="K596" s="466"/>
      <c r="R596" s="467"/>
      <c r="S596" s="467"/>
      <c r="T596" s="467"/>
      <c r="U596" s="467"/>
      <c r="V596" s="467"/>
      <c r="W596" s="467"/>
      <c r="AA596" s="467"/>
      <c r="AB596" s="467"/>
      <c r="AC596" s="467"/>
      <c r="AD596" s="467"/>
      <c r="AE596" s="467"/>
      <c r="AF596" s="467"/>
      <c r="AG596" s="467"/>
    </row>
    <row r="597" spans="5:33" ht="15">
      <c r="E597" s="466"/>
      <c r="F597" s="466"/>
      <c r="G597" s="466"/>
      <c r="H597" s="466"/>
      <c r="I597" s="466"/>
      <c r="J597" s="466"/>
      <c r="K597" s="466"/>
      <c r="R597" s="467"/>
      <c r="S597" s="467"/>
      <c r="T597" s="467"/>
      <c r="U597" s="467"/>
      <c r="V597" s="467"/>
      <c r="W597" s="467"/>
      <c r="AA597" s="467"/>
      <c r="AB597" s="467"/>
      <c r="AC597" s="467"/>
      <c r="AD597" s="467"/>
      <c r="AE597" s="467"/>
      <c r="AF597" s="467"/>
      <c r="AG597" s="467"/>
    </row>
    <row r="598" spans="5:33" ht="15">
      <c r="E598" s="466"/>
      <c r="F598" s="466"/>
      <c r="G598" s="466"/>
      <c r="H598" s="466"/>
      <c r="I598" s="466"/>
      <c r="J598" s="466"/>
      <c r="K598" s="466"/>
      <c r="R598" s="467"/>
      <c r="S598" s="467"/>
      <c r="T598" s="467"/>
      <c r="U598" s="467"/>
      <c r="V598" s="467"/>
      <c r="W598" s="467"/>
      <c r="AA598" s="467"/>
      <c r="AB598" s="467"/>
      <c r="AC598" s="467"/>
      <c r="AD598" s="467"/>
      <c r="AE598" s="467"/>
      <c r="AF598" s="467"/>
      <c r="AG598" s="467"/>
    </row>
    <row r="599" spans="5:33" ht="15">
      <c r="E599" s="466"/>
      <c r="F599" s="466"/>
      <c r="G599" s="466"/>
      <c r="H599" s="466"/>
      <c r="I599" s="466"/>
      <c r="J599" s="466"/>
      <c r="K599" s="466"/>
      <c r="R599" s="467"/>
      <c r="S599" s="467"/>
      <c r="T599" s="467"/>
      <c r="U599" s="467"/>
      <c r="V599" s="467"/>
      <c r="W599" s="467"/>
      <c r="AA599" s="467"/>
      <c r="AB599" s="467"/>
      <c r="AC599" s="467"/>
      <c r="AD599" s="467"/>
      <c r="AE599" s="467"/>
      <c r="AF599" s="467"/>
      <c r="AG599" s="467"/>
    </row>
    <row r="600" spans="5:33" ht="15">
      <c r="E600" s="466"/>
      <c r="F600" s="466"/>
      <c r="G600" s="466"/>
      <c r="H600" s="466"/>
      <c r="I600" s="466"/>
      <c r="J600" s="466"/>
      <c r="K600" s="466"/>
      <c r="R600" s="467"/>
      <c r="S600" s="467"/>
      <c r="T600" s="467"/>
      <c r="U600" s="467"/>
      <c r="V600" s="467"/>
      <c r="W600" s="467"/>
      <c r="AA600" s="467"/>
      <c r="AB600" s="467"/>
      <c r="AC600" s="467"/>
      <c r="AD600" s="467"/>
      <c r="AE600" s="467"/>
      <c r="AF600" s="467"/>
      <c r="AG600" s="467"/>
    </row>
    <row r="601" spans="5:33" ht="15">
      <c r="E601" s="466"/>
      <c r="F601" s="466"/>
      <c r="G601" s="466"/>
      <c r="H601" s="466"/>
      <c r="I601" s="466"/>
      <c r="J601" s="466"/>
      <c r="K601" s="466"/>
      <c r="R601" s="467"/>
      <c r="S601" s="467"/>
      <c r="T601" s="467"/>
      <c r="U601" s="467"/>
      <c r="V601" s="467"/>
      <c r="W601" s="467"/>
      <c r="AA601" s="467"/>
      <c r="AB601" s="467"/>
      <c r="AC601" s="467"/>
      <c r="AD601" s="467"/>
      <c r="AE601" s="467"/>
      <c r="AF601" s="467"/>
      <c r="AG601" s="467"/>
    </row>
    <row r="602" spans="5:33" ht="15">
      <c r="E602" s="466"/>
      <c r="F602" s="466"/>
      <c r="G602" s="466"/>
      <c r="H602" s="466"/>
      <c r="I602" s="466"/>
      <c r="J602" s="466"/>
      <c r="K602" s="466"/>
      <c r="R602" s="467"/>
      <c r="S602" s="467"/>
      <c r="T602" s="467"/>
      <c r="U602" s="467"/>
      <c r="V602" s="467"/>
      <c r="W602" s="467"/>
      <c r="AA602" s="467"/>
      <c r="AB602" s="467"/>
      <c r="AC602" s="467"/>
      <c r="AD602" s="467"/>
      <c r="AE602" s="467"/>
      <c r="AF602" s="467"/>
      <c r="AG602" s="467"/>
    </row>
    <row r="603" spans="5:33" ht="15">
      <c r="E603" s="466"/>
      <c r="F603" s="466"/>
      <c r="G603" s="466"/>
      <c r="H603" s="466"/>
      <c r="I603" s="466"/>
      <c r="J603" s="466"/>
      <c r="K603" s="466"/>
      <c r="R603" s="467"/>
      <c r="S603" s="467"/>
      <c r="T603" s="467"/>
      <c r="U603" s="467"/>
      <c r="V603" s="467"/>
      <c r="W603" s="467"/>
      <c r="AA603" s="467"/>
      <c r="AB603" s="467"/>
      <c r="AC603" s="467"/>
      <c r="AD603" s="467"/>
      <c r="AE603" s="467"/>
      <c r="AF603" s="467"/>
      <c r="AG603" s="467"/>
    </row>
    <row r="604" spans="5:33" ht="15">
      <c r="E604" s="466"/>
      <c r="F604" s="466"/>
      <c r="G604" s="466"/>
      <c r="H604" s="466"/>
      <c r="I604" s="466"/>
      <c r="J604" s="466"/>
      <c r="K604" s="466"/>
      <c r="R604" s="467"/>
      <c r="S604" s="467"/>
      <c r="T604" s="467"/>
      <c r="U604" s="467"/>
      <c r="V604" s="467"/>
      <c r="W604" s="467"/>
      <c r="AA604" s="467"/>
      <c r="AB604" s="467"/>
      <c r="AC604" s="467"/>
      <c r="AD604" s="467"/>
      <c r="AE604" s="467"/>
      <c r="AF604" s="467"/>
      <c r="AG604" s="467"/>
    </row>
    <row r="605" spans="5:33" ht="15">
      <c r="E605" s="466"/>
      <c r="F605" s="466"/>
      <c r="G605" s="466"/>
      <c r="H605" s="466"/>
      <c r="I605" s="466"/>
      <c r="J605" s="466"/>
      <c r="K605" s="466"/>
      <c r="R605" s="467"/>
      <c r="S605" s="467"/>
      <c r="T605" s="467"/>
      <c r="U605" s="467"/>
      <c r="V605" s="467"/>
      <c r="W605" s="467"/>
      <c r="AA605" s="467"/>
      <c r="AB605" s="467"/>
      <c r="AC605" s="467"/>
      <c r="AD605" s="467"/>
      <c r="AE605" s="467"/>
      <c r="AF605" s="467"/>
      <c r="AG605" s="467"/>
    </row>
    <row r="606" spans="5:33" ht="15">
      <c r="E606" s="466"/>
      <c r="F606" s="466"/>
      <c r="G606" s="466"/>
      <c r="H606" s="466"/>
      <c r="I606" s="466"/>
      <c r="J606" s="466"/>
      <c r="K606" s="466"/>
      <c r="R606" s="467"/>
      <c r="S606" s="467"/>
      <c r="T606" s="467"/>
      <c r="U606" s="467"/>
      <c r="V606" s="467"/>
      <c r="W606" s="467"/>
      <c r="AA606" s="467"/>
      <c r="AB606" s="467"/>
      <c r="AC606" s="467"/>
      <c r="AD606" s="467"/>
      <c r="AE606" s="467"/>
      <c r="AF606" s="467"/>
      <c r="AG606" s="467"/>
    </row>
    <row r="607" spans="5:33" ht="15">
      <c r="E607" s="466"/>
      <c r="F607" s="466"/>
      <c r="G607" s="466"/>
      <c r="H607" s="466"/>
      <c r="I607" s="466"/>
      <c r="J607" s="466"/>
      <c r="K607" s="466"/>
      <c r="R607" s="467"/>
      <c r="S607" s="467"/>
      <c r="T607" s="467"/>
      <c r="U607" s="467"/>
      <c r="V607" s="467"/>
      <c r="W607" s="467"/>
      <c r="AA607" s="467"/>
      <c r="AB607" s="467"/>
      <c r="AC607" s="467"/>
      <c r="AD607" s="467"/>
      <c r="AE607" s="467"/>
      <c r="AF607" s="467"/>
      <c r="AG607" s="467"/>
    </row>
    <row r="608" spans="5:33" ht="15">
      <c r="E608" s="466"/>
      <c r="F608" s="466"/>
      <c r="G608" s="466"/>
      <c r="H608" s="466"/>
      <c r="I608" s="466"/>
      <c r="J608" s="466"/>
      <c r="K608" s="466"/>
      <c r="R608" s="467"/>
      <c r="S608" s="467"/>
      <c r="T608" s="467"/>
      <c r="U608" s="467"/>
      <c r="V608" s="467"/>
      <c r="W608" s="467"/>
      <c r="AA608" s="467"/>
      <c r="AB608" s="467"/>
      <c r="AC608" s="467"/>
      <c r="AD608" s="467"/>
      <c r="AE608" s="467"/>
      <c r="AF608" s="467"/>
      <c r="AG608" s="467"/>
    </row>
    <row r="609" spans="5:33" ht="15">
      <c r="E609" s="466"/>
      <c r="F609" s="466"/>
      <c r="G609" s="466"/>
      <c r="H609" s="466"/>
      <c r="I609" s="466"/>
      <c r="J609" s="466"/>
      <c r="K609" s="466"/>
      <c r="R609" s="467"/>
      <c r="S609" s="467"/>
      <c r="T609" s="467"/>
      <c r="U609" s="467"/>
      <c r="V609" s="467"/>
      <c r="W609" s="467"/>
      <c r="AA609" s="467"/>
      <c r="AB609" s="467"/>
      <c r="AC609" s="467"/>
      <c r="AD609" s="467"/>
      <c r="AE609" s="467"/>
      <c r="AF609" s="467"/>
      <c r="AG609" s="467"/>
    </row>
    <row r="610" spans="5:33" ht="15">
      <c r="E610" s="466"/>
      <c r="F610" s="466"/>
      <c r="G610" s="466"/>
      <c r="H610" s="466"/>
      <c r="I610" s="466"/>
      <c r="J610" s="466"/>
      <c r="K610" s="466"/>
      <c r="R610" s="467"/>
      <c r="S610" s="467"/>
      <c r="T610" s="467"/>
      <c r="U610" s="467"/>
      <c r="V610" s="467"/>
      <c r="W610" s="467"/>
      <c r="AA610" s="467"/>
      <c r="AB610" s="467"/>
      <c r="AC610" s="467"/>
      <c r="AD610" s="467"/>
      <c r="AE610" s="467"/>
      <c r="AF610" s="467"/>
      <c r="AG610" s="467"/>
    </row>
    <row r="611" spans="5:33" ht="15">
      <c r="E611" s="466"/>
      <c r="F611" s="466"/>
      <c r="G611" s="466"/>
      <c r="H611" s="466"/>
      <c r="I611" s="466"/>
      <c r="J611" s="466"/>
      <c r="K611" s="466"/>
      <c r="R611" s="467"/>
      <c r="S611" s="467"/>
      <c r="T611" s="467"/>
      <c r="U611" s="467"/>
      <c r="V611" s="467"/>
      <c r="W611" s="467"/>
      <c r="AA611" s="467"/>
      <c r="AB611" s="467"/>
      <c r="AC611" s="467"/>
      <c r="AD611" s="467"/>
      <c r="AE611" s="467"/>
      <c r="AF611" s="467"/>
      <c r="AG611" s="467"/>
    </row>
    <row r="612" spans="5:33" ht="15">
      <c r="E612" s="466"/>
      <c r="F612" s="466"/>
      <c r="G612" s="466"/>
      <c r="H612" s="466"/>
      <c r="I612" s="466"/>
      <c r="J612" s="466"/>
      <c r="K612" s="466"/>
      <c r="R612" s="467"/>
      <c r="S612" s="467"/>
      <c r="T612" s="467"/>
      <c r="U612" s="467"/>
      <c r="V612" s="467"/>
      <c r="W612" s="467"/>
      <c r="AA612" s="467"/>
      <c r="AB612" s="467"/>
      <c r="AC612" s="467"/>
      <c r="AD612" s="467"/>
      <c r="AE612" s="467"/>
      <c r="AF612" s="467"/>
      <c r="AG612" s="467"/>
    </row>
    <row r="613" spans="5:33" ht="15">
      <c r="E613" s="466"/>
      <c r="F613" s="466"/>
      <c r="G613" s="466"/>
      <c r="H613" s="466"/>
      <c r="I613" s="466"/>
      <c r="J613" s="466"/>
      <c r="K613" s="466"/>
      <c r="R613" s="467"/>
      <c r="S613" s="467"/>
      <c r="T613" s="467"/>
      <c r="U613" s="467"/>
      <c r="V613" s="467"/>
      <c r="W613" s="467"/>
      <c r="AA613" s="467"/>
      <c r="AB613" s="467"/>
      <c r="AC613" s="467"/>
      <c r="AD613" s="467"/>
      <c r="AE613" s="467"/>
      <c r="AF613" s="467"/>
      <c r="AG613" s="467"/>
    </row>
    <row r="614" spans="5:33" ht="15">
      <c r="E614" s="466"/>
      <c r="F614" s="466"/>
      <c r="G614" s="466"/>
      <c r="H614" s="466"/>
      <c r="I614" s="466"/>
      <c r="J614" s="466"/>
      <c r="K614" s="466"/>
      <c r="R614" s="467"/>
      <c r="S614" s="467"/>
      <c r="T614" s="467"/>
      <c r="U614" s="467"/>
      <c r="V614" s="467"/>
      <c r="W614" s="467"/>
      <c r="AA614" s="467"/>
      <c r="AB614" s="467"/>
      <c r="AC614" s="467"/>
      <c r="AD614" s="467"/>
      <c r="AE614" s="467"/>
      <c r="AF614" s="467"/>
      <c r="AG614" s="467"/>
    </row>
    <row r="615" spans="5:33" ht="15">
      <c r="E615" s="466"/>
      <c r="F615" s="466"/>
      <c r="G615" s="466"/>
      <c r="H615" s="466"/>
      <c r="I615" s="466"/>
      <c r="J615" s="466"/>
      <c r="K615" s="466"/>
      <c r="R615" s="467"/>
      <c r="S615" s="467"/>
      <c r="T615" s="467"/>
      <c r="U615" s="467"/>
      <c r="V615" s="467"/>
      <c r="W615" s="467"/>
      <c r="AA615" s="467"/>
      <c r="AB615" s="467"/>
      <c r="AC615" s="467"/>
      <c r="AD615" s="467"/>
      <c r="AE615" s="467"/>
      <c r="AF615" s="467"/>
      <c r="AG615" s="467"/>
    </row>
    <row r="616" spans="5:33" ht="15">
      <c r="E616" s="466"/>
      <c r="F616" s="466"/>
      <c r="G616" s="466"/>
      <c r="H616" s="466"/>
      <c r="I616" s="466"/>
      <c r="J616" s="466"/>
      <c r="K616" s="466"/>
      <c r="R616" s="467"/>
      <c r="S616" s="467"/>
      <c r="T616" s="467"/>
      <c r="U616" s="467"/>
      <c r="V616" s="467"/>
      <c r="W616" s="467"/>
      <c r="AA616" s="467"/>
      <c r="AB616" s="467"/>
      <c r="AC616" s="467"/>
      <c r="AD616" s="467"/>
      <c r="AE616" s="467"/>
      <c r="AF616" s="467"/>
      <c r="AG616" s="467"/>
    </row>
    <row r="617" spans="5:33" ht="15">
      <c r="E617" s="466"/>
      <c r="F617" s="466"/>
      <c r="G617" s="466"/>
      <c r="H617" s="466"/>
      <c r="I617" s="466"/>
      <c r="J617" s="466"/>
      <c r="K617" s="466"/>
      <c r="R617" s="467"/>
      <c r="S617" s="467"/>
      <c r="T617" s="467"/>
      <c r="U617" s="467"/>
      <c r="V617" s="467"/>
      <c r="W617" s="467"/>
      <c r="AA617" s="467"/>
      <c r="AB617" s="467"/>
      <c r="AC617" s="467"/>
      <c r="AD617" s="467"/>
      <c r="AE617" s="467"/>
      <c r="AF617" s="467"/>
      <c r="AG617" s="467"/>
    </row>
    <row r="618" spans="5:33" ht="15">
      <c r="E618" s="466"/>
      <c r="F618" s="466"/>
      <c r="G618" s="466"/>
      <c r="H618" s="466"/>
      <c r="I618" s="466"/>
      <c r="J618" s="466"/>
      <c r="K618" s="466"/>
      <c r="R618" s="467"/>
      <c r="S618" s="467"/>
      <c r="T618" s="467"/>
      <c r="U618" s="467"/>
      <c r="V618" s="467"/>
      <c r="W618" s="467"/>
      <c r="AA618" s="467"/>
      <c r="AB618" s="467"/>
      <c r="AC618" s="467"/>
      <c r="AD618" s="467"/>
      <c r="AE618" s="467"/>
      <c r="AF618" s="467"/>
      <c r="AG618" s="467"/>
    </row>
    <row r="619" spans="5:33" ht="15">
      <c r="E619" s="466"/>
      <c r="F619" s="466"/>
      <c r="G619" s="466"/>
      <c r="H619" s="466"/>
      <c r="I619" s="466"/>
      <c r="J619" s="466"/>
      <c r="K619" s="466"/>
      <c r="R619" s="467"/>
      <c r="S619" s="467"/>
      <c r="T619" s="467"/>
      <c r="U619" s="467"/>
      <c r="V619" s="467"/>
      <c r="W619" s="467"/>
      <c r="AA619" s="467"/>
      <c r="AB619" s="467"/>
      <c r="AC619" s="467"/>
      <c r="AD619" s="467"/>
      <c r="AE619" s="467"/>
      <c r="AF619" s="467"/>
      <c r="AG619" s="467"/>
    </row>
    <row r="620" spans="5:33" ht="15">
      <c r="E620" s="466"/>
      <c r="F620" s="466"/>
      <c r="G620" s="466"/>
      <c r="H620" s="466"/>
      <c r="I620" s="466"/>
      <c r="J620" s="466"/>
      <c r="K620" s="466"/>
      <c r="R620" s="467"/>
      <c r="S620" s="467"/>
      <c r="T620" s="467"/>
      <c r="U620" s="467"/>
      <c r="V620" s="467"/>
      <c r="W620" s="467"/>
      <c r="AA620" s="467"/>
      <c r="AB620" s="467"/>
      <c r="AC620" s="467"/>
      <c r="AD620" s="467"/>
      <c r="AE620" s="467"/>
      <c r="AF620" s="467"/>
      <c r="AG620" s="467"/>
    </row>
    <row r="621" spans="5:33" ht="15">
      <c r="E621" s="466"/>
      <c r="F621" s="466"/>
      <c r="G621" s="466"/>
      <c r="H621" s="466"/>
      <c r="I621" s="466"/>
      <c r="J621" s="466"/>
      <c r="K621" s="466"/>
      <c r="R621" s="467"/>
      <c r="S621" s="467"/>
      <c r="T621" s="467"/>
      <c r="U621" s="467"/>
      <c r="V621" s="467"/>
      <c r="W621" s="467"/>
      <c r="AA621" s="467"/>
      <c r="AB621" s="467"/>
      <c r="AC621" s="467"/>
      <c r="AD621" s="467"/>
      <c r="AE621" s="467"/>
      <c r="AF621" s="467"/>
      <c r="AG621" s="467"/>
    </row>
    <row r="622" spans="5:33" ht="15">
      <c r="E622" s="466"/>
      <c r="F622" s="466"/>
      <c r="G622" s="466"/>
      <c r="H622" s="466"/>
      <c r="I622" s="466"/>
      <c r="J622" s="466"/>
      <c r="K622" s="466"/>
      <c r="R622" s="467"/>
      <c r="S622" s="467"/>
      <c r="T622" s="467"/>
      <c r="U622" s="467"/>
      <c r="V622" s="467"/>
      <c r="W622" s="467"/>
      <c r="AA622" s="467"/>
      <c r="AB622" s="467"/>
      <c r="AC622" s="467"/>
      <c r="AD622" s="467"/>
      <c r="AE622" s="467"/>
      <c r="AF622" s="467"/>
      <c r="AG622" s="467"/>
    </row>
    <row r="623" spans="5:33" ht="15">
      <c r="E623" s="466"/>
      <c r="F623" s="466"/>
      <c r="G623" s="466"/>
      <c r="H623" s="466"/>
      <c r="I623" s="466"/>
      <c r="J623" s="466"/>
      <c r="K623" s="466"/>
      <c r="R623" s="467"/>
      <c r="S623" s="467"/>
      <c r="T623" s="467"/>
      <c r="U623" s="467"/>
      <c r="V623" s="467"/>
      <c r="W623" s="467"/>
      <c r="AA623" s="467"/>
      <c r="AB623" s="467"/>
      <c r="AC623" s="467"/>
      <c r="AD623" s="467"/>
      <c r="AE623" s="467"/>
      <c r="AF623" s="467"/>
      <c r="AG623" s="467"/>
    </row>
    <row r="624" spans="5:33" ht="15">
      <c r="E624" s="466"/>
      <c r="F624" s="466"/>
      <c r="G624" s="466"/>
      <c r="H624" s="466"/>
      <c r="I624" s="466"/>
      <c r="J624" s="466"/>
      <c r="K624" s="466"/>
      <c r="R624" s="467"/>
      <c r="S624" s="467"/>
      <c r="T624" s="467"/>
      <c r="U624" s="467"/>
      <c r="V624" s="467"/>
      <c r="W624" s="467"/>
      <c r="AA624" s="467"/>
      <c r="AB624" s="467"/>
      <c r="AC624" s="467"/>
      <c r="AD624" s="467"/>
      <c r="AE624" s="467"/>
      <c r="AF624" s="467"/>
      <c r="AG624" s="467"/>
    </row>
    <row r="625" spans="5:33" ht="15">
      <c r="E625" s="466"/>
      <c r="F625" s="466"/>
      <c r="G625" s="466"/>
      <c r="H625" s="466"/>
      <c r="I625" s="466"/>
      <c r="J625" s="466"/>
      <c r="K625" s="466"/>
      <c r="R625" s="467"/>
      <c r="S625" s="467"/>
      <c r="T625" s="467"/>
      <c r="U625" s="467"/>
      <c r="V625" s="467"/>
      <c r="W625" s="467"/>
      <c r="AA625" s="467"/>
      <c r="AB625" s="467"/>
      <c r="AC625" s="467"/>
      <c r="AD625" s="467"/>
      <c r="AE625" s="467"/>
      <c r="AF625" s="467"/>
      <c r="AG625" s="467"/>
    </row>
    <row r="626" spans="5:33" ht="15">
      <c r="E626" s="466"/>
      <c r="F626" s="466"/>
      <c r="G626" s="466"/>
      <c r="H626" s="466"/>
      <c r="I626" s="466"/>
      <c r="J626" s="466"/>
      <c r="K626" s="466"/>
      <c r="R626" s="467"/>
      <c r="S626" s="467"/>
      <c r="T626" s="467"/>
      <c r="U626" s="467"/>
      <c r="V626" s="467"/>
      <c r="W626" s="467"/>
      <c r="AA626" s="467"/>
      <c r="AB626" s="467"/>
      <c r="AC626" s="467"/>
      <c r="AD626" s="467"/>
      <c r="AE626" s="467"/>
      <c r="AF626" s="467"/>
      <c r="AG626" s="467"/>
    </row>
    <row r="627" spans="5:33" ht="15">
      <c r="E627" s="466"/>
      <c r="F627" s="466"/>
      <c r="G627" s="466"/>
      <c r="H627" s="466"/>
      <c r="I627" s="466"/>
      <c r="J627" s="466"/>
      <c r="K627" s="466"/>
      <c r="R627" s="467"/>
      <c r="S627" s="467"/>
      <c r="T627" s="467"/>
      <c r="U627" s="467"/>
      <c r="V627" s="467"/>
      <c r="W627" s="467"/>
      <c r="AA627" s="467"/>
      <c r="AB627" s="467"/>
      <c r="AC627" s="467"/>
      <c r="AD627" s="467"/>
      <c r="AE627" s="467"/>
      <c r="AF627" s="467"/>
      <c r="AG627" s="467"/>
    </row>
    <row r="628" spans="5:33" ht="15">
      <c r="E628" s="466"/>
      <c r="F628" s="466"/>
      <c r="G628" s="466"/>
      <c r="H628" s="466"/>
      <c r="I628" s="466"/>
      <c r="J628" s="466"/>
      <c r="K628" s="466"/>
      <c r="R628" s="467"/>
      <c r="S628" s="467"/>
      <c r="T628" s="467"/>
      <c r="U628" s="467"/>
      <c r="V628" s="467"/>
      <c r="W628" s="467"/>
      <c r="AA628" s="467"/>
      <c r="AB628" s="467"/>
      <c r="AC628" s="467"/>
      <c r="AD628" s="467"/>
      <c r="AE628" s="467"/>
      <c r="AF628" s="467"/>
      <c r="AG628" s="467"/>
    </row>
    <row r="629" spans="5:33" ht="15">
      <c r="E629" s="466"/>
      <c r="F629" s="466"/>
      <c r="G629" s="466"/>
      <c r="H629" s="466"/>
      <c r="I629" s="466"/>
      <c r="J629" s="466"/>
      <c r="K629" s="466"/>
      <c r="R629" s="467"/>
      <c r="S629" s="467"/>
      <c r="T629" s="467"/>
      <c r="U629" s="467"/>
      <c r="V629" s="467"/>
      <c r="W629" s="467"/>
      <c r="AA629" s="467"/>
      <c r="AB629" s="467"/>
      <c r="AC629" s="467"/>
      <c r="AD629" s="467"/>
      <c r="AE629" s="467"/>
      <c r="AF629" s="467"/>
      <c r="AG629" s="467"/>
    </row>
    <row r="630" spans="5:33" ht="15">
      <c r="E630" s="466"/>
      <c r="F630" s="466"/>
      <c r="G630" s="466"/>
      <c r="H630" s="466"/>
      <c r="I630" s="466"/>
      <c r="J630" s="466"/>
      <c r="K630" s="466"/>
      <c r="R630" s="467"/>
      <c r="S630" s="467"/>
      <c r="T630" s="467"/>
      <c r="U630" s="467"/>
      <c r="V630" s="467"/>
      <c r="W630" s="467"/>
      <c r="AA630" s="467"/>
      <c r="AB630" s="467"/>
      <c r="AC630" s="467"/>
      <c r="AD630" s="467"/>
      <c r="AE630" s="467"/>
      <c r="AF630" s="467"/>
      <c r="AG630" s="467"/>
    </row>
    <row r="631" spans="5:33" ht="15">
      <c r="E631" s="466"/>
      <c r="F631" s="466"/>
      <c r="G631" s="466"/>
      <c r="H631" s="466"/>
      <c r="I631" s="466"/>
      <c r="J631" s="466"/>
      <c r="K631" s="466"/>
      <c r="R631" s="467"/>
      <c r="S631" s="467"/>
      <c r="T631" s="467"/>
      <c r="U631" s="467"/>
      <c r="V631" s="467"/>
      <c r="W631" s="467"/>
      <c r="AA631" s="467"/>
      <c r="AB631" s="467"/>
      <c r="AC631" s="467"/>
      <c r="AD631" s="467"/>
      <c r="AE631" s="467"/>
      <c r="AF631" s="467"/>
      <c r="AG631" s="467"/>
    </row>
    <row r="632" spans="5:33" ht="15">
      <c r="E632" s="466"/>
      <c r="F632" s="466"/>
      <c r="G632" s="466"/>
      <c r="H632" s="466"/>
      <c r="I632" s="466"/>
      <c r="J632" s="466"/>
      <c r="K632" s="466"/>
      <c r="R632" s="467"/>
      <c r="S632" s="467"/>
      <c r="T632" s="467"/>
      <c r="U632" s="467"/>
      <c r="V632" s="467"/>
      <c r="W632" s="467"/>
      <c r="AA632" s="467"/>
      <c r="AB632" s="467"/>
      <c r="AC632" s="467"/>
      <c r="AD632" s="467"/>
      <c r="AE632" s="467"/>
      <c r="AF632" s="467"/>
      <c r="AG632" s="467"/>
    </row>
    <row r="633" spans="5:33" ht="15">
      <c r="E633" s="466"/>
      <c r="F633" s="466"/>
      <c r="G633" s="466"/>
      <c r="H633" s="466"/>
      <c r="I633" s="466"/>
      <c r="J633" s="466"/>
      <c r="K633" s="466"/>
      <c r="R633" s="467"/>
      <c r="S633" s="467"/>
      <c r="T633" s="467"/>
      <c r="U633" s="467"/>
      <c r="V633" s="467"/>
      <c r="W633" s="467"/>
      <c r="AA633" s="467"/>
      <c r="AB633" s="467"/>
      <c r="AC633" s="467"/>
      <c r="AD633" s="467"/>
      <c r="AE633" s="467"/>
      <c r="AF633" s="467"/>
      <c r="AG633" s="467"/>
    </row>
    <row r="634" spans="5:33" ht="15">
      <c r="E634" s="466"/>
      <c r="F634" s="466"/>
      <c r="G634" s="466"/>
      <c r="H634" s="466"/>
      <c r="I634" s="466"/>
      <c r="J634" s="466"/>
      <c r="K634" s="466"/>
      <c r="R634" s="467"/>
      <c r="S634" s="467"/>
      <c r="T634" s="467"/>
      <c r="U634" s="467"/>
      <c r="V634" s="467"/>
      <c r="W634" s="467"/>
      <c r="AA634" s="467"/>
      <c r="AB634" s="467"/>
      <c r="AC634" s="467"/>
      <c r="AD634" s="467"/>
      <c r="AE634" s="467"/>
      <c r="AF634" s="467"/>
      <c r="AG634" s="467"/>
    </row>
    <row r="635" spans="5:33" ht="15">
      <c r="E635" s="466"/>
      <c r="F635" s="466"/>
      <c r="G635" s="466"/>
      <c r="H635" s="466"/>
      <c r="I635" s="466"/>
      <c r="J635" s="466"/>
      <c r="K635" s="466"/>
      <c r="R635" s="467"/>
      <c r="S635" s="467"/>
      <c r="T635" s="467"/>
      <c r="U635" s="467"/>
      <c r="V635" s="467"/>
      <c r="W635" s="467"/>
      <c r="AA635" s="467"/>
      <c r="AB635" s="467"/>
      <c r="AC635" s="467"/>
      <c r="AD635" s="467"/>
      <c r="AE635" s="467"/>
      <c r="AF635" s="467"/>
      <c r="AG635" s="467"/>
    </row>
    <row r="636" spans="5:33" ht="15">
      <c r="E636" s="466"/>
      <c r="F636" s="466"/>
      <c r="G636" s="466"/>
      <c r="H636" s="466"/>
      <c r="I636" s="466"/>
      <c r="J636" s="466"/>
      <c r="K636" s="466"/>
      <c r="R636" s="467"/>
      <c r="S636" s="467"/>
      <c r="T636" s="467"/>
      <c r="U636" s="467"/>
      <c r="V636" s="467"/>
      <c r="W636" s="467"/>
      <c r="AA636" s="467"/>
      <c r="AB636" s="467"/>
      <c r="AC636" s="467"/>
      <c r="AD636" s="467"/>
      <c r="AE636" s="467"/>
      <c r="AF636" s="467"/>
      <c r="AG636" s="467"/>
    </row>
    <row r="637" spans="5:33" ht="15">
      <c r="E637" s="466"/>
      <c r="F637" s="466"/>
      <c r="G637" s="466"/>
      <c r="H637" s="466"/>
      <c r="I637" s="466"/>
      <c r="J637" s="466"/>
      <c r="K637" s="466"/>
      <c r="R637" s="467"/>
      <c r="S637" s="467"/>
      <c r="T637" s="467"/>
      <c r="U637" s="467"/>
      <c r="V637" s="467"/>
      <c r="W637" s="467"/>
      <c r="AA637" s="467"/>
      <c r="AB637" s="467"/>
      <c r="AC637" s="467"/>
      <c r="AD637" s="467"/>
      <c r="AE637" s="467"/>
      <c r="AF637" s="467"/>
      <c r="AG637" s="467"/>
    </row>
    <row r="638" spans="5:33" ht="15">
      <c r="E638" s="466"/>
      <c r="F638" s="466"/>
      <c r="G638" s="466"/>
      <c r="H638" s="466"/>
      <c r="I638" s="466"/>
      <c r="J638" s="466"/>
      <c r="K638" s="466"/>
      <c r="R638" s="467"/>
      <c r="S638" s="467"/>
      <c r="T638" s="467"/>
      <c r="U638" s="467"/>
      <c r="V638" s="467"/>
      <c r="W638" s="467"/>
      <c r="AA638" s="467"/>
      <c r="AB638" s="467"/>
      <c r="AC638" s="467"/>
      <c r="AD638" s="467"/>
      <c r="AE638" s="467"/>
      <c r="AF638" s="467"/>
      <c r="AG638" s="467"/>
    </row>
    <row r="639" spans="5:33" ht="15">
      <c r="E639" s="466"/>
      <c r="F639" s="466"/>
      <c r="G639" s="466"/>
      <c r="H639" s="466"/>
      <c r="I639" s="466"/>
      <c r="J639" s="466"/>
      <c r="K639" s="466"/>
      <c r="R639" s="467"/>
      <c r="S639" s="467"/>
      <c r="T639" s="467"/>
      <c r="U639" s="467"/>
      <c r="V639" s="467"/>
      <c r="W639" s="467"/>
      <c r="AA639" s="467"/>
      <c r="AB639" s="467"/>
      <c r="AC639" s="467"/>
      <c r="AD639" s="467"/>
      <c r="AE639" s="467"/>
      <c r="AF639" s="467"/>
      <c r="AG639" s="467"/>
    </row>
    <row r="640" spans="5:33" ht="15">
      <c r="E640" s="466"/>
      <c r="F640" s="466"/>
      <c r="G640" s="466"/>
      <c r="H640" s="466"/>
      <c r="I640" s="466"/>
      <c r="J640" s="466"/>
      <c r="K640" s="466"/>
      <c r="R640" s="467"/>
      <c r="S640" s="467"/>
      <c r="T640" s="467"/>
      <c r="U640" s="467"/>
      <c r="V640" s="467"/>
      <c r="W640" s="467"/>
      <c r="AA640" s="467"/>
      <c r="AB640" s="467"/>
      <c r="AC640" s="467"/>
      <c r="AD640" s="467"/>
      <c r="AE640" s="467"/>
      <c r="AF640" s="467"/>
      <c r="AG640" s="467"/>
    </row>
    <row r="641" spans="5:33" ht="15">
      <c r="E641" s="466"/>
      <c r="F641" s="466"/>
      <c r="G641" s="466"/>
      <c r="H641" s="466"/>
      <c r="I641" s="466"/>
      <c r="J641" s="466"/>
      <c r="K641" s="466"/>
      <c r="R641" s="467"/>
      <c r="S641" s="467"/>
      <c r="T641" s="467"/>
      <c r="U641" s="467"/>
      <c r="V641" s="467"/>
      <c r="W641" s="467"/>
      <c r="AA641" s="467"/>
      <c r="AB641" s="467"/>
      <c r="AC641" s="467"/>
      <c r="AD641" s="467"/>
      <c r="AE641" s="467"/>
      <c r="AF641" s="467"/>
      <c r="AG641" s="467"/>
    </row>
    <row r="642" spans="5:33" ht="15">
      <c r="E642" s="466"/>
      <c r="F642" s="466"/>
      <c r="G642" s="466"/>
      <c r="H642" s="466"/>
      <c r="I642" s="466"/>
      <c r="J642" s="466"/>
      <c r="K642" s="466"/>
      <c r="R642" s="467"/>
      <c r="S642" s="467"/>
      <c r="T642" s="467"/>
      <c r="U642" s="467"/>
      <c r="V642" s="467"/>
      <c r="W642" s="467"/>
      <c r="AA642" s="467"/>
      <c r="AB642" s="467"/>
      <c r="AC642" s="467"/>
      <c r="AD642" s="467"/>
      <c r="AE642" s="467"/>
      <c r="AF642" s="467"/>
      <c r="AG642" s="467"/>
    </row>
    <row r="643" spans="5:33" ht="15">
      <c r="E643" s="466"/>
      <c r="F643" s="466"/>
      <c r="G643" s="466"/>
      <c r="H643" s="466"/>
      <c r="I643" s="466"/>
      <c r="J643" s="466"/>
      <c r="K643" s="466"/>
      <c r="R643" s="467"/>
      <c r="S643" s="467"/>
      <c r="T643" s="467"/>
      <c r="U643" s="467"/>
      <c r="V643" s="467"/>
      <c r="W643" s="467"/>
      <c r="AA643" s="467"/>
      <c r="AB643" s="467"/>
      <c r="AC643" s="467"/>
      <c r="AD643" s="467"/>
      <c r="AE643" s="467"/>
      <c r="AF643" s="467"/>
      <c r="AG643" s="467"/>
    </row>
    <row r="644" spans="5:33" ht="15">
      <c r="E644" s="466"/>
      <c r="F644" s="466"/>
      <c r="G644" s="466"/>
      <c r="H644" s="466"/>
      <c r="I644" s="466"/>
      <c r="J644" s="466"/>
      <c r="K644" s="466"/>
      <c r="R644" s="467"/>
      <c r="S644" s="467"/>
      <c r="T644" s="467"/>
      <c r="U644" s="467"/>
      <c r="V644" s="467"/>
      <c r="W644" s="467"/>
      <c r="AA644" s="467"/>
      <c r="AB644" s="467"/>
      <c r="AC644" s="467"/>
      <c r="AD644" s="467"/>
      <c r="AE644" s="467"/>
      <c r="AF644" s="467"/>
      <c r="AG644" s="467"/>
    </row>
    <row r="645" spans="5:33" ht="15">
      <c r="E645" s="466"/>
      <c r="F645" s="466"/>
      <c r="G645" s="466"/>
      <c r="H645" s="466"/>
      <c r="I645" s="466"/>
      <c r="J645" s="466"/>
      <c r="K645" s="466"/>
      <c r="R645" s="467"/>
      <c r="S645" s="467"/>
      <c r="T645" s="467"/>
      <c r="U645" s="467"/>
      <c r="V645" s="467"/>
      <c r="W645" s="467"/>
      <c r="AA645" s="467"/>
      <c r="AB645" s="467"/>
      <c r="AC645" s="467"/>
      <c r="AD645" s="467"/>
      <c r="AE645" s="467"/>
      <c r="AF645" s="467"/>
      <c r="AG645" s="467"/>
    </row>
    <row r="646" spans="5:33" ht="15">
      <c r="E646" s="466"/>
      <c r="F646" s="466"/>
      <c r="G646" s="466"/>
      <c r="H646" s="466"/>
      <c r="I646" s="466"/>
      <c r="J646" s="466"/>
      <c r="K646" s="466"/>
      <c r="R646" s="467"/>
      <c r="S646" s="467"/>
      <c r="T646" s="467"/>
      <c r="U646" s="467"/>
      <c r="V646" s="467"/>
      <c r="W646" s="467"/>
      <c r="AA646" s="467"/>
      <c r="AB646" s="467"/>
      <c r="AC646" s="467"/>
      <c r="AD646" s="467"/>
      <c r="AE646" s="467"/>
      <c r="AF646" s="467"/>
      <c r="AG646" s="467"/>
    </row>
    <row r="647" spans="5:33" ht="15">
      <c r="E647" s="466"/>
      <c r="F647" s="466"/>
      <c r="G647" s="466"/>
      <c r="H647" s="466"/>
      <c r="I647" s="466"/>
      <c r="J647" s="466"/>
      <c r="K647" s="466"/>
      <c r="R647" s="467"/>
      <c r="S647" s="467"/>
      <c r="T647" s="467"/>
      <c r="U647" s="467"/>
      <c r="V647" s="467"/>
      <c r="W647" s="467"/>
      <c r="AA647" s="467"/>
      <c r="AB647" s="467"/>
      <c r="AC647" s="467"/>
      <c r="AD647" s="467"/>
      <c r="AE647" s="467"/>
      <c r="AF647" s="467"/>
      <c r="AG647" s="467"/>
    </row>
    <row r="648" spans="5:33" ht="15">
      <c r="E648" s="466"/>
      <c r="F648" s="466"/>
      <c r="G648" s="466"/>
      <c r="H648" s="466"/>
      <c r="I648" s="466"/>
      <c r="J648" s="466"/>
      <c r="K648" s="466"/>
      <c r="R648" s="467"/>
      <c r="S648" s="467"/>
      <c r="T648" s="467"/>
      <c r="U648" s="467"/>
      <c r="V648" s="467"/>
      <c r="W648" s="467"/>
      <c r="AA648" s="467"/>
      <c r="AB648" s="467"/>
      <c r="AC648" s="467"/>
      <c r="AD648" s="467"/>
      <c r="AE648" s="467"/>
      <c r="AF648" s="467"/>
      <c r="AG648" s="467"/>
    </row>
    <row r="649" spans="5:33" ht="15">
      <c r="E649" s="466"/>
      <c r="F649" s="466"/>
      <c r="G649" s="466"/>
      <c r="H649" s="466"/>
      <c r="I649" s="466"/>
      <c r="J649" s="466"/>
      <c r="K649" s="466"/>
      <c r="R649" s="467"/>
      <c r="S649" s="467"/>
      <c r="T649" s="467"/>
      <c r="U649" s="467"/>
      <c r="V649" s="467"/>
      <c r="W649" s="467"/>
      <c r="AA649" s="467"/>
      <c r="AB649" s="467"/>
      <c r="AC649" s="467"/>
      <c r="AD649" s="467"/>
      <c r="AE649" s="467"/>
      <c r="AF649" s="467"/>
      <c r="AG649" s="467"/>
    </row>
    <row r="650" spans="5:33" ht="15">
      <c r="E650" s="466"/>
      <c r="F650" s="466"/>
      <c r="G650" s="466"/>
      <c r="H650" s="466"/>
      <c r="I650" s="466"/>
      <c r="J650" s="466"/>
      <c r="K650" s="466"/>
      <c r="R650" s="467"/>
      <c r="S650" s="467"/>
      <c r="T650" s="467"/>
      <c r="U650" s="467"/>
      <c r="V650" s="467"/>
      <c r="W650" s="467"/>
      <c r="AA650" s="467"/>
      <c r="AB650" s="467"/>
      <c r="AC650" s="467"/>
      <c r="AD650" s="467"/>
      <c r="AE650" s="467"/>
      <c r="AF650" s="467"/>
      <c r="AG650" s="467"/>
    </row>
    <row r="651" spans="5:33" ht="15">
      <c r="E651" s="466"/>
      <c r="F651" s="466"/>
      <c r="G651" s="466"/>
      <c r="H651" s="466"/>
      <c r="I651" s="466"/>
      <c r="J651" s="466"/>
      <c r="K651" s="466"/>
      <c r="R651" s="467"/>
      <c r="S651" s="467"/>
      <c r="T651" s="467"/>
      <c r="U651" s="467"/>
      <c r="V651" s="467"/>
      <c r="W651" s="467"/>
      <c r="AA651" s="467"/>
      <c r="AB651" s="467"/>
      <c r="AC651" s="467"/>
      <c r="AD651" s="467"/>
      <c r="AE651" s="467"/>
      <c r="AF651" s="467"/>
      <c r="AG651" s="467"/>
    </row>
    <row r="652" spans="5:33" ht="15">
      <c r="E652" s="466"/>
      <c r="F652" s="466"/>
      <c r="G652" s="466"/>
      <c r="H652" s="466"/>
      <c r="I652" s="466"/>
      <c r="J652" s="466"/>
      <c r="K652" s="466"/>
      <c r="R652" s="467"/>
      <c r="S652" s="467"/>
      <c r="T652" s="467"/>
      <c r="U652" s="467"/>
      <c r="V652" s="467"/>
      <c r="W652" s="467"/>
      <c r="AA652" s="467"/>
      <c r="AB652" s="467"/>
      <c r="AC652" s="467"/>
      <c r="AD652" s="467"/>
      <c r="AE652" s="467"/>
      <c r="AF652" s="467"/>
      <c r="AG652" s="467"/>
    </row>
    <row r="653" spans="5:33" ht="15">
      <c r="E653" s="466"/>
      <c r="F653" s="466"/>
      <c r="G653" s="466"/>
      <c r="H653" s="466"/>
      <c r="I653" s="466"/>
      <c r="J653" s="466"/>
      <c r="K653" s="466"/>
      <c r="R653" s="467"/>
      <c r="S653" s="467"/>
      <c r="T653" s="467"/>
      <c r="U653" s="467"/>
      <c r="V653" s="467"/>
      <c r="W653" s="467"/>
      <c r="AA653" s="467"/>
      <c r="AB653" s="467"/>
      <c r="AC653" s="467"/>
      <c r="AD653" s="467"/>
      <c r="AE653" s="467"/>
      <c r="AF653" s="467"/>
      <c r="AG653" s="467"/>
    </row>
    <row r="654" spans="5:33" ht="15">
      <c r="E654" s="466"/>
      <c r="F654" s="466"/>
      <c r="G654" s="466"/>
      <c r="H654" s="466"/>
      <c r="I654" s="466"/>
      <c r="J654" s="466"/>
      <c r="K654" s="466"/>
      <c r="R654" s="467"/>
      <c r="S654" s="467"/>
      <c r="T654" s="467"/>
      <c r="U654" s="467"/>
      <c r="V654" s="467"/>
      <c r="W654" s="467"/>
      <c r="AA654" s="467"/>
      <c r="AB654" s="467"/>
      <c r="AC654" s="467"/>
      <c r="AD654" s="467"/>
      <c r="AE654" s="467"/>
      <c r="AF654" s="467"/>
      <c r="AG654" s="467"/>
    </row>
    <row r="655" spans="5:33" ht="15">
      <c r="E655" s="466"/>
      <c r="F655" s="466"/>
      <c r="G655" s="466"/>
      <c r="H655" s="466"/>
      <c r="I655" s="466"/>
      <c r="J655" s="466"/>
      <c r="K655" s="466"/>
      <c r="R655" s="467"/>
      <c r="S655" s="467"/>
      <c r="T655" s="467"/>
      <c r="U655" s="467"/>
      <c r="V655" s="467"/>
      <c r="W655" s="467"/>
      <c r="AA655" s="467"/>
      <c r="AB655" s="467"/>
      <c r="AC655" s="467"/>
      <c r="AD655" s="467"/>
      <c r="AE655" s="467"/>
      <c r="AF655" s="467"/>
      <c r="AG655" s="467"/>
    </row>
    <row r="656" spans="5:33" ht="15">
      <c r="E656" s="466"/>
      <c r="F656" s="466"/>
      <c r="G656" s="466"/>
      <c r="H656" s="466"/>
      <c r="I656" s="466"/>
      <c r="J656" s="466"/>
      <c r="K656" s="466"/>
      <c r="R656" s="467"/>
      <c r="S656" s="467"/>
      <c r="T656" s="467"/>
      <c r="U656" s="467"/>
      <c r="V656" s="467"/>
      <c r="W656" s="467"/>
      <c r="AA656" s="467"/>
      <c r="AB656" s="467"/>
      <c r="AC656" s="467"/>
      <c r="AD656" s="467"/>
      <c r="AE656" s="467"/>
      <c r="AF656" s="467"/>
      <c r="AG656" s="467"/>
    </row>
    <row r="657" spans="5:33" ht="15">
      <c r="E657" s="466"/>
      <c r="F657" s="466"/>
      <c r="G657" s="466"/>
      <c r="H657" s="466"/>
      <c r="I657" s="466"/>
      <c r="J657" s="466"/>
      <c r="K657" s="466"/>
      <c r="R657" s="467"/>
      <c r="S657" s="467"/>
      <c r="T657" s="467"/>
      <c r="U657" s="467"/>
      <c r="V657" s="467"/>
      <c r="W657" s="467"/>
      <c r="AA657" s="467"/>
      <c r="AB657" s="467"/>
      <c r="AC657" s="467"/>
      <c r="AD657" s="467"/>
      <c r="AE657" s="467"/>
      <c r="AF657" s="467"/>
      <c r="AG657" s="467"/>
    </row>
    <row r="658" spans="5:33" ht="15">
      <c r="E658" s="466"/>
      <c r="F658" s="466"/>
      <c r="G658" s="466"/>
      <c r="H658" s="466"/>
      <c r="I658" s="466"/>
      <c r="J658" s="466"/>
      <c r="K658" s="466"/>
      <c r="R658" s="467"/>
      <c r="S658" s="467"/>
      <c r="T658" s="467"/>
      <c r="U658" s="467"/>
      <c r="V658" s="467"/>
      <c r="W658" s="467"/>
      <c r="AA658" s="467"/>
      <c r="AB658" s="467"/>
      <c r="AC658" s="467"/>
      <c r="AD658" s="467"/>
      <c r="AE658" s="467"/>
      <c r="AF658" s="467"/>
      <c r="AG658" s="467"/>
    </row>
    <row r="659" spans="5:33" ht="15">
      <c r="E659" s="466"/>
      <c r="F659" s="466"/>
      <c r="G659" s="466"/>
      <c r="H659" s="466"/>
      <c r="I659" s="466"/>
      <c r="J659" s="466"/>
      <c r="K659" s="466"/>
      <c r="R659" s="467"/>
      <c r="S659" s="467"/>
      <c r="T659" s="467"/>
      <c r="U659" s="467"/>
      <c r="V659" s="467"/>
      <c r="W659" s="467"/>
      <c r="AA659" s="467"/>
      <c r="AB659" s="467"/>
      <c r="AC659" s="467"/>
      <c r="AD659" s="467"/>
      <c r="AE659" s="467"/>
      <c r="AF659" s="467"/>
      <c r="AG659" s="467"/>
    </row>
    <row r="660" spans="5:33" ht="15">
      <c r="E660" s="466"/>
      <c r="F660" s="466"/>
      <c r="G660" s="466"/>
      <c r="H660" s="466"/>
      <c r="I660" s="466"/>
      <c r="J660" s="466"/>
      <c r="K660" s="466"/>
      <c r="R660" s="467"/>
      <c r="S660" s="467"/>
      <c r="T660" s="467"/>
      <c r="U660" s="467"/>
      <c r="V660" s="467"/>
      <c r="W660" s="467"/>
      <c r="AA660" s="467"/>
      <c r="AB660" s="467"/>
      <c r="AC660" s="467"/>
      <c r="AD660" s="467"/>
      <c r="AE660" s="467"/>
      <c r="AF660" s="467"/>
      <c r="AG660" s="467"/>
    </row>
    <row r="661" spans="5:33" ht="15">
      <c r="E661" s="466"/>
      <c r="F661" s="466"/>
      <c r="G661" s="466"/>
      <c r="H661" s="466"/>
      <c r="I661" s="466"/>
      <c r="J661" s="466"/>
      <c r="K661" s="466"/>
      <c r="R661" s="467"/>
      <c r="S661" s="467"/>
      <c r="T661" s="467"/>
      <c r="U661" s="467"/>
      <c r="V661" s="467"/>
      <c r="W661" s="467"/>
      <c r="AA661" s="467"/>
      <c r="AB661" s="467"/>
      <c r="AC661" s="467"/>
      <c r="AD661" s="467"/>
      <c r="AE661" s="467"/>
      <c r="AF661" s="467"/>
      <c r="AG661" s="467"/>
    </row>
    <row r="662" spans="5:33" ht="15">
      <c r="E662" s="466"/>
      <c r="F662" s="466"/>
      <c r="G662" s="466"/>
      <c r="H662" s="466"/>
      <c r="I662" s="466"/>
      <c r="J662" s="466"/>
      <c r="K662" s="466"/>
      <c r="R662" s="467"/>
      <c r="S662" s="467"/>
      <c r="T662" s="467"/>
      <c r="U662" s="467"/>
      <c r="V662" s="467"/>
      <c r="W662" s="467"/>
      <c r="AA662" s="467"/>
      <c r="AB662" s="467"/>
      <c r="AC662" s="467"/>
      <c r="AD662" s="467"/>
      <c r="AE662" s="467"/>
      <c r="AF662" s="467"/>
      <c r="AG662" s="467"/>
    </row>
    <row r="663" spans="5:33" ht="15">
      <c r="E663" s="466"/>
      <c r="F663" s="466"/>
      <c r="G663" s="466"/>
      <c r="H663" s="466"/>
      <c r="I663" s="466"/>
      <c r="J663" s="466"/>
      <c r="K663" s="466"/>
      <c r="R663" s="467"/>
      <c r="S663" s="467"/>
      <c r="T663" s="467"/>
      <c r="U663" s="467"/>
      <c r="V663" s="467"/>
      <c r="W663" s="467"/>
      <c r="AA663" s="467"/>
      <c r="AB663" s="467"/>
      <c r="AC663" s="467"/>
      <c r="AD663" s="467"/>
      <c r="AE663" s="467"/>
      <c r="AF663" s="467"/>
      <c r="AG663" s="467"/>
    </row>
    <row r="664" spans="5:33" ht="15">
      <c r="E664" s="466"/>
      <c r="F664" s="466"/>
      <c r="G664" s="466"/>
      <c r="H664" s="466"/>
      <c r="I664" s="466"/>
      <c r="J664" s="466"/>
      <c r="K664" s="466"/>
      <c r="R664" s="467"/>
      <c r="S664" s="467"/>
      <c r="T664" s="467"/>
      <c r="U664" s="467"/>
      <c r="V664" s="467"/>
      <c r="W664" s="467"/>
      <c r="AA664" s="467"/>
      <c r="AB664" s="467"/>
      <c r="AC664" s="467"/>
      <c r="AD664" s="467"/>
      <c r="AE664" s="467"/>
      <c r="AF664" s="467"/>
      <c r="AG664" s="467"/>
    </row>
    <row r="665" spans="5:33" ht="15">
      <c r="E665" s="466"/>
      <c r="F665" s="466"/>
      <c r="G665" s="466"/>
      <c r="H665" s="466"/>
      <c r="I665" s="466"/>
      <c r="J665" s="466"/>
      <c r="K665" s="466"/>
      <c r="R665" s="467"/>
      <c r="S665" s="467"/>
      <c r="T665" s="467"/>
      <c r="U665" s="467"/>
      <c r="V665" s="467"/>
      <c r="W665" s="467"/>
      <c r="AA665" s="467"/>
      <c r="AB665" s="467"/>
      <c r="AC665" s="467"/>
      <c r="AD665" s="467"/>
      <c r="AE665" s="467"/>
      <c r="AF665" s="467"/>
      <c r="AG665" s="467"/>
    </row>
    <row r="666" spans="5:33" ht="15">
      <c r="E666" s="466"/>
      <c r="F666" s="466"/>
      <c r="G666" s="466"/>
      <c r="H666" s="466"/>
      <c r="I666" s="466"/>
      <c r="J666" s="466"/>
      <c r="K666" s="466"/>
      <c r="R666" s="467"/>
      <c r="S666" s="467"/>
      <c r="T666" s="467"/>
      <c r="U666" s="467"/>
      <c r="V666" s="467"/>
      <c r="W666" s="467"/>
      <c r="AA666" s="467"/>
      <c r="AB666" s="467"/>
      <c r="AC666" s="467"/>
      <c r="AD666" s="467"/>
      <c r="AE666" s="467"/>
      <c r="AF666" s="467"/>
      <c r="AG666" s="467"/>
    </row>
    <row r="667" spans="5:33" ht="15">
      <c r="E667" s="466"/>
      <c r="F667" s="466"/>
      <c r="G667" s="466"/>
      <c r="H667" s="466"/>
      <c r="I667" s="466"/>
      <c r="J667" s="466"/>
      <c r="K667" s="466"/>
      <c r="R667" s="467"/>
      <c r="S667" s="467"/>
      <c r="T667" s="467"/>
      <c r="U667" s="467"/>
      <c r="V667" s="467"/>
      <c r="W667" s="467"/>
      <c r="AA667" s="467"/>
      <c r="AB667" s="467"/>
      <c r="AC667" s="467"/>
      <c r="AD667" s="467"/>
      <c r="AE667" s="467"/>
      <c r="AF667" s="467"/>
      <c r="AG667" s="467"/>
    </row>
    <row r="668" spans="5:33" ht="15">
      <c r="E668" s="466"/>
      <c r="F668" s="466"/>
      <c r="G668" s="466"/>
      <c r="H668" s="466"/>
      <c r="I668" s="466"/>
      <c r="J668" s="466"/>
      <c r="K668" s="466"/>
      <c r="R668" s="467"/>
      <c r="S668" s="467"/>
      <c r="T668" s="467"/>
      <c r="U668" s="467"/>
      <c r="V668" s="467"/>
      <c r="W668" s="467"/>
      <c r="AA668" s="467"/>
      <c r="AB668" s="467"/>
      <c r="AC668" s="467"/>
      <c r="AD668" s="467"/>
      <c r="AE668" s="467"/>
      <c r="AF668" s="467"/>
      <c r="AG668" s="467"/>
    </row>
    <row r="669" spans="5:33" ht="15">
      <c r="E669" s="466"/>
      <c r="F669" s="466"/>
      <c r="G669" s="466"/>
      <c r="H669" s="466"/>
      <c r="I669" s="466"/>
      <c r="J669" s="466"/>
      <c r="K669" s="466"/>
      <c r="R669" s="467"/>
      <c r="S669" s="467"/>
      <c r="T669" s="467"/>
      <c r="U669" s="467"/>
      <c r="V669" s="467"/>
      <c r="W669" s="467"/>
      <c r="AA669" s="467"/>
      <c r="AB669" s="467"/>
      <c r="AC669" s="467"/>
      <c r="AD669" s="467"/>
      <c r="AE669" s="467"/>
      <c r="AF669" s="467"/>
      <c r="AG669" s="467"/>
    </row>
    <row r="670" spans="5:33" ht="15">
      <c r="E670" s="466"/>
      <c r="F670" s="466"/>
      <c r="G670" s="466"/>
      <c r="H670" s="466"/>
      <c r="I670" s="466"/>
      <c r="J670" s="466"/>
      <c r="K670" s="466"/>
      <c r="R670" s="467"/>
      <c r="S670" s="467"/>
      <c r="T670" s="467"/>
      <c r="U670" s="467"/>
      <c r="V670" s="467"/>
      <c r="W670" s="467"/>
      <c r="AA670" s="467"/>
      <c r="AB670" s="467"/>
      <c r="AC670" s="467"/>
      <c r="AD670" s="467"/>
      <c r="AE670" s="467"/>
      <c r="AF670" s="467"/>
      <c r="AG670" s="467"/>
    </row>
    <row r="671" spans="5:33" ht="15">
      <c r="E671" s="466"/>
      <c r="F671" s="466"/>
      <c r="G671" s="466"/>
      <c r="H671" s="466"/>
      <c r="I671" s="466"/>
      <c r="J671" s="466"/>
      <c r="K671" s="466"/>
      <c r="R671" s="467"/>
      <c r="S671" s="467"/>
      <c r="T671" s="467"/>
      <c r="U671" s="467"/>
      <c r="V671" s="467"/>
      <c r="W671" s="467"/>
      <c r="AA671" s="467"/>
      <c r="AB671" s="467"/>
      <c r="AC671" s="467"/>
      <c r="AD671" s="467"/>
      <c r="AE671" s="467"/>
      <c r="AF671" s="467"/>
      <c r="AG671" s="467"/>
    </row>
    <row r="672" spans="5:33" ht="15">
      <c r="E672" s="466"/>
      <c r="F672" s="466"/>
      <c r="G672" s="466"/>
      <c r="H672" s="466"/>
      <c r="I672" s="466"/>
      <c r="J672" s="466"/>
      <c r="K672" s="466"/>
      <c r="R672" s="467"/>
      <c r="S672" s="467"/>
      <c r="T672" s="467"/>
      <c r="U672" s="467"/>
      <c r="V672" s="467"/>
      <c r="W672" s="467"/>
      <c r="AA672" s="467"/>
      <c r="AB672" s="467"/>
      <c r="AC672" s="467"/>
      <c r="AD672" s="467"/>
      <c r="AE672" s="467"/>
      <c r="AF672" s="467"/>
      <c r="AG672" s="467"/>
    </row>
    <row r="673" spans="5:33" ht="15">
      <c r="E673" s="466"/>
      <c r="F673" s="466"/>
      <c r="G673" s="466"/>
      <c r="H673" s="466"/>
      <c r="I673" s="466"/>
      <c r="J673" s="466"/>
      <c r="K673" s="466"/>
      <c r="R673" s="467"/>
      <c r="S673" s="467"/>
      <c r="T673" s="467"/>
      <c r="U673" s="467"/>
      <c r="V673" s="467"/>
      <c r="W673" s="467"/>
      <c r="AA673" s="467"/>
      <c r="AB673" s="467"/>
      <c r="AC673" s="467"/>
      <c r="AD673" s="467"/>
      <c r="AE673" s="467"/>
      <c r="AF673" s="467"/>
      <c r="AG673" s="467"/>
    </row>
    <row r="674" spans="5:33" ht="15">
      <c r="E674" s="466"/>
      <c r="F674" s="466"/>
      <c r="G674" s="466"/>
      <c r="H674" s="466"/>
      <c r="I674" s="466"/>
      <c r="J674" s="466"/>
      <c r="K674" s="466"/>
      <c r="R674" s="467"/>
      <c r="S674" s="467"/>
      <c r="T674" s="467"/>
      <c r="U674" s="467"/>
      <c r="V674" s="467"/>
      <c r="W674" s="467"/>
      <c r="AA674" s="467"/>
      <c r="AB674" s="467"/>
      <c r="AC674" s="467"/>
      <c r="AD674" s="467"/>
      <c r="AE674" s="467"/>
      <c r="AF674" s="467"/>
      <c r="AG674" s="467"/>
    </row>
    <row r="675" spans="5:33" ht="15">
      <c r="E675" s="466"/>
      <c r="F675" s="466"/>
      <c r="G675" s="466"/>
      <c r="H675" s="466"/>
      <c r="I675" s="466"/>
      <c r="J675" s="466"/>
      <c r="K675" s="466"/>
      <c r="R675" s="467"/>
      <c r="S675" s="467"/>
      <c r="T675" s="467"/>
      <c r="U675" s="467"/>
      <c r="V675" s="467"/>
      <c r="W675" s="467"/>
      <c r="AA675" s="467"/>
      <c r="AB675" s="467"/>
      <c r="AC675" s="467"/>
      <c r="AD675" s="467"/>
      <c r="AE675" s="467"/>
      <c r="AF675" s="467"/>
      <c r="AG675" s="467"/>
    </row>
    <row r="676" spans="5:33" ht="15">
      <c r="E676" s="466"/>
      <c r="F676" s="466"/>
      <c r="G676" s="466"/>
      <c r="H676" s="466"/>
      <c r="I676" s="466"/>
      <c r="J676" s="466"/>
      <c r="K676" s="466"/>
      <c r="R676" s="467"/>
      <c r="S676" s="467"/>
      <c r="T676" s="467"/>
      <c r="U676" s="467"/>
      <c r="V676" s="467"/>
      <c r="W676" s="467"/>
      <c r="AA676" s="467"/>
      <c r="AB676" s="467"/>
      <c r="AC676" s="467"/>
      <c r="AD676" s="467"/>
      <c r="AE676" s="467"/>
      <c r="AF676" s="467"/>
      <c r="AG676" s="467"/>
    </row>
    <row r="677" spans="5:33" ht="15">
      <c r="E677" s="466"/>
      <c r="F677" s="466"/>
      <c r="G677" s="466"/>
      <c r="H677" s="466"/>
      <c r="I677" s="466"/>
      <c r="J677" s="466"/>
      <c r="K677" s="466"/>
      <c r="R677" s="467"/>
      <c r="S677" s="467"/>
      <c r="T677" s="467"/>
      <c r="U677" s="467"/>
      <c r="V677" s="467"/>
      <c r="W677" s="467"/>
      <c r="AA677" s="467"/>
      <c r="AB677" s="467"/>
      <c r="AC677" s="467"/>
      <c r="AD677" s="467"/>
      <c r="AE677" s="467"/>
      <c r="AF677" s="467"/>
      <c r="AG677" s="467"/>
    </row>
    <row r="678" spans="5:33" ht="15">
      <c r="E678" s="466"/>
      <c r="F678" s="466"/>
      <c r="G678" s="466"/>
      <c r="H678" s="466"/>
      <c r="I678" s="466"/>
      <c r="J678" s="466"/>
      <c r="K678" s="466"/>
      <c r="R678" s="467"/>
      <c r="S678" s="467"/>
      <c r="T678" s="467"/>
      <c r="U678" s="467"/>
      <c r="V678" s="467"/>
      <c r="W678" s="467"/>
      <c r="AA678" s="467"/>
      <c r="AB678" s="467"/>
      <c r="AC678" s="467"/>
      <c r="AD678" s="467"/>
      <c r="AE678" s="467"/>
      <c r="AF678" s="467"/>
      <c r="AG678" s="467"/>
    </row>
    <row r="679" spans="5:33" ht="15">
      <c r="E679" s="466"/>
      <c r="F679" s="466"/>
      <c r="G679" s="466"/>
      <c r="H679" s="466"/>
      <c r="I679" s="466"/>
      <c r="J679" s="466"/>
      <c r="K679" s="466"/>
      <c r="R679" s="467"/>
      <c r="S679" s="467"/>
      <c r="T679" s="467"/>
      <c r="U679" s="467"/>
      <c r="V679" s="467"/>
      <c r="W679" s="467"/>
      <c r="AA679" s="467"/>
      <c r="AB679" s="467"/>
      <c r="AC679" s="467"/>
      <c r="AD679" s="467"/>
      <c r="AE679" s="467"/>
      <c r="AF679" s="467"/>
      <c r="AG679" s="467"/>
    </row>
    <row r="680" spans="5:33" ht="15">
      <c r="E680" s="466"/>
      <c r="F680" s="466"/>
      <c r="G680" s="466"/>
      <c r="H680" s="466"/>
      <c r="I680" s="466"/>
      <c r="J680" s="466"/>
      <c r="K680" s="466"/>
      <c r="R680" s="467"/>
      <c r="S680" s="467"/>
      <c r="T680" s="467"/>
      <c r="U680" s="467"/>
      <c r="V680" s="467"/>
      <c r="W680" s="467"/>
      <c r="AA680" s="467"/>
      <c r="AB680" s="467"/>
      <c r="AC680" s="467"/>
      <c r="AD680" s="467"/>
      <c r="AE680" s="467"/>
      <c r="AF680" s="467"/>
      <c r="AG680" s="467"/>
    </row>
    <row r="681" spans="5:33" ht="15">
      <c r="E681" s="466"/>
      <c r="F681" s="466"/>
      <c r="G681" s="466"/>
      <c r="H681" s="466"/>
      <c r="I681" s="466"/>
      <c r="J681" s="466"/>
      <c r="K681" s="466"/>
      <c r="R681" s="467"/>
      <c r="S681" s="467"/>
      <c r="T681" s="467"/>
      <c r="U681" s="467"/>
      <c r="V681" s="467"/>
      <c r="W681" s="467"/>
      <c r="AA681" s="467"/>
      <c r="AB681" s="467"/>
      <c r="AC681" s="467"/>
      <c r="AD681" s="467"/>
      <c r="AE681" s="467"/>
      <c r="AF681" s="467"/>
      <c r="AG681" s="467"/>
    </row>
    <row r="682" spans="5:33" ht="15">
      <c r="E682" s="466"/>
      <c r="F682" s="466"/>
      <c r="G682" s="466"/>
      <c r="H682" s="466"/>
      <c r="I682" s="466"/>
      <c r="J682" s="466"/>
      <c r="K682" s="466"/>
      <c r="R682" s="467"/>
      <c r="S682" s="467"/>
      <c r="T682" s="467"/>
      <c r="U682" s="467"/>
      <c r="V682" s="467"/>
      <c r="W682" s="467"/>
      <c r="AA682" s="467"/>
      <c r="AB682" s="467"/>
      <c r="AC682" s="467"/>
      <c r="AD682" s="467"/>
      <c r="AE682" s="467"/>
      <c r="AF682" s="467"/>
      <c r="AG682" s="467"/>
    </row>
    <row r="683" spans="5:33" ht="15">
      <c r="E683" s="466"/>
      <c r="F683" s="466"/>
      <c r="G683" s="466"/>
      <c r="H683" s="466"/>
      <c r="I683" s="466"/>
      <c r="J683" s="466"/>
      <c r="K683" s="466"/>
      <c r="R683" s="467"/>
      <c r="S683" s="467"/>
      <c r="T683" s="467"/>
      <c r="U683" s="467"/>
      <c r="V683" s="467"/>
      <c r="W683" s="467"/>
      <c r="AA683" s="467"/>
      <c r="AB683" s="467"/>
      <c r="AC683" s="467"/>
      <c r="AD683" s="467"/>
      <c r="AE683" s="467"/>
      <c r="AF683" s="467"/>
      <c r="AG683" s="467"/>
    </row>
    <row r="684" spans="5:33" ht="15">
      <c r="E684" s="466"/>
      <c r="F684" s="466"/>
      <c r="G684" s="466"/>
      <c r="H684" s="466"/>
      <c r="I684" s="466"/>
      <c r="J684" s="466"/>
      <c r="K684" s="466"/>
      <c r="R684" s="467"/>
      <c r="S684" s="467"/>
      <c r="T684" s="467"/>
      <c r="U684" s="467"/>
      <c r="V684" s="467"/>
      <c r="W684" s="467"/>
      <c r="AA684" s="467"/>
      <c r="AB684" s="467"/>
      <c r="AC684" s="467"/>
      <c r="AD684" s="467"/>
      <c r="AE684" s="467"/>
      <c r="AF684" s="467"/>
      <c r="AG684" s="467"/>
    </row>
    <row r="685" spans="5:33" ht="15">
      <c r="E685" s="466"/>
      <c r="F685" s="466"/>
      <c r="G685" s="466"/>
      <c r="H685" s="466"/>
      <c r="I685" s="466"/>
      <c r="J685" s="466"/>
      <c r="K685" s="466"/>
      <c r="R685" s="467"/>
      <c r="S685" s="467"/>
      <c r="T685" s="467"/>
      <c r="U685" s="467"/>
      <c r="V685" s="467"/>
      <c r="W685" s="467"/>
      <c r="AA685" s="467"/>
      <c r="AB685" s="467"/>
      <c r="AC685" s="467"/>
      <c r="AD685" s="467"/>
      <c r="AE685" s="467"/>
      <c r="AF685" s="467"/>
      <c r="AG685" s="467"/>
    </row>
    <row r="686" spans="5:33" ht="15">
      <c r="E686" s="466"/>
      <c r="F686" s="466"/>
      <c r="G686" s="466"/>
      <c r="H686" s="466"/>
      <c r="I686" s="466"/>
      <c r="J686" s="466"/>
      <c r="K686" s="466"/>
      <c r="R686" s="467"/>
      <c r="S686" s="467"/>
      <c r="T686" s="467"/>
      <c r="U686" s="467"/>
      <c r="V686" s="467"/>
      <c r="W686" s="467"/>
      <c r="AA686" s="467"/>
      <c r="AB686" s="467"/>
      <c r="AC686" s="467"/>
      <c r="AD686" s="467"/>
      <c r="AE686" s="467"/>
      <c r="AF686" s="467"/>
      <c r="AG686" s="467"/>
    </row>
    <row r="687" spans="5:33" ht="15">
      <c r="E687" s="466"/>
      <c r="F687" s="466"/>
      <c r="G687" s="466"/>
      <c r="H687" s="466"/>
      <c r="I687" s="466"/>
      <c r="J687" s="466"/>
      <c r="K687" s="466"/>
      <c r="R687" s="467"/>
      <c r="S687" s="467"/>
      <c r="T687" s="467"/>
      <c r="U687" s="467"/>
      <c r="V687" s="467"/>
      <c r="W687" s="467"/>
      <c r="AA687" s="467"/>
      <c r="AB687" s="467"/>
      <c r="AC687" s="467"/>
      <c r="AD687" s="467"/>
      <c r="AE687" s="467"/>
      <c r="AF687" s="467"/>
      <c r="AG687" s="467"/>
    </row>
    <row r="688" spans="5:33" ht="15">
      <c r="E688" s="466"/>
      <c r="F688" s="466"/>
      <c r="G688" s="466"/>
      <c r="H688" s="466"/>
      <c r="I688" s="466"/>
      <c r="J688" s="466"/>
      <c r="K688" s="466"/>
      <c r="R688" s="467"/>
      <c r="S688" s="467"/>
      <c r="T688" s="467"/>
      <c r="U688" s="467"/>
      <c r="V688" s="467"/>
      <c r="W688" s="467"/>
      <c r="AA688" s="467"/>
      <c r="AB688" s="467"/>
      <c r="AC688" s="467"/>
      <c r="AD688" s="467"/>
      <c r="AE688" s="467"/>
      <c r="AF688" s="467"/>
      <c r="AG688" s="467"/>
    </row>
    <row r="689" spans="5:33" ht="15">
      <c r="E689" s="466"/>
      <c r="F689" s="466"/>
      <c r="G689" s="466"/>
      <c r="H689" s="466"/>
      <c r="I689" s="466"/>
      <c r="J689" s="466"/>
      <c r="K689" s="466"/>
      <c r="R689" s="467"/>
      <c r="S689" s="467"/>
      <c r="T689" s="467"/>
      <c r="U689" s="467"/>
      <c r="V689" s="467"/>
      <c r="W689" s="467"/>
      <c r="AA689" s="467"/>
      <c r="AB689" s="467"/>
      <c r="AC689" s="467"/>
      <c r="AD689" s="467"/>
      <c r="AE689" s="467"/>
      <c r="AF689" s="467"/>
      <c r="AG689" s="467"/>
    </row>
    <row r="690" spans="5:33" ht="15">
      <c r="E690" s="466"/>
      <c r="F690" s="466"/>
      <c r="G690" s="466"/>
      <c r="H690" s="466"/>
      <c r="I690" s="466"/>
      <c r="J690" s="466"/>
      <c r="K690" s="466"/>
      <c r="R690" s="467"/>
      <c r="S690" s="467"/>
      <c r="T690" s="467"/>
      <c r="U690" s="467"/>
      <c r="V690" s="467"/>
      <c r="W690" s="467"/>
      <c r="AA690" s="467"/>
      <c r="AB690" s="467"/>
      <c r="AC690" s="467"/>
      <c r="AD690" s="467"/>
      <c r="AE690" s="467"/>
      <c r="AF690" s="467"/>
      <c r="AG690" s="467"/>
    </row>
    <row r="691" spans="5:33" ht="15">
      <c r="E691" s="466"/>
      <c r="F691" s="466"/>
      <c r="G691" s="466"/>
      <c r="H691" s="466"/>
      <c r="I691" s="466"/>
      <c r="J691" s="466"/>
      <c r="K691" s="466"/>
      <c r="R691" s="467"/>
      <c r="S691" s="467"/>
      <c r="T691" s="467"/>
      <c r="U691" s="467"/>
      <c r="V691" s="467"/>
      <c r="W691" s="467"/>
      <c r="AA691" s="467"/>
      <c r="AB691" s="467"/>
      <c r="AC691" s="467"/>
      <c r="AD691" s="467"/>
      <c r="AE691" s="467"/>
      <c r="AF691" s="467"/>
      <c r="AG691" s="467"/>
    </row>
    <row r="692" spans="5:33" ht="15">
      <c r="E692" s="466"/>
      <c r="F692" s="466"/>
      <c r="G692" s="466"/>
      <c r="H692" s="466"/>
      <c r="I692" s="466"/>
      <c r="J692" s="466"/>
      <c r="K692" s="466"/>
      <c r="R692" s="467"/>
      <c r="S692" s="467"/>
      <c r="T692" s="467"/>
      <c r="U692" s="467"/>
      <c r="V692" s="467"/>
      <c r="W692" s="467"/>
      <c r="AA692" s="467"/>
      <c r="AB692" s="467"/>
      <c r="AC692" s="467"/>
      <c r="AD692" s="467"/>
      <c r="AE692" s="467"/>
      <c r="AF692" s="467"/>
      <c r="AG692" s="467"/>
    </row>
    <row r="693" spans="5:33" ht="15">
      <c r="E693" s="466"/>
      <c r="F693" s="466"/>
      <c r="G693" s="466"/>
      <c r="H693" s="466"/>
      <c r="I693" s="466"/>
      <c r="J693" s="466"/>
      <c r="K693" s="466"/>
      <c r="R693" s="467"/>
      <c r="S693" s="467"/>
      <c r="T693" s="467"/>
      <c r="U693" s="467"/>
      <c r="V693" s="467"/>
      <c r="W693" s="467"/>
      <c r="AA693" s="467"/>
      <c r="AB693" s="467"/>
      <c r="AC693" s="467"/>
      <c r="AD693" s="467"/>
      <c r="AE693" s="467"/>
      <c r="AF693" s="467"/>
      <c r="AG693" s="467"/>
    </row>
    <row r="694" spans="5:33" ht="15">
      <c r="E694" s="466"/>
      <c r="F694" s="466"/>
      <c r="G694" s="466"/>
      <c r="H694" s="466"/>
      <c r="I694" s="466"/>
      <c r="J694" s="466"/>
      <c r="K694" s="466"/>
      <c r="R694" s="467"/>
      <c r="S694" s="467"/>
      <c r="T694" s="467"/>
      <c r="U694" s="467"/>
      <c r="V694" s="467"/>
      <c r="W694" s="467"/>
      <c r="AA694" s="467"/>
      <c r="AB694" s="467"/>
      <c r="AC694" s="467"/>
      <c r="AD694" s="467"/>
      <c r="AE694" s="467"/>
      <c r="AF694" s="467"/>
      <c r="AG694" s="467"/>
    </row>
    <row r="695" spans="5:33" ht="15">
      <c r="E695" s="466"/>
      <c r="F695" s="466"/>
      <c r="G695" s="466"/>
      <c r="H695" s="466"/>
      <c r="I695" s="466"/>
      <c r="J695" s="466"/>
      <c r="K695" s="466"/>
      <c r="R695" s="467"/>
      <c r="S695" s="467"/>
      <c r="T695" s="467"/>
      <c r="U695" s="467"/>
      <c r="V695" s="467"/>
      <c r="W695" s="467"/>
      <c r="AA695" s="467"/>
      <c r="AB695" s="467"/>
      <c r="AC695" s="467"/>
      <c r="AD695" s="467"/>
      <c r="AE695" s="467"/>
      <c r="AF695" s="467"/>
      <c r="AG695" s="467"/>
    </row>
    <row r="696" spans="5:33" ht="15">
      <c r="E696" s="466"/>
      <c r="F696" s="466"/>
      <c r="G696" s="466"/>
      <c r="H696" s="466"/>
      <c r="I696" s="466"/>
      <c r="J696" s="466"/>
      <c r="K696" s="466"/>
      <c r="R696" s="467"/>
      <c r="S696" s="467"/>
      <c r="T696" s="467"/>
      <c r="U696" s="467"/>
      <c r="V696" s="467"/>
      <c r="W696" s="467"/>
      <c r="AA696" s="467"/>
      <c r="AB696" s="467"/>
      <c r="AC696" s="467"/>
      <c r="AD696" s="467"/>
      <c r="AE696" s="467"/>
      <c r="AF696" s="467"/>
      <c r="AG696" s="467"/>
    </row>
    <row r="697" spans="5:33" ht="15">
      <c r="E697" s="466"/>
      <c r="F697" s="466"/>
      <c r="G697" s="466"/>
      <c r="H697" s="466"/>
      <c r="I697" s="466"/>
      <c r="J697" s="466"/>
      <c r="K697" s="466"/>
      <c r="R697" s="467"/>
      <c r="S697" s="467"/>
      <c r="T697" s="467"/>
      <c r="U697" s="467"/>
      <c r="V697" s="467"/>
      <c r="W697" s="467"/>
      <c r="AA697" s="467"/>
      <c r="AB697" s="467"/>
      <c r="AC697" s="467"/>
      <c r="AD697" s="467"/>
      <c r="AE697" s="467"/>
      <c r="AF697" s="467"/>
      <c r="AG697" s="467"/>
    </row>
    <row r="698" spans="5:33" ht="15">
      <c r="E698" s="466"/>
      <c r="F698" s="466"/>
      <c r="G698" s="466"/>
      <c r="H698" s="466"/>
      <c r="I698" s="466"/>
      <c r="J698" s="466"/>
      <c r="K698" s="466"/>
      <c r="R698" s="467"/>
      <c r="S698" s="467"/>
      <c r="T698" s="467"/>
      <c r="U698" s="467"/>
      <c r="V698" s="467"/>
      <c r="W698" s="467"/>
      <c r="AA698" s="467"/>
      <c r="AB698" s="467"/>
      <c r="AC698" s="467"/>
      <c r="AD698" s="467"/>
      <c r="AE698" s="467"/>
      <c r="AF698" s="467"/>
      <c r="AG698" s="467"/>
    </row>
    <row r="699" spans="5:33" ht="15">
      <c r="E699" s="466"/>
      <c r="F699" s="466"/>
      <c r="G699" s="466"/>
      <c r="H699" s="466"/>
      <c r="I699" s="466"/>
      <c r="J699" s="466"/>
      <c r="K699" s="466"/>
      <c r="R699" s="467"/>
      <c r="S699" s="467"/>
      <c r="T699" s="467"/>
      <c r="U699" s="467"/>
      <c r="V699" s="467"/>
      <c r="W699" s="467"/>
      <c r="AA699" s="467"/>
      <c r="AB699" s="467"/>
      <c r="AC699" s="467"/>
      <c r="AD699" s="467"/>
      <c r="AE699" s="467"/>
      <c r="AF699" s="467"/>
      <c r="AG699" s="467"/>
    </row>
    <row r="700" spans="5:33" ht="15">
      <c r="E700" s="466"/>
      <c r="F700" s="466"/>
      <c r="G700" s="466"/>
      <c r="H700" s="466"/>
      <c r="I700" s="466"/>
      <c r="J700" s="466"/>
      <c r="K700" s="466"/>
      <c r="R700" s="467"/>
      <c r="S700" s="467"/>
      <c r="T700" s="467"/>
      <c r="U700" s="467"/>
      <c r="V700" s="467"/>
      <c r="W700" s="467"/>
      <c r="AA700" s="467"/>
      <c r="AB700" s="467"/>
      <c r="AC700" s="467"/>
      <c r="AD700" s="467"/>
      <c r="AE700" s="467"/>
      <c r="AF700" s="467"/>
      <c r="AG700" s="467"/>
    </row>
    <row r="701" spans="5:33" ht="15">
      <c r="E701" s="466"/>
      <c r="F701" s="466"/>
      <c r="G701" s="466"/>
      <c r="H701" s="466"/>
      <c r="I701" s="466"/>
      <c r="J701" s="466"/>
      <c r="K701" s="466"/>
      <c r="R701" s="467"/>
      <c r="S701" s="467"/>
      <c r="T701" s="467"/>
      <c r="U701" s="467"/>
      <c r="V701" s="467"/>
      <c r="W701" s="467"/>
      <c r="AA701" s="467"/>
      <c r="AB701" s="467"/>
      <c r="AC701" s="467"/>
      <c r="AD701" s="467"/>
      <c r="AE701" s="467"/>
      <c r="AF701" s="467"/>
      <c r="AG701" s="467"/>
    </row>
    <row r="702" spans="5:33" ht="15">
      <c r="E702" s="466"/>
      <c r="F702" s="466"/>
      <c r="G702" s="466"/>
      <c r="H702" s="466"/>
      <c r="I702" s="466"/>
      <c r="J702" s="466"/>
      <c r="K702" s="466"/>
      <c r="R702" s="467"/>
      <c r="S702" s="467"/>
      <c r="T702" s="467"/>
      <c r="U702" s="467"/>
      <c r="V702" s="467"/>
      <c r="W702" s="467"/>
      <c r="AA702" s="467"/>
      <c r="AB702" s="467"/>
      <c r="AC702" s="467"/>
      <c r="AD702" s="467"/>
      <c r="AE702" s="467"/>
      <c r="AF702" s="467"/>
      <c r="AG702" s="467"/>
    </row>
    <row r="703" spans="5:33" ht="15">
      <c r="E703" s="466"/>
      <c r="F703" s="466"/>
      <c r="G703" s="466"/>
      <c r="H703" s="466"/>
      <c r="I703" s="466"/>
      <c r="J703" s="466"/>
      <c r="K703" s="466"/>
      <c r="R703" s="467"/>
      <c r="S703" s="467"/>
      <c r="T703" s="467"/>
      <c r="U703" s="467"/>
      <c r="V703" s="467"/>
      <c r="W703" s="467"/>
      <c r="AA703" s="467"/>
      <c r="AB703" s="467"/>
      <c r="AC703" s="467"/>
      <c r="AD703" s="467"/>
      <c r="AE703" s="467"/>
      <c r="AF703" s="467"/>
      <c r="AG703" s="467"/>
    </row>
    <row r="704" spans="5:33" ht="15">
      <c r="E704" s="466"/>
      <c r="F704" s="466"/>
      <c r="G704" s="466"/>
      <c r="H704" s="466"/>
      <c r="I704" s="466"/>
      <c r="J704" s="466"/>
      <c r="K704" s="466"/>
      <c r="R704" s="467"/>
      <c r="S704" s="467"/>
      <c r="T704" s="467"/>
      <c r="U704" s="467"/>
      <c r="V704" s="467"/>
      <c r="W704" s="467"/>
      <c r="AA704" s="467"/>
      <c r="AB704" s="467"/>
      <c r="AC704" s="467"/>
      <c r="AD704" s="467"/>
      <c r="AE704" s="467"/>
      <c r="AF704" s="467"/>
      <c r="AG704" s="467"/>
    </row>
    <row r="705" spans="5:33" ht="15">
      <c r="E705" s="466"/>
      <c r="F705" s="466"/>
      <c r="G705" s="466"/>
      <c r="H705" s="466"/>
      <c r="I705" s="466"/>
      <c r="J705" s="466"/>
      <c r="K705" s="466"/>
      <c r="R705" s="467"/>
      <c r="S705" s="467"/>
      <c r="T705" s="467"/>
      <c r="U705" s="467"/>
      <c r="V705" s="467"/>
      <c r="W705" s="467"/>
      <c r="AA705" s="467"/>
      <c r="AB705" s="467"/>
      <c r="AC705" s="467"/>
      <c r="AD705" s="467"/>
      <c r="AE705" s="467"/>
      <c r="AF705" s="467"/>
      <c r="AG705" s="467"/>
    </row>
    <row r="706" spans="5:33" ht="15">
      <c r="E706" s="466"/>
      <c r="F706" s="466"/>
      <c r="G706" s="466"/>
      <c r="H706" s="466"/>
      <c r="I706" s="466"/>
      <c r="J706" s="466"/>
      <c r="K706" s="466"/>
      <c r="R706" s="467"/>
      <c r="S706" s="467"/>
      <c r="T706" s="467"/>
      <c r="U706" s="467"/>
      <c r="V706" s="467"/>
      <c r="W706" s="467"/>
      <c r="AA706" s="467"/>
      <c r="AB706" s="467"/>
      <c r="AC706" s="467"/>
      <c r="AD706" s="467"/>
      <c r="AE706" s="467"/>
      <c r="AF706" s="467"/>
      <c r="AG706" s="467"/>
    </row>
    <row r="707" spans="5:33" ht="15">
      <c r="E707" s="466"/>
      <c r="F707" s="466"/>
      <c r="G707" s="466"/>
      <c r="H707" s="466"/>
      <c r="I707" s="466"/>
      <c r="J707" s="466"/>
      <c r="K707" s="466"/>
      <c r="R707" s="467"/>
      <c r="S707" s="467"/>
      <c r="T707" s="467"/>
      <c r="U707" s="467"/>
      <c r="V707" s="467"/>
      <c r="W707" s="467"/>
      <c r="AA707" s="467"/>
      <c r="AB707" s="467"/>
      <c r="AC707" s="467"/>
      <c r="AD707" s="467"/>
      <c r="AE707" s="467"/>
      <c r="AF707" s="467"/>
      <c r="AG707" s="467"/>
    </row>
    <row r="708" spans="5:33" ht="15">
      <c r="E708" s="466"/>
      <c r="F708" s="466"/>
      <c r="G708" s="466"/>
      <c r="H708" s="466"/>
      <c r="I708" s="466"/>
      <c r="J708" s="466"/>
      <c r="K708" s="466"/>
      <c r="R708" s="467"/>
      <c r="S708" s="467"/>
      <c r="T708" s="467"/>
      <c r="U708" s="467"/>
      <c r="V708" s="467"/>
      <c r="W708" s="467"/>
      <c r="AA708" s="467"/>
      <c r="AB708" s="467"/>
      <c r="AC708" s="467"/>
      <c r="AD708" s="467"/>
      <c r="AE708" s="467"/>
      <c r="AF708" s="467"/>
      <c r="AG708" s="467"/>
    </row>
    <row r="709" spans="5:33" ht="15">
      <c r="E709" s="466"/>
      <c r="F709" s="466"/>
      <c r="G709" s="466"/>
      <c r="H709" s="466"/>
      <c r="I709" s="466"/>
      <c r="J709" s="466"/>
      <c r="K709" s="466"/>
      <c r="R709" s="467"/>
      <c r="S709" s="467"/>
      <c r="T709" s="467"/>
      <c r="U709" s="467"/>
      <c r="V709" s="467"/>
      <c r="W709" s="467"/>
      <c r="AA709" s="467"/>
      <c r="AB709" s="467"/>
      <c r="AC709" s="467"/>
      <c r="AD709" s="467"/>
      <c r="AE709" s="467"/>
      <c r="AF709" s="467"/>
      <c r="AG709" s="467"/>
    </row>
    <row r="710" spans="5:33" ht="15">
      <c r="E710" s="466"/>
      <c r="F710" s="466"/>
      <c r="G710" s="466"/>
      <c r="H710" s="466"/>
      <c r="I710" s="466"/>
      <c r="J710" s="466"/>
      <c r="K710" s="466"/>
      <c r="R710" s="467"/>
      <c r="S710" s="467"/>
      <c r="T710" s="467"/>
      <c r="U710" s="467"/>
      <c r="V710" s="467"/>
      <c r="W710" s="467"/>
      <c r="AA710" s="467"/>
      <c r="AB710" s="467"/>
      <c r="AC710" s="467"/>
      <c r="AD710" s="467"/>
      <c r="AE710" s="467"/>
      <c r="AF710" s="467"/>
      <c r="AG710" s="467"/>
    </row>
    <row r="711" spans="5:33" ht="15">
      <c r="E711" s="466"/>
      <c r="F711" s="466"/>
      <c r="G711" s="466"/>
      <c r="H711" s="466"/>
      <c r="I711" s="466"/>
      <c r="J711" s="466"/>
      <c r="K711" s="466"/>
      <c r="R711" s="467"/>
      <c r="S711" s="467"/>
      <c r="T711" s="467"/>
      <c r="U711" s="467"/>
      <c r="V711" s="467"/>
      <c r="W711" s="467"/>
      <c r="AA711" s="467"/>
      <c r="AB711" s="467"/>
      <c r="AC711" s="467"/>
      <c r="AD711" s="467"/>
      <c r="AE711" s="467"/>
      <c r="AF711" s="467"/>
      <c r="AG711" s="467"/>
    </row>
    <row r="712" spans="5:33" ht="15">
      <c r="E712" s="466"/>
      <c r="F712" s="466"/>
      <c r="G712" s="466"/>
      <c r="H712" s="466"/>
      <c r="I712" s="466"/>
      <c r="J712" s="466"/>
      <c r="K712" s="466"/>
      <c r="R712" s="467"/>
      <c r="S712" s="467"/>
      <c r="T712" s="467"/>
      <c r="U712" s="467"/>
      <c r="V712" s="467"/>
      <c r="W712" s="467"/>
      <c r="AA712" s="467"/>
      <c r="AB712" s="467"/>
      <c r="AC712" s="467"/>
      <c r="AD712" s="467"/>
      <c r="AE712" s="467"/>
      <c r="AF712" s="467"/>
      <c r="AG712" s="467"/>
    </row>
    <row r="713" spans="5:33" ht="15">
      <c r="E713" s="466"/>
      <c r="F713" s="466"/>
      <c r="G713" s="466"/>
      <c r="H713" s="466"/>
      <c r="I713" s="466"/>
      <c r="J713" s="466"/>
      <c r="K713" s="466"/>
      <c r="R713" s="467"/>
      <c r="S713" s="467"/>
      <c r="T713" s="467"/>
      <c r="U713" s="467"/>
      <c r="V713" s="467"/>
      <c r="W713" s="467"/>
      <c r="AA713" s="467"/>
      <c r="AB713" s="467"/>
      <c r="AC713" s="467"/>
      <c r="AD713" s="467"/>
      <c r="AE713" s="467"/>
      <c r="AF713" s="467"/>
      <c r="AG713" s="467"/>
    </row>
    <row r="714" spans="5:33" ht="15">
      <c r="E714" s="466"/>
      <c r="F714" s="466"/>
      <c r="G714" s="466"/>
      <c r="H714" s="466"/>
      <c r="I714" s="466"/>
      <c r="J714" s="466"/>
      <c r="K714" s="466"/>
      <c r="R714" s="467"/>
      <c r="S714" s="467"/>
      <c r="T714" s="467"/>
      <c r="U714" s="467"/>
      <c r="V714" s="467"/>
      <c r="W714" s="467"/>
      <c r="AA714" s="467"/>
      <c r="AB714" s="467"/>
      <c r="AC714" s="467"/>
      <c r="AD714" s="467"/>
      <c r="AE714" s="467"/>
      <c r="AF714" s="467"/>
      <c r="AG714" s="467"/>
    </row>
    <row r="715" spans="5:33" ht="15">
      <c r="E715" s="466"/>
      <c r="F715" s="466"/>
      <c r="G715" s="466"/>
      <c r="H715" s="466"/>
      <c r="I715" s="466"/>
      <c r="J715" s="466"/>
      <c r="K715" s="466"/>
      <c r="R715" s="467"/>
      <c r="S715" s="467"/>
      <c r="T715" s="467"/>
      <c r="U715" s="467"/>
      <c r="V715" s="467"/>
      <c r="W715" s="467"/>
      <c r="AA715" s="467"/>
      <c r="AB715" s="467"/>
      <c r="AC715" s="467"/>
      <c r="AD715" s="467"/>
      <c r="AE715" s="467"/>
      <c r="AF715" s="467"/>
      <c r="AG715" s="467"/>
    </row>
    <row r="716" spans="5:33" ht="15">
      <c r="E716" s="466"/>
      <c r="F716" s="466"/>
      <c r="G716" s="466"/>
      <c r="H716" s="466"/>
      <c r="I716" s="466"/>
      <c r="J716" s="466"/>
      <c r="K716" s="466"/>
      <c r="R716" s="467"/>
      <c r="S716" s="467"/>
      <c r="T716" s="467"/>
      <c r="U716" s="467"/>
      <c r="V716" s="467"/>
      <c r="W716" s="467"/>
      <c r="AA716" s="467"/>
      <c r="AB716" s="467"/>
      <c r="AC716" s="467"/>
      <c r="AD716" s="467"/>
      <c r="AE716" s="467"/>
      <c r="AF716" s="467"/>
      <c r="AG716" s="467"/>
    </row>
    <row r="717" spans="5:33" ht="15">
      <c r="E717" s="466"/>
      <c r="F717" s="466"/>
      <c r="G717" s="466"/>
      <c r="H717" s="466"/>
      <c r="I717" s="466"/>
      <c r="J717" s="466"/>
      <c r="K717" s="466"/>
      <c r="R717" s="467"/>
      <c r="S717" s="467"/>
      <c r="T717" s="467"/>
      <c r="U717" s="467"/>
      <c r="V717" s="467"/>
      <c r="W717" s="467"/>
      <c r="AA717" s="467"/>
      <c r="AB717" s="467"/>
      <c r="AC717" s="467"/>
      <c r="AD717" s="467"/>
      <c r="AE717" s="467"/>
      <c r="AF717" s="467"/>
      <c r="AG717" s="467"/>
    </row>
    <row r="718" spans="5:33" ht="15">
      <c r="E718" s="466"/>
      <c r="F718" s="466"/>
      <c r="G718" s="466"/>
      <c r="H718" s="466"/>
      <c r="I718" s="466"/>
      <c r="J718" s="466"/>
      <c r="K718" s="466"/>
      <c r="R718" s="467"/>
      <c r="S718" s="467"/>
      <c r="T718" s="467"/>
      <c r="U718" s="467"/>
      <c r="V718" s="467"/>
      <c r="W718" s="467"/>
      <c r="AA718" s="467"/>
      <c r="AB718" s="467"/>
      <c r="AC718" s="467"/>
      <c r="AD718" s="467"/>
      <c r="AE718" s="467"/>
      <c r="AF718" s="467"/>
      <c r="AG718" s="467"/>
    </row>
    <row r="719" spans="5:33" ht="15">
      <c r="E719" s="466"/>
      <c r="F719" s="466"/>
      <c r="G719" s="466"/>
      <c r="H719" s="466"/>
      <c r="I719" s="466"/>
      <c r="J719" s="466"/>
      <c r="K719" s="466"/>
      <c r="R719" s="467"/>
      <c r="S719" s="467"/>
      <c r="T719" s="467"/>
      <c r="U719" s="467"/>
      <c r="V719" s="467"/>
      <c r="W719" s="467"/>
      <c r="AA719" s="467"/>
      <c r="AB719" s="467"/>
      <c r="AC719" s="467"/>
      <c r="AD719" s="467"/>
      <c r="AE719" s="467"/>
      <c r="AF719" s="467"/>
      <c r="AG719" s="467"/>
    </row>
    <row r="720" spans="5:33" ht="15">
      <c r="E720" s="466"/>
      <c r="F720" s="466"/>
      <c r="G720" s="466"/>
      <c r="H720" s="466"/>
      <c r="I720" s="466"/>
      <c r="J720" s="466"/>
      <c r="K720" s="466"/>
      <c r="R720" s="467"/>
      <c r="S720" s="467"/>
      <c r="T720" s="467"/>
      <c r="U720" s="467"/>
      <c r="V720" s="467"/>
      <c r="W720" s="467"/>
      <c r="AA720" s="467"/>
      <c r="AB720" s="467"/>
      <c r="AC720" s="467"/>
      <c r="AD720" s="467"/>
      <c r="AE720" s="467"/>
      <c r="AF720" s="467"/>
      <c r="AG720" s="467"/>
    </row>
    <row r="721" spans="5:33" ht="15">
      <c r="E721" s="466"/>
      <c r="F721" s="466"/>
      <c r="G721" s="466"/>
      <c r="H721" s="466"/>
      <c r="I721" s="466"/>
      <c r="J721" s="466"/>
      <c r="K721" s="466"/>
      <c r="R721" s="467"/>
      <c r="S721" s="467"/>
      <c r="T721" s="467"/>
      <c r="U721" s="467"/>
      <c r="V721" s="467"/>
      <c r="W721" s="467"/>
      <c r="AA721" s="467"/>
      <c r="AB721" s="467"/>
      <c r="AC721" s="467"/>
      <c r="AD721" s="467"/>
      <c r="AE721" s="467"/>
      <c r="AF721" s="467"/>
      <c r="AG721" s="467"/>
    </row>
    <row r="722" spans="5:33" ht="15">
      <c r="E722" s="466"/>
      <c r="F722" s="466"/>
      <c r="G722" s="466"/>
      <c r="H722" s="466"/>
      <c r="I722" s="466"/>
      <c r="J722" s="466"/>
      <c r="K722" s="466"/>
      <c r="R722" s="467"/>
      <c r="S722" s="467"/>
      <c r="T722" s="467"/>
      <c r="U722" s="467"/>
      <c r="V722" s="467"/>
      <c r="W722" s="467"/>
      <c r="AA722" s="467"/>
      <c r="AB722" s="467"/>
      <c r="AC722" s="467"/>
      <c r="AD722" s="467"/>
      <c r="AE722" s="467"/>
      <c r="AF722" s="467"/>
      <c r="AG722" s="467"/>
    </row>
    <row r="723" spans="5:33" ht="15">
      <c r="E723" s="466"/>
      <c r="F723" s="466"/>
      <c r="G723" s="466"/>
      <c r="H723" s="466"/>
      <c r="I723" s="466"/>
      <c r="J723" s="466"/>
      <c r="K723" s="466"/>
      <c r="R723" s="467"/>
      <c r="S723" s="467"/>
      <c r="T723" s="467"/>
      <c r="U723" s="467"/>
      <c r="V723" s="467"/>
      <c r="W723" s="467"/>
      <c r="AA723" s="467"/>
      <c r="AB723" s="467"/>
      <c r="AC723" s="467"/>
      <c r="AD723" s="467"/>
      <c r="AE723" s="467"/>
      <c r="AF723" s="467"/>
      <c r="AG723" s="467"/>
    </row>
    <row r="724" spans="5:33" ht="15">
      <c r="E724" s="466"/>
      <c r="F724" s="466"/>
      <c r="G724" s="466"/>
      <c r="H724" s="466"/>
      <c r="I724" s="466"/>
      <c r="J724" s="466"/>
      <c r="K724" s="466"/>
      <c r="R724" s="467"/>
      <c r="S724" s="467"/>
      <c r="T724" s="467"/>
      <c r="U724" s="467"/>
      <c r="V724" s="467"/>
      <c r="W724" s="467"/>
      <c r="AA724" s="467"/>
      <c r="AB724" s="467"/>
      <c r="AC724" s="467"/>
      <c r="AD724" s="467"/>
      <c r="AE724" s="467"/>
      <c r="AF724" s="467"/>
      <c r="AG724" s="467"/>
    </row>
    <row r="725" spans="5:33" ht="15">
      <c r="E725" s="466"/>
      <c r="F725" s="466"/>
      <c r="G725" s="466"/>
      <c r="H725" s="466"/>
      <c r="I725" s="466"/>
      <c r="J725" s="466"/>
      <c r="K725" s="466"/>
      <c r="R725" s="467"/>
      <c r="S725" s="467"/>
      <c r="T725" s="467"/>
      <c r="U725" s="467"/>
      <c r="V725" s="467"/>
      <c r="W725" s="467"/>
      <c r="AA725" s="467"/>
      <c r="AB725" s="467"/>
      <c r="AC725" s="467"/>
      <c r="AD725" s="467"/>
      <c r="AE725" s="467"/>
      <c r="AF725" s="467"/>
      <c r="AG725" s="467"/>
    </row>
    <row r="726" spans="5:33" ht="15">
      <c r="E726" s="466"/>
      <c r="F726" s="466"/>
      <c r="G726" s="466"/>
      <c r="H726" s="466"/>
      <c r="I726" s="466"/>
      <c r="J726" s="466"/>
      <c r="K726" s="466"/>
      <c r="R726" s="467"/>
      <c r="S726" s="467"/>
      <c r="T726" s="467"/>
      <c r="U726" s="467"/>
      <c r="V726" s="467"/>
      <c r="W726" s="467"/>
      <c r="AA726" s="467"/>
      <c r="AB726" s="467"/>
      <c r="AC726" s="467"/>
      <c r="AD726" s="467"/>
      <c r="AE726" s="467"/>
      <c r="AF726" s="467"/>
      <c r="AG726" s="467"/>
    </row>
    <row r="727" spans="5:33" ht="15">
      <c r="E727" s="466"/>
      <c r="F727" s="466"/>
      <c r="G727" s="466"/>
      <c r="H727" s="466"/>
      <c r="I727" s="466"/>
      <c r="J727" s="466"/>
      <c r="K727" s="466"/>
      <c r="R727" s="467"/>
      <c r="S727" s="467"/>
      <c r="T727" s="467"/>
      <c r="U727" s="467"/>
      <c r="V727" s="467"/>
      <c r="W727" s="467"/>
      <c r="AA727" s="467"/>
      <c r="AB727" s="467"/>
      <c r="AC727" s="467"/>
      <c r="AD727" s="467"/>
      <c r="AE727" s="467"/>
      <c r="AF727" s="467"/>
      <c r="AG727" s="467"/>
    </row>
    <row r="728" spans="5:33" ht="15">
      <c r="E728" s="466"/>
      <c r="F728" s="466"/>
      <c r="G728" s="466"/>
      <c r="H728" s="466"/>
      <c r="I728" s="466"/>
      <c r="J728" s="466"/>
      <c r="K728" s="466"/>
      <c r="R728" s="467"/>
      <c r="S728" s="467"/>
      <c r="T728" s="467"/>
      <c r="U728" s="467"/>
      <c r="V728" s="467"/>
      <c r="W728" s="467"/>
      <c r="AA728" s="467"/>
      <c r="AB728" s="467"/>
      <c r="AC728" s="467"/>
      <c r="AD728" s="467"/>
      <c r="AE728" s="467"/>
      <c r="AF728" s="467"/>
      <c r="AG728" s="467"/>
    </row>
    <row r="729" spans="5:33" ht="15">
      <c r="E729" s="466"/>
      <c r="F729" s="466"/>
      <c r="G729" s="466"/>
      <c r="H729" s="466"/>
      <c r="I729" s="466"/>
      <c r="J729" s="466"/>
      <c r="K729" s="466"/>
      <c r="R729" s="467"/>
      <c r="S729" s="467"/>
      <c r="T729" s="467"/>
      <c r="U729" s="467"/>
      <c r="V729" s="467"/>
      <c r="W729" s="467"/>
      <c r="AA729" s="467"/>
      <c r="AB729" s="467"/>
      <c r="AC729" s="467"/>
      <c r="AD729" s="467"/>
      <c r="AE729" s="467"/>
      <c r="AF729" s="467"/>
      <c r="AG729" s="467"/>
    </row>
    <row r="730" spans="5:33" ht="15">
      <c r="E730" s="466"/>
      <c r="F730" s="466"/>
      <c r="G730" s="466"/>
      <c r="H730" s="466"/>
      <c r="I730" s="466"/>
      <c r="J730" s="466"/>
      <c r="K730" s="466"/>
      <c r="R730" s="467"/>
      <c r="S730" s="467"/>
      <c r="T730" s="467"/>
      <c r="U730" s="467"/>
      <c r="V730" s="467"/>
      <c r="W730" s="467"/>
      <c r="AA730" s="467"/>
      <c r="AB730" s="467"/>
      <c r="AC730" s="467"/>
      <c r="AD730" s="467"/>
      <c r="AE730" s="467"/>
      <c r="AF730" s="467"/>
      <c r="AG730" s="467"/>
    </row>
    <row r="731" spans="5:33" ht="15">
      <c r="E731" s="466"/>
      <c r="F731" s="466"/>
      <c r="G731" s="466"/>
      <c r="H731" s="466"/>
      <c r="I731" s="466"/>
      <c r="J731" s="466"/>
      <c r="K731" s="466"/>
      <c r="R731" s="467"/>
      <c r="S731" s="467"/>
      <c r="T731" s="467"/>
      <c r="U731" s="467"/>
      <c r="V731" s="467"/>
      <c r="W731" s="467"/>
      <c r="AA731" s="467"/>
      <c r="AB731" s="467"/>
      <c r="AC731" s="467"/>
      <c r="AD731" s="467"/>
      <c r="AE731" s="467"/>
      <c r="AF731" s="467"/>
      <c r="AG731" s="467"/>
    </row>
    <row r="732" spans="5:33" ht="15">
      <c r="E732" s="466"/>
      <c r="F732" s="466"/>
      <c r="G732" s="466"/>
      <c r="H732" s="466"/>
      <c r="I732" s="466"/>
      <c r="J732" s="466"/>
      <c r="K732" s="466"/>
      <c r="R732" s="467"/>
      <c r="S732" s="467"/>
      <c r="T732" s="467"/>
      <c r="U732" s="467"/>
      <c r="V732" s="467"/>
      <c r="W732" s="467"/>
      <c r="AA732" s="467"/>
      <c r="AB732" s="467"/>
      <c r="AC732" s="467"/>
      <c r="AD732" s="467"/>
      <c r="AE732" s="467"/>
      <c r="AF732" s="467"/>
      <c r="AG732" s="467"/>
    </row>
    <row r="733" spans="5:33" ht="15">
      <c r="E733" s="466"/>
      <c r="F733" s="466"/>
      <c r="G733" s="466"/>
      <c r="H733" s="466"/>
      <c r="I733" s="466"/>
      <c r="J733" s="466"/>
      <c r="K733" s="466"/>
      <c r="R733" s="467"/>
      <c r="S733" s="467"/>
      <c r="T733" s="467"/>
      <c r="U733" s="467"/>
      <c r="V733" s="467"/>
      <c r="W733" s="467"/>
      <c r="AA733" s="467"/>
      <c r="AB733" s="467"/>
      <c r="AC733" s="467"/>
      <c r="AD733" s="467"/>
      <c r="AE733" s="467"/>
      <c r="AF733" s="467"/>
      <c r="AG733" s="467"/>
    </row>
    <row r="734" spans="5:33" ht="15">
      <c r="E734" s="466"/>
      <c r="F734" s="466"/>
      <c r="G734" s="466"/>
      <c r="H734" s="466"/>
      <c r="I734" s="466"/>
      <c r="J734" s="466"/>
      <c r="K734" s="466"/>
      <c r="R734" s="467"/>
      <c r="S734" s="467"/>
      <c r="T734" s="467"/>
      <c r="U734" s="467"/>
      <c r="V734" s="467"/>
      <c r="W734" s="467"/>
      <c r="AA734" s="467"/>
      <c r="AB734" s="467"/>
      <c r="AC734" s="467"/>
      <c r="AD734" s="467"/>
      <c r="AE734" s="467"/>
      <c r="AF734" s="467"/>
      <c r="AG734" s="467"/>
    </row>
    <row r="735" spans="5:33" ht="15">
      <c r="E735" s="466"/>
      <c r="F735" s="466"/>
      <c r="G735" s="466"/>
      <c r="H735" s="466"/>
      <c r="I735" s="466"/>
      <c r="J735" s="466"/>
      <c r="K735" s="466"/>
      <c r="R735" s="467"/>
      <c r="S735" s="467"/>
      <c r="T735" s="467"/>
      <c r="U735" s="467"/>
      <c r="V735" s="467"/>
      <c r="W735" s="467"/>
      <c r="AA735" s="467"/>
      <c r="AB735" s="467"/>
      <c r="AC735" s="467"/>
      <c r="AD735" s="467"/>
      <c r="AE735" s="467"/>
      <c r="AF735" s="467"/>
      <c r="AG735" s="467"/>
    </row>
    <row r="736" spans="5:33" ht="15">
      <c r="E736" s="466"/>
      <c r="F736" s="466"/>
      <c r="G736" s="466"/>
      <c r="H736" s="466"/>
      <c r="I736" s="466"/>
      <c r="J736" s="466"/>
      <c r="K736" s="466"/>
      <c r="R736" s="467"/>
      <c r="S736" s="467"/>
      <c r="T736" s="467"/>
      <c r="U736" s="467"/>
      <c r="V736" s="467"/>
      <c r="W736" s="467"/>
      <c r="AA736" s="467"/>
      <c r="AB736" s="467"/>
      <c r="AC736" s="467"/>
      <c r="AD736" s="467"/>
      <c r="AE736" s="467"/>
      <c r="AF736" s="467"/>
      <c r="AG736" s="467"/>
    </row>
    <row r="737" spans="5:33" ht="15">
      <c r="E737" s="466"/>
      <c r="F737" s="466"/>
      <c r="G737" s="466"/>
      <c r="H737" s="466"/>
      <c r="I737" s="466"/>
      <c r="J737" s="466"/>
      <c r="K737" s="466"/>
      <c r="R737" s="467"/>
      <c r="S737" s="467"/>
      <c r="T737" s="467"/>
      <c r="U737" s="467"/>
      <c r="V737" s="467"/>
      <c r="W737" s="467"/>
      <c r="AA737" s="467"/>
      <c r="AB737" s="467"/>
      <c r="AC737" s="467"/>
      <c r="AD737" s="467"/>
      <c r="AE737" s="467"/>
      <c r="AF737" s="467"/>
      <c r="AG737" s="467"/>
    </row>
    <row r="738" spans="5:33" ht="15">
      <c r="E738" s="466"/>
      <c r="F738" s="466"/>
      <c r="G738" s="466"/>
      <c r="H738" s="466"/>
      <c r="I738" s="466"/>
      <c r="J738" s="466"/>
      <c r="K738" s="466"/>
      <c r="R738" s="467"/>
      <c r="S738" s="467"/>
      <c r="T738" s="467"/>
      <c r="U738" s="467"/>
      <c r="V738" s="467"/>
      <c r="W738" s="467"/>
      <c r="AA738" s="467"/>
      <c r="AB738" s="467"/>
      <c r="AC738" s="467"/>
      <c r="AD738" s="467"/>
      <c r="AE738" s="467"/>
      <c r="AF738" s="467"/>
      <c r="AG738" s="467"/>
    </row>
    <row r="739" spans="5:33" ht="15">
      <c r="E739" s="466"/>
      <c r="F739" s="466"/>
      <c r="G739" s="466"/>
      <c r="H739" s="466"/>
      <c r="I739" s="466"/>
      <c r="J739" s="466"/>
      <c r="K739" s="466"/>
      <c r="R739" s="467"/>
      <c r="S739" s="467"/>
      <c r="T739" s="467"/>
      <c r="U739" s="467"/>
      <c r="V739" s="467"/>
      <c r="W739" s="467"/>
      <c r="AA739" s="467"/>
      <c r="AB739" s="467"/>
      <c r="AC739" s="467"/>
      <c r="AD739" s="467"/>
      <c r="AE739" s="467"/>
      <c r="AF739" s="467"/>
      <c r="AG739" s="467"/>
    </row>
    <row r="740" spans="5:33" ht="15">
      <c r="E740" s="466"/>
      <c r="F740" s="466"/>
      <c r="G740" s="466"/>
      <c r="H740" s="466"/>
      <c r="I740" s="466"/>
      <c r="J740" s="466"/>
      <c r="K740" s="466"/>
      <c r="R740" s="467"/>
      <c r="S740" s="467"/>
      <c r="T740" s="467"/>
      <c r="U740" s="467"/>
      <c r="V740" s="467"/>
      <c r="W740" s="467"/>
      <c r="AA740" s="467"/>
      <c r="AB740" s="467"/>
      <c r="AC740" s="467"/>
      <c r="AD740" s="467"/>
      <c r="AE740" s="467"/>
      <c r="AF740" s="467"/>
      <c r="AG740" s="467"/>
    </row>
    <row r="741" spans="5:33" ht="15">
      <c r="E741" s="466"/>
      <c r="F741" s="466"/>
      <c r="G741" s="466"/>
      <c r="H741" s="466"/>
      <c r="I741" s="466"/>
      <c r="J741" s="466"/>
      <c r="K741" s="466"/>
      <c r="R741" s="467"/>
      <c r="S741" s="467"/>
      <c r="T741" s="467"/>
      <c r="U741" s="467"/>
      <c r="V741" s="467"/>
      <c r="W741" s="467"/>
      <c r="AA741" s="467"/>
      <c r="AB741" s="467"/>
      <c r="AC741" s="467"/>
      <c r="AD741" s="467"/>
      <c r="AE741" s="467"/>
      <c r="AF741" s="467"/>
      <c r="AG741" s="467"/>
    </row>
    <row r="742" spans="5:33" ht="15">
      <c r="E742" s="466"/>
      <c r="F742" s="466"/>
      <c r="G742" s="466"/>
      <c r="H742" s="466"/>
      <c r="I742" s="466"/>
      <c r="J742" s="466"/>
      <c r="K742" s="466"/>
      <c r="R742" s="467"/>
      <c r="S742" s="467"/>
      <c r="T742" s="467"/>
      <c r="U742" s="467"/>
      <c r="V742" s="467"/>
      <c r="W742" s="467"/>
      <c r="AA742" s="467"/>
      <c r="AB742" s="467"/>
      <c r="AC742" s="467"/>
      <c r="AD742" s="467"/>
      <c r="AE742" s="467"/>
      <c r="AF742" s="467"/>
      <c r="AG742" s="467"/>
    </row>
    <row r="743" spans="5:33" ht="15">
      <c r="E743" s="466"/>
      <c r="F743" s="466"/>
      <c r="G743" s="466"/>
      <c r="H743" s="466"/>
      <c r="I743" s="466"/>
      <c r="J743" s="466"/>
      <c r="K743" s="466"/>
      <c r="R743" s="467"/>
      <c r="S743" s="467"/>
      <c r="T743" s="467"/>
      <c r="U743" s="467"/>
      <c r="V743" s="467"/>
      <c r="W743" s="467"/>
      <c r="AA743" s="467"/>
      <c r="AB743" s="467"/>
      <c r="AC743" s="467"/>
      <c r="AD743" s="467"/>
      <c r="AE743" s="467"/>
      <c r="AF743" s="467"/>
      <c r="AG743" s="467"/>
    </row>
    <row r="744" spans="5:33" ht="15">
      <c r="E744" s="466"/>
      <c r="F744" s="466"/>
      <c r="G744" s="466"/>
      <c r="H744" s="466"/>
      <c r="I744" s="466"/>
      <c r="J744" s="466"/>
      <c r="K744" s="466"/>
      <c r="R744" s="467"/>
      <c r="S744" s="467"/>
      <c r="T744" s="467"/>
      <c r="U744" s="467"/>
      <c r="V744" s="467"/>
      <c r="W744" s="467"/>
      <c r="AA744" s="467"/>
      <c r="AB744" s="467"/>
      <c r="AC744" s="467"/>
      <c r="AD744" s="467"/>
      <c r="AE744" s="467"/>
      <c r="AF744" s="467"/>
      <c r="AG744" s="467"/>
    </row>
    <row r="745" spans="5:33" ht="15">
      <c r="E745" s="466"/>
      <c r="F745" s="466"/>
      <c r="G745" s="466"/>
      <c r="H745" s="466"/>
      <c r="I745" s="466"/>
      <c r="J745" s="466"/>
      <c r="K745" s="466"/>
      <c r="R745" s="467"/>
      <c r="S745" s="467"/>
      <c r="T745" s="467"/>
      <c r="U745" s="467"/>
      <c r="V745" s="467"/>
      <c r="W745" s="467"/>
      <c r="AA745" s="467"/>
      <c r="AB745" s="467"/>
      <c r="AC745" s="467"/>
      <c r="AD745" s="467"/>
      <c r="AE745" s="467"/>
      <c r="AF745" s="467"/>
      <c r="AG745" s="467"/>
    </row>
    <row r="746" spans="5:33" ht="15">
      <c r="E746" s="466"/>
      <c r="F746" s="466"/>
      <c r="G746" s="466"/>
      <c r="H746" s="466"/>
      <c r="I746" s="466"/>
      <c r="J746" s="466"/>
      <c r="K746" s="466"/>
      <c r="R746" s="467"/>
      <c r="S746" s="467"/>
      <c r="T746" s="467"/>
      <c r="U746" s="467"/>
      <c r="V746" s="467"/>
      <c r="W746" s="467"/>
      <c r="AA746" s="467"/>
      <c r="AB746" s="467"/>
      <c r="AC746" s="467"/>
      <c r="AD746" s="467"/>
      <c r="AE746" s="467"/>
      <c r="AF746" s="467"/>
      <c r="AG746" s="467"/>
    </row>
    <row r="747" spans="5:33" ht="15">
      <c r="E747" s="466"/>
      <c r="F747" s="466"/>
      <c r="G747" s="466"/>
      <c r="H747" s="466"/>
      <c r="I747" s="466"/>
      <c r="J747" s="466"/>
      <c r="K747" s="466"/>
      <c r="R747" s="467"/>
      <c r="S747" s="467"/>
      <c r="T747" s="467"/>
      <c r="U747" s="467"/>
      <c r="V747" s="467"/>
      <c r="W747" s="467"/>
      <c r="AA747" s="467"/>
      <c r="AB747" s="467"/>
      <c r="AC747" s="467"/>
      <c r="AD747" s="467"/>
      <c r="AE747" s="467"/>
      <c r="AF747" s="467"/>
      <c r="AG747" s="467"/>
    </row>
    <row r="748" spans="5:33" ht="15">
      <c r="E748" s="466"/>
      <c r="F748" s="466"/>
      <c r="G748" s="466"/>
      <c r="H748" s="466"/>
      <c r="I748" s="466"/>
      <c r="J748" s="466"/>
      <c r="K748" s="466"/>
      <c r="R748" s="467"/>
      <c r="S748" s="467"/>
      <c r="T748" s="467"/>
      <c r="U748" s="467"/>
      <c r="V748" s="467"/>
      <c r="W748" s="467"/>
      <c r="AA748" s="467"/>
      <c r="AB748" s="467"/>
      <c r="AC748" s="467"/>
      <c r="AD748" s="467"/>
      <c r="AE748" s="467"/>
      <c r="AF748" s="467"/>
      <c r="AG748" s="467"/>
    </row>
    <row r="749" spans="5:33" ht="15">
      <c r="E749" s="466"/>
      <c r="F749" s="466"/>
      <c r="G749" s="466"/>
      <c r="H749" s="466"/>
      <c r="I749" s="466"/>
      <c r="J749" s="466"/>
      <c r="K749" s="466"/>
      <c r="R749" s="467"/>
      <c r="S749" s="467"/>
      <c r="T749" s="467"/>
      <c r="U749" s="467"/>
      <c r="V749" s="467"/>
      <c r="W749" s="467"/>
      <c r="AA749" s="467"/>
      <c r="AB749" s="467"/>
      <c r="AC749" s="467"/>
      <c r="AD749" s="467"/>
      <c r="AE749" s="467"/>
      <c r="AF749" s="467"/>
      <c r="AG749" s="467"/>
    </row>
    <row r="750" spans="5:33" ht="15">
      <c r="E750" s="466"/>
      <c r="F750" s="466"/>
      <c r="G750" s="466"/>
      <c r="H750" s="466"/>
      <c r="I750" s="466"/>
      <c r="J750" s="466"/>
      <c r="K750" s="466"/>
      <c r="R750" s="467"/>
      <c r="S750" s="467"/>
      <c r="T750" s="467"/>
      <c r="U750" s="467"/>
      <c r="V750" s="467"/>
      <c r="W750" s="467"/>
      <c r="AA750" s="467"/>
      <c r="AB750" s="467"/>
      <c r="AC750" s="467"/>
      <c r="AD750" s="467"/>
      <c r="AE750" s="467"/>
      <c r="AF750" s="467"/>
      <c r="AG750" s="467"/>
    </row>
    <row r="751" spans="5:33" ht="15">
      <c r="E751" s="466"/>
      <c r="F751" s="466"/>
      <c r="G751" s="466"/>
      <c r="H751" s="466"/>
      <c r="I751" s="466"/>
      <c r="J751" s="466"/>
      <c r="K751" s="466"/>
      <c r="R751" s="467"/>
      <c r="S751" s="467"/>
      <c r="T751" s="467"/>
      <c r="U751" s="467"/>
      <c r="V751" s="467"/>
      <c r="W751" s="467"/>
      <c r="AA751" s="467"/>
      <c r="AB751" s="467"/>
      <c r="AC751" s="467"/>
      <c r="AD751" s="467"/>
      <c r="AE751" s="467"/>
      <c r="AF751" s="467"/>
      <c r="AG751" s="467"/>
    </row>
    <row r="752" spans="5:33" ht="15">
      <c r="E752" s="466"/>
      <c r="F752" s="466"/>
      <c r="G752" s="466"/>
      <c r="H752" s="466"/>
      <c r="I752" s="466"/>
      <c r="J752" s="466"/>
      <c r="K752" s="466"/>
      <c r="R752" s="467"/>
      <c r="S752" s="467"/>
      <c r="T752" s="467"/>
      <c r="U752" s="467"/>
      <c r="V752" s="467"/>
      <c r="W752" s="467"/>
      <c r="AA752" s="467"/>
      <c r="AB752" s="467"/>
      <c r="AC752" s="467"/>
      <c r="AD752" s="467"/>
      <c r="AE752" s="467"/>
      <c r="AF752" s="467"/>
      <c r="AG752" s="467"/>
    </row>
    <row r="753" spans="5:33" ht="15">
      <c r="E753" s="466"/>
      <c r="F753" s="466"/>
      <c r="G753" s="466"/>
      <c r="H753" s="466"/>
      <c r="I753" s="466"/>
      <c r="J753" s="466"/>
      <c r="K753" s="466"/>
      <c r="R753" s="467"/>
      <c r="S753" s="467"/>
      <c r="T753" s="467"/>
      <c r="U753" s="467"/>
      <c r="V753" s="467"/>
      <c r="W753" s="467"/>
      <c r="AA753" s="467"/>
      <c r="AB753" s="467"/>
      <c r="AC753" s="467"/>
      <c r="AD753" s="467"/>
      <c r="AE753" s="467"/>
      <c r="AF753" s="467"/>
      <c r="AG753" s="467"/>
    </row>
    <row r="754" spans="5:33" ht="15">
      <c r="E754" s="466"/>
      <c r="F754" s="466"/>
      <c r="G754" s="466"/>
      <c r="H754" s="466"/>
      <c r="I754" s="466"/>
      <c r="J754" s="466"/>
      <c r="K754" s="466"/>
      <c r="R754" s="467"/>
      <c r="S754" s="467"/>
      <c r="T754" s="467"/>
      <c r="U754" s="467"/>
      <c r="V754" s="467"/>
      <c r="W754" s="467"/>
      <c r="AA754" s="467"/>
      <c r="AB754" s="467"/>
      <c r="AC754" s="467"/>
      <c r="AD754" s="467"/>
      <c r="AE754" s="467"/>
      <c r="AF754" s="467"/>
      <c r="AG754" s="467"/>
    </row>
    <row r="755" spans="5:33" ht="15">
      <c r="E755" s="466"/>
      <c r="F755" s="466"/>
      <c r="G755" s="466"/>
      <c r="H755" s="466"/>
      <c r="I755" s="466"/>
      <c r="J755" s="466"/>
      <c r="K755" s="466"/>
      <c r="R755" s="467"/>
      <c r="S755" s="467"/>
      <c r="T755" s="467"/>
      <c r="U755" s="467"/>
      <c r="V755" s="467"/>
      <c r="W755" s="467"/>
      <c r="AA755" s="467"/>
      <c r="AB755" s="467"/>
      <c r="AC755" s="467"/>
      <c r="AD755" s="467"/>
      <c r="AE755" s="467"/>
      <c r="AF755" s="467"/>
      <c r="AG755" s="467"/>
    </row>
    <row r="756" spans="5:33" ht="15">
      <c r="E756" s="466"/>
      <c r="F756" s="466"/>
      <c r="G756" s="466"/>
      <c r="H756" s="466"/>
      <c r="I756" s="466"/>
      <c r="J756" s="466"/>
      <c r="K756" s="466"/>
      <c r="R756" s="467"/>
      <c r="S756" s="467"/>
      <c r="T756" s="467"/>
      <c r="U756" s="467"/>
      <c r="V756" s="467"/>
      <c r="W756" s="467"/>
      <c r="AA756" s="467"/>
      <c r="AB756" s="467"/>
      <c r="AC756" s="467"/>
      <c r="AD756" s="467"/>
      <c r="AE756" s="467"/>
      <c r="AF756" s="467"/>
      <c r="AG756" s="467"/>
    </row>
    <row r="757" spans="5:33" ht="15">
      <c r="E757" s="466"/>
      <c r="F757" s="466"/>
      <c r="G757" s="466"/>
      <c r="H757" s="466"/>
      <c r="I757" s="466"/>
      <c r="J757" s="466"/>
      <c r="K757" s="466"/>
      <c r="R757" s="467"/>
      <c r="S757" s="467"/>
      <c r="T757" s="467"/>
      <c r="U757" s="467"/>
      <c r="V757" s="467"/>
      <c r="W757" s="467"/>
      <c r="AA757" s="467"/>
      <c r="AB757" s="467"/>
      <c r="AC757" s="467"/>
      <c r="AD757" s="467"/>
      <c r="AE757" s="467"/>
      <c r="AF757" s="467"/>
      <c r="AG757" s="467"/>
    </row>
    <row r="758" spans="5:33" ht="15">
      <c r="E758" s="466"/>
      <c r="F758" s="466"/>
      <c r="G758" s="466"/>
      <c r="H758" s="466"/>
      <c r="I758" s="466"/>
      <c r="J758" s="466"/>
      <c r="K758" s="466"/>
      <c r="R758" s="467"/>
      <c r="S758" s="467"/>
      <c r="T758" s="467"/>
      <c r="U758" s="467"/>
      <c r="V758" s="467"/>
      <c r="W758" s="467"/>
      <c r="AA758" s="467"/>
      <c r="AB758" s="467"/>
      <c r="AC758" s="467"/>
      <c r="AD758" s="467"/>
      <c r="AE758" s="467"/>
      <c r="AF758" s="467"/>
      <c r="AG758" s="467"/>
    </row>
    <row r="759" spans="5:33" ht="15">
      <c r="E759" s="466"/>
      <c r="F759" s="466"/>
      <c r="G759" s="466"/>
      <c r="H759" s="466"/>
      <c r="I759" s="466"/>
      <c r="J759" s="466"/>
      <c r="K759" s="466"/>
      <c r="R759" s="467"/>
      <c r="S759" s="467"/>
      <c r="T759" s="467"/>
      <c r="U759" s="467"/>
      <c r="V759" s="467"/>
      <c r="W759" s="467"/>
      <c r="AA759" s="467"/>
      <c r="AB759" s="467"/>
      <c r="AC759" s="467"/>
      <c r="AD759" s="467"/>
      <c r="AE759" s="467"/>
      <c r="AF759" s="467"/>
      <c r="AG759" s="467"/>
    </row>
    <row r="760" spans="5:33" ht="15">
      <c r="E760" s="466"/>
      <c r="F760" s="466"/>
      <c r="G760" s="466"/>
      <c r="H760" s="466"/>
      <c r="I760" s="466"/>
      <c r="J760" s="466"/>
      <c r="K760" s="466"/>
      <c r="R760" s="467"/>
      <c r="S760" s="467"/>
      <c r="T760" s="467"/>
      <c r="U760" s="467"/>
      <c r="V760" s="467"/>
      <c r="W760" s="467"/>
      <c r="AA760" s="467"/>
      <c r="AB760" s="467"/>
      <c r="AC760" s="467"/>
      <c r="AD760" s="467"/>
      <c r="AE760" s="467"/>
      <c r="AF760" s="467"/>
      <c r="AG760" s="467"/>
    </row>
    <row r="761" spans="5:33" ht="15">
      <c r="E761" s="466"/>
      <c r="F761" s="466"/>
      <c r="G761" s="466"/>
      <c r="H761" s="466"/>
      <c r="I761" s="466"/>
      <c r="J761" s="466"/>
      <c r="K761" s="466"/>
      <c r="R761" s="467"/>
      <c r="S761" s="467"/>
      <c r="T761" s="467"/>
      <c r="U761" s="467"/>
      <c r="V761" s="467"/>
      <c r="W761" s="467"/>
      <c r="AA761" s="467"/>
      <c r="AB761" s="467"/>
      <c r="AC761" s="467"/>
      <c r="AD761" s="467"/>
      <c r="AE761" s="467"/>
      <c r="AF761" s="467"/>
      <c r="AG761" s="467"/>
    </row>
    <row r="762" spans="5:33" ht="15">
      <c r="E762" s="466"/>
      <c r="F762" s="466"/>
      <c r="G762" s="466"/>
      <c r="H762" s="466"/>
      <c r="I762" s="466"/>
      <c r="J762" s="466"/>
      <c r="K762" s="466"/>
      <c r="R762" s="467"/>
      <c r="S762" s="467"/>
      <c r="T762" s="467"/>
      <c r="U762" s="467"/>
      <c r="V762" s="467"/>
      <c r="W762" s="467"/>
      <c r="AA762" s="467"/>
      <c r="AB762" s="467"/>
      <c r="AC762" s="467"/>
      <c r="AD762" s="467"/>
      <c r="AE762" s="467"/>
      <c r="AF762" s="467"/>
      <c r="AG762" s="467"/>
    </row>
    <row r="763" spans="5:33" ht="15">
      <c r="E763" s="466"/>
      <c r="F763" s="466"/>
      <c r="G763" s="466"/>
      <c r="H763" s="466"/>
      <c r="I763" s="466"/>
      <c r="J763" s="466"/>
      <c r="K763" s="466"/>
      <c r="R763" s="467"/>
      <c r="S763" s="467"/>
      <c r="T763" s="467"/>
      <c r="U763" s="467"/>
      <c r="V763" s="467"/>
      <c r="W763" s="467"/>
      <c r="AA763" s="467"/>
      <c r="AB763" s="467"/>
      <c r="AC763" s="467"/>
      <c r="AD763" s="467"/>
      <c r="AE763" s="467"/>
      <c r="AF763" s="467"/>
      <c r="AG763" s="467"/>
    </row>
    <row r="764" spans="5:33" ht="15">
      <c r="E764" s="466"/>
      <c r="F764" s="466"/>
      <c r="G764" s="466"/>
      <c r="H764" s="466"/>
      <c r="I764" s="466"/>
      <c r="J764" s="466"/>
      <c r="K764" s="466"/>
      <c r="R764" s="467"/>
      <c r="S764" s="467"/>
      <c r="T764" s="467"/>
      <c r="U764" s="467"/>
      <c r="V764" s="467"/>
      <c r="W764" s="467"/>
      <c r="AA764" s="467"/>
      <c r="AB764" s="467"/>
      <c r="AC764" s="467"/>
      <c r="AD764" s="467"/>
      <c r="AE764" s="467"/>
      <c r="AF764" s="467"/>
      <c r="AG764" s="467"/>
    </row>
    <row r="765" spans="5:33" ht="15">
      <c r="E765" s="466"/>
      <c r="F765" s="466"/>
      <c r="G765" s="466"/>
      <c r="H765" s="466"/>
      <c r="I765" s="466"/>
      <c r="J765" s="466"/>
      <c r="K765" s="466"/>
      <c r="R765" s="467"/>
      <c r="S765" s="467"/>
      <c r="T765" s="467"/>
      <c r="U765" s="467"/>
      <c r="V765" s="467"/>
      <c r="W765" s="467"/>
      <c r="AA765" s="467"/>
      <c r="AB765" s="467"/>
      <c r="AC765" s="467"/>
      <c r="AD765" s="467"/>
      <c r="AE765" s="467"/>
      <c r="AF765" s="467"/>
      <c r="AG765" s="467"/>
    </row>
    <row r="766" spans="5:33" ht="15">
      <c r="E766" s="466"/>
      <c r="F766" s="466"/>
      <c r="G766" s="466"/>
      <c r="H766" s="466"/>
      <c r="I766" s="466"/>
      <c r="J766" s="466"/>
      <c r="K766" s="466"/>
      <c r="R766" s="467"/>
      <c r="S766" s="467"/>
      <c r="T766" s="467"/>
      <c r="U766" s="467"/>
      <c r="V766" s="467"/>
      <c r="W766" s="467"/>
      <c r="AA766" s="467"/>
      <c r="AB766" s="467"/>
      <c r="AC766" s="467"/>
      <c r="AD766" s="467"/>
      <c r="AE766" s="467"/>
      <c r="AF766" s="467"/>
      <c r="AG766" s="467"/>
    </row>
    <row r="767" spans="5:33" ht="15">
      <c r="E767" s="466"/>
      <c r="F767" s="466"/>
      <c r="G767" s="466"/>
      <c r="H767" s="466"/>
      <c r="I767" s="466"/>
      <c r="J767" s="466"/>
      <c r="K767" s="466"/>
      <c r="R767" s="467"/>
      <c r="S767" s="467"/>
      <c r="T767" s="467"/>
      <c r="U767" s="467"/>
      <c r="V767" s="467"/>
      <c r="W767" s="467"/>
      <c r="AA767" s="467"/>
      <c r="AB767" s="467"/>
      <c r="AC767" s="467"/>
      <c r="AD767" s="467"/>
      <c r="AE767" s="467"/>
      <c r="AF767" s="467"/>
      <c r="AG767" s="467"/>
    </row>
    <row r="768" spans="5:33" ht="15">
      <c r="E768" s="466"/>
      <c r="F768" s="466"/>
      <c r="G768" s="466"/>
      <c r="H768" s="466"/>
      <c r="I768" s="466"/>
      <c r="J768" s="466"/>
      <c r="K768" s="466"/>
      <c r="R768" s="467"/>
      <c r="S768" s="467"/>
      <c r="T768" s="467"/>
      <c r="U768" s="467"/>
      <c r="V768" s="467"/>
      <c r="W768" s="467"/>
      <c r="AA768" s="467"/>
      <c r="AB768" s="467"/>
      <c r="AC768" s="467"/>
      <c r="AD768" s="467"/>
      <c r="AE768" s="467"/>
      <c r="AF768" s="467"/>
      <c r="AG768" s="467"/>
    </row>
    <row r="769" spans="5:33" ht="15">
      <c r="E769" s="466"/>
      <c r="F769" s="466"/>
      <c r="G769" s="466"/>
      <c r="H769" s="466"/>
      <c r="I769" s="466"/>
      <c r="J769" s="466"/>
      <c r="K769" s="466"/>
      <c r="R769" s="467"/>
      <c r="S769" s="467"/>
      <c r="T769" s="467"/>
      <c r="U769" s="467"/>
      <c r="V769" s="467"/>
      <c r="W769" s="467"/>
      <c r="AA769" s="467"/>
      <c r="AB769" s="467"/>
      <c r="AC769" s="467"/>
      <c r="AD769" s="467"/>
      <c r="AE769" s="467"/>
      <c r="AF769" s="467"/>
      <c r="AG769" s="467"/>
    </row>
    <row r="770" spans="5:33" ht="15">
      <c r="E770" s="466"/>
      <c r="F770" s="466"/>
      <c r="G770" s="466"/>
      <c r="H770" s="466"/>
      <c r="I770" s="466"/>
      <c r="J770" s="466"/>
      <c r="K770" s="466"/>
      <c r="R770" s="467"/>
      <c r="S770" s="467"/>
      <c r="T770" s="467"/>
      <c r="U770" s="467"/>
      <c r="V770" s="467"/>
      <c r="W770" s="467"/>
      <c r="AA770" s="467"/>
      <c r="AB770" s="467"/>
      <c r="AC770" s="467"/>
      <c r="AD770" s="467"/>
      <c r="AE770" s="467"/>
      <c r="AF770" s="467"/>
      <c r="AG770" s="467"/>
    </row>
    <row r="771" spans="5:33" ht="15">
      <c r="E771" s="466"/>
      <c r="F771" s="466"/>
      <c r="G771" s="466"/>
      <c r="H771" s="466"/>
      <c r="I771" s="466"/>
      <c r="J771" s="466"/>
      <c r="K771" s="466"/>
      <c r="R771" s="467"/>
      <c r="S771" s="467"/>
      <c r="T771" s="467"/>
      <c r="U771" s="467"/>
      <c r="V771" s="467"/>
      <c r="W771" s="467"/>
      <c r="AA771" s="467"/>
      <c r="AB771" s="467"/>
      <c r="AC771" s="467"/>
      <c r="AD771" s="467"/>
      <c r="AE771" s="467"/>
      <c r="AF771" s="467"/>
      <c r="AG771" s="467"/>
    </row>
    <row r="772" spans="5:33" ht="15">
      <c r="E772" s="466"/>
      <c r="F772" s="466"/>
      <c r="G772" s="466"/>
      <c r="H772" s="466"/>
      <c r="I772" s="466"/>
      <c r="J772" s="466"/>
      <c r="K772" s="466"/>
      <c r="R772" s="467"/>
      <c r="S772" s="467"/>
      <c r="T772" s="467"/>
      <c r="U772" s="467"/>
      <c r="V772" s="467"/>
      <c r="W772" s="467"/>
      <c r="AA772" s="467"/>
      <c r="AB772" s="467"/>
      <c r="AC772" s="467"/>
      <c r="AD772" s="467"/>
      <c r="AE772" s="467"/>
      <c r="AF772" s="467"/>
      <c r="AG772" s="467"/>
    </row>
    <row r="773" spans="5:33" ht="15">
      <c r="E773" s="466"/>
      <c r="F773" s="466"/>
      <c r="G773" s="466"/>
      <c r="H773" s="466"/>
      <c r="I773" s="466"/>
      <c r="J773" s="466"/>
      <c r="K773" s="466"/>
      <c r="R773" s="467"/>
      <c r="S773" s="467"/>
      <c r="T773" s="467"/>
      <c r="U773" s="467"/>
      <c r="V773" s="467"/>
      <c r="W773" s="467"/>
      <c r="AA773" s="467"/>
      <c r="AB773" s="467"/>
      <c r="AC773" s="467"/>
      <c r="AD773" s="467"/>
      <c r="AE773" s="467"/>
      <c r="AF773" s="467"/>
      <c r="AG773" s="467"/>
    </row>
    <row r="774" spans="5:33" ht="15">
      <c r="E774" s="466"/>
      <c r="F774" s="466"/>
      <c r="G774" s="466"/>
      <c r="H774" s="466"/>
      <c r="I774" s="466"/>
      <c r="J774" s="466"/>
      <c r="K774" s="466"/>
      <c r="R774" s="467"/>
      <c r="S774" s="467"/>
      <c r="T774" s="467"/>
      <c r="U774" s="467"/>
      <c r="V774" s="467"/>
      <c r="W774" s="467"/>
      <c r="AA774" s="467"/>
      <c r="AB774" s="467"/>
      <c r="AC774" s="467"/>
      <c r="AD774" s="467"/>
      <c r="AE774" s="467"/>
      <c r="AF774" s="467"/>
      <c r="AG774" s="467"/>
    </row>
    <row r="775" spans="5:33" ht="15">
      <c r="E775" s="466"/>
      <c r="F775" s="466"/>
      <c r="G775" s="466"/>
      <c r="H775" s="466"/>
      <c r="I775" s="466"/>
      <c r="J775" s="466"/>
      <c r="K775" s="466"/>
      <c r="R775" s="467"/>
      <c r="S775" s="467"/>
      <c r="T775" s="467"/>
      <c r="U775" s="467"/>
      <c r="V775" s="467"/>
      <c r="W775" s="467"/>
      <c r="AA775" s="467"/>
      <c r="AB775" s="467"/>
      <c r="AC775" s="467"/>
      <c r="AD775" s="467"/>
      <c r="AE775" s="467"/>
      <c r="AF775" s="467"/>
      <c r="AG775" s="467"/>
    </row>
    <row r="776" spans="5:33" ht="15">
      <c r="E776" s="466"/>
      <c r="F776" s="466"/>
      <c r="G776" s="466"/>
      <c r="H776" s="466"/>
      <c r="I776" s="466"/>
      <c r="J776" s="466"/>
      <c r="K776" s="466"/>
      <c r="R776" s="467"/>
      <c r="S776" s="467"/>
      <c r="T776" s="467"/>
      <c r="U776" s="467"/>
      <c r="V776" s="467"/>
      <c r="W776" s="467"/>
      <c r="AA776" s="467"/>
      <c r="AB776" s="467"/>
      <c r="AC776" s="467"/>
      <c r="AD776" s="467"/>
      <c r="AE776" s="467"/>
      <c r="AF776" s="467"/>
      <c r="AG776" s="467"/>
    </row>
    <row r="777" spans="5:33" ht="15">
      <c r="E777" s="466"/>
      <c r="F777" s="466"/>
      <c r="G777" s="466"/>
      <c r="H777" s="466"/>
      <c r="I777" s="466"/>
      <c r="J777" s="466"/>
      <c r="K777" s="466"/>
      <c r="R777" s="467"/>
      <c r="S777" s="467"/>
      <c r="T777" s="467"/>
      <c r="U777" s="467"/>
      <c r="V777" s="467"/>
      <c r="W777" s="467"/>
      <c r="AA777" s="467"/>
      <c r="AB777" s="467"/>
      <c r="AC777" s="467"/>
      <c r="AD777" s="467"/>
      <c r="AE777" s="467"/>
      <c r="AF777" s="467"/>
      <c r="AG777" s="467"/>
    </row>
    <row r="778" spans="5:33" ht="15">
      <c r="E778" s="466"/>
      <c r="F778" s="466"/>
      <c r="G778" s="466"/>
      <c r="H778" s="466"/>
      <c r="I778" s="466"/>
      <c r="J778" s="466"/>
      <c r="K778" s="466"/>
      <c r="R778" s="467"/>
      <c r="S778" s="467"/>
      <c r="T778" s="467"/>
      <c r="U778" s="467"/>
      <c r="V778" s="467"/>
      <c r="W778" s="467"/>
      <c r="AA778" s="467"/>
      <c r="AB778" s="467"/>
      <c r="AC778" s="467"/>
      <c r="AD778" s="467"/>
      <c r="AE778" s="467"/>
      <c r="AF778" s="467"/>
      <c r="AG778" s="467"/>
    </row>
    <row r="779" spans="5:33" ht="15">
      <c r="E779" s="466"/>
      <c r="F779" s="466"/>
      <c r="G779" s="466"/>
      <c r="H779" s="466"/>
      <c r="I779" s="466"/>
      <c r="J779" s="466"/>
      <c r="K779" s="466"/>
      <c r="R779" s="467"/>
      <c r="S779" s="467"/>
      <c r="T779" s="467"/>
      <c r="U779" s="467"/>
      <c r="V779" s="467"/>
      <c r="W779" s="467"/>
      <c r="AA779" s="467"/>
      <c r="AB779" s="467"/>
      <c r="AC779" s="467"/>
      <c r="AD779" s="467"/>
      <c r="AE779" s="467"/>
      <c r="AF779" s="467"/>
      <c r="AG779" s="467"/>
    </row>
    <row r="780" spans="5:33" ht="15">
      <c r="E780" s="466"/>
      <c r="F780" s="466"/>
      <c r="G780" s="466"/>
      <c r="H780" s="466"/>
      <c r="I780" s="466"/>
      <c r="J780" s="466"/>
      <c r="K780" s="466"/>
      <c r="R780" s="467"/>
      <c r="S780" s="467"/>
      <c r="T780" s="467"/>
      <c r="U780" s="467"/>
      <c r="V780" s="467"/>
      <c r="W780" s="467"/>
      <c r="AA780" s="467"/>
      <c r="AB780" s="467"/>
      <c r="AC780" s="467"/>
      <c r="AD780" s="467"/>
      <c r="AE780" s="467"/>
      <c r="AF780" s="467"/>
      <c r="AG780" s="467"/>
    </row>
    <row r="781" spans="5:33" ht="15">
      <c r="E781" s="466"/>
      <c r="F781" s="466"/>
      <c r="G781" s="466"/>
      <c r="H781" s="466"/>
      <c r="I781" s="466"/>
      <c r="J781" s="466"/>
      <c r="K781" s="466"/>
      <c r="R781" s="467"/>
      <c r="S781" s="467"/>
      <c r="T781" s="467"/>
      <c r="U781" s="467"/>
      <c r="V781" s="467"/>
      <c r="W781" s="467"/>
      <c r="AA781" s="467"/>
      <c r="AB781" s="467"/>
      <c r="AC781" s="467"/>
      <c r="AD781" s="467"/>
      <c r="AE781" s="467"/>
      <c r="AF781" s="467"/>
      <c r="AG781" s="467"/>
    </row>
    <row r="782" spans="5:33" ht="15">
      <c r="E782" s="466"/>
      <c r="F782" s="466"/>
      <c r="G782" s="466"/>
      <c r="H782" s="466"/>
      <c r="I782" s="466"/>
      <c r="J782" s="466"/>
      <c r="K782" s="466"/>
      <c r="R782" s="467"/>
      <c r="S782" s="467"/>
      <c r="T782" s="467"/>
      <c r="U782" s="467"/>
      <c r="V782" s="467"/>
      <c r="W782" s="467"/>
      <c r="AA782" s="467"/>
      <c r="AB782" s="467"/>
      <c r="AC782" s="467"/>
      <c r="AD782" s="467"/>
      <c r="AE782" s="467"/>
      <c r="AF782" s="467"/>
      <c r="AG782" s="467"/>
    </row>
    <row r="783" spans="5:33" ht="15">
      <c r="E783" s="466"/>
      <c r="F783" s="466"/>
      <c r="G783" s="466"/>
      <c r="H783" s="466"/>
      <c r="I783" s="466"/>
      <c r="J783" s="466"/>
      <c r="K783" s="466"/>
      <c r="R783" s="467"/>
      <c r="S783" s="467"/>
      <c r="T783" s="467"/>
      <c r="U783" s="467"/>
      <c r="V783" s="467"/>
      <c r="W783" s="467"/>
      <c r="AA783" s="467"/>
      <c r="AB783" s="467"/>
      <c r="AC783" s="467"/>
      <c r="AD783" s="467"/>
      <c r="AE783" s="467"/>
      <c r="AF783" s="467"/>
      <c r="AG783" s="467"/>
    </row>
    <row r="784" spans="5:33" ht="15">
      <c r="E784" s="466"/>
      <c r="F784" s="466"/>
      <c r="G784" s="466"/>
      <c r="H784" s="466"/>
      <c r="I784" s="466"/>
      <c r="J784" s="466"/>
      <c r="K784" s="466"/>
      <c r="R784" s="467"/>
      <c r="S784" s="467"/>
      <c r="T784" s="467"/>
      <c r="U784" s="467"/>
      <c r="V784" s="467"/>
      <c r="W784" s="467"/>
      <c r="AA784" s="467"/>
      <c r="AB784" s="467"/>
      <c r="AC784" s="467"/>
      <c r="AD784" s="467"/>
      <c r="AE784" s="467"/>
      <c r="AF784" s="467"/>
      <c r="AG784" s="467"/>
    </row>
    <row r="785" spans="5:33" ht="15">
      <c r="E785" s="466"/>
      <c r="F785" s="466"/>
      <c r="G785" s="466"/>
      <c r="H785" s="466"/>
      <c r="I785" s="466"/>
      <c r="J785" s="466"/>
      <c r="K785" s="466"/>
      <c r="R785" s="467"/>
      <c r="S785" s="467"/>
      <c r="T785" s="467"/>
      <c r="U785" s="467"/>
      <c r="V785" s="467"/>
      <c r="W785" s="467"/>
      <c r="AA785" s="467"/>
      <c r="AB785" s="467"/>
      <c r="AC785" s="467"/>
      <c r="AD785" s="467"/>
      <c r="AE785" s="467"/>
      <c r="AF785" s="467"/>
      <c r="AG785" s="467"/>
    </row>
    <row r="786" spans="5:33" ht="15">
      <c r="E786" s="466"/>
      <c r="F786" s="466"/>
      <c r="G786" s="466"/>
      <c r="H786" s="466"/>
      <c r="I786" s="466"/>
      <c r="J786" s="466"/>
      <c r="K786" s="466"/>
      <c r="R786" s="467"/>
      <c r="S786" s="467"/>
      <c r="T786" s="467"/>
      <c r="U786" s="467"/>
      <c r="V786" s="467"/>
      <c r="W786" s="467"/>
      <c r="AA786" s="467"/>
      <c r="AB786" s="467"/>
      <c r="AC786" s="467"/>
      <c r="AD786" s="467"/>
      <c r="AE786" s="467"/>
      <c r="AF786" s="467"/>
      <c r="AG786" s="467"/>
    </row>
    <row r="787" spans="5:33" ht="15">
      <c r="E787" s="466"/>
      <c r="F787" s="466"/>
      <c r="G787" s="466"/>
      <c r="H787" s="466"/>
      <c r="I787" s="466"/>
      <c r="J787" s="466"/>
      <c r="K787" s="466"/>
      <c r="R787" s="467"/>
      <c r="S787" s="467"/>
      <c r="T787" s="467"/>
      <c r="U787" s="467"/>
      <c r="V787" s="467"/>
      <c r="W787" s="467"/>
      <c r="AA787" s="467"/>
      <c r="AB787" s="467"/>
      <c r="AC787" s="467"/>
      <c r="AD787" s="467"/>
      <c r="AE787" s="467"/>
      <c r="AF787" s="467"/>
      <c r="AG787" s="467"/>
    </row>
    <row r="788" spans="5:33" ht="15">
      <c r="E788" s="466"/>
      <c r="F788" s="466"/>
      <c r="G788" s="466"/>
      <c r="H788" s="466"/>
      <c r="I788" s="466"/>
      <c r="J788" s="466"/>
      <c r="K788" s="466"/>
      <c r="R788" s="467"/>
      <c r="S788" s="467"/>
      <c r="T788" s="467"/>
      <c r="U788" s="467"/>
      <c r="V788" s="467"/>
      <c r="W788" s="467"/>
      <c r="AA788" s="467"/>
      <c r="AB788" s="467"/>
      <c r="AC788" s="467"/>
      <c r="AD788" s="467"/>
      <c r="AE788" s="467"/>
      <c r="AF788" s="467"/>
      <c r="AG788" s="467"/>
    </row>
    <row r="789" spans="5:33" ht="15">
      <c r="E789" s="466"/>
      <c r="F789" s="466"/>
      <c r="G789" s="466"/>
      <c r="H789" s="466"/>
      <c r="I789" s="466"/>
      <c r="J789" s="466"/>
      <c r="K789" s="466"/>
      <c r="R789" s="467"/>
      <c r="S789" s="467"/>
      <c r="T789" s="467"/>
      <c r="U789" s="467"/>
      <c r="V789" s="467"/>
      <c r="W789" s="467"/>
      <c r="AA789" s="467"/>
      <c r="AB789" s="467"/>
      <c r="AC789" s="467"/>
      <c r="AD789" s="467"/>
      <c r="AE789" s="467"/>
      <c r="AF789" s="467"/>
      <c r="AG789" s="467"/>
    </row>
    <row r="790" spans="5:33" ht="15">
      <c r="E790" s="466"/>
      <c r="F790" s="466"/>
      <c r="G790" s="466"/>
      <c r="H790" s="466"/>
      <c r="I790" s="466"/>
      <c r="J790" s="466"/>
      <c r="K790" s="466"/>
      <c r="R790" s="467"/>
      <c r="S790" s="467"/>
      <c r="T790" s="467"/>
      <c r="U790" s="467"/>
      <c r="V790" s="467"/>
      <c r="W790" s="467"/>
      <c r="AA790" s="467"/>
      <c r="AB790" s="467"/>
      <c r="AC790" s="467"/>
      <c r="AD790" s="467"/>
      <c r="AE790" s="467"/>
      <c r="AF790" s="467"/>
      <c r="AG790" s="467"/>
    </row>
    <row r="791" spans="5:33" ht="15">
      <c r="E791" s="466"/>
      <c r="F791" s="466"/>
      <c r="G791" s="466"/>
      <c r="H791" s="466"/>
      <c r="I791" s="466"/>
      <c r="J791" s="466"/>
      <c r="K791" s="466"/>
      <c r="R791" s="467"/>
      <c r="S791" s="467"/>
      <c r="T791" s="467"/>
      <c r="U791" s="467"/>
      <c r="V791" s="467"/>
      <c r="W791" s="467"/>
      <c r="AA791" s="467"/>
      <c r="AB791" s="467"/>
      <c r="AC791" s="467"/>
      <c r="AD791" s="467"/>
      <c r="AE791" s="467"/>
      <c r="AF791" s="467"/>
      <c r="AG791" s="467"/>
    </row>
    <row r="792" spans="5:33" ht="15">
      <c r="E792" s="466"/>
      <c r="F792" s="466"/>
      <c r="G792" s="466"/>
      <c r="H792" s="466"/>
      <c r="I792" s="466"/>
      <c r="J792" s="466"/>
      <c r="K792" s="466"/>
      <c r="R792" s="467"/>
      <c r="S792" s="467"/>
      <c r="T792" s="467"/>
      <c r="U792" s="467"/>
      <c r="V792" s="467"/>
      <c r="W792" s="467"/>
      <c r="AA792" s="467"/>
      <c r="AB792" s="467"/>
      <c r="AC792" s="467"/>
      <c r="AD792" s="467"/>
      <c r="AE792" s="467"/>
      <c r="AF792" s="467"/>
      <c r="AG792" s="467"/>
    </row>
    <row r="793" spans="5:33" ht="15">
      <c r="E793" s="466"/>
      <c r="F793" s="466"/>
      <c r="G793" s="466"/>
      <c r="H793" s="466"/>
      <c r="I793" s="466"/>
      <c r="J793" s="466"/>
      <c r="K793" s="466"/>
      <c r="R793" s="467"/>
      <c r="S793" s="467"/>
      <c r="T793" s="467"/>
      <c r="U793" s="467"/>
      <c r="V793" s="467"/>
      <c r="W793" s="467"/>
      <c r="AA793" s="467"/>
      <c r="AB793" s="467"/>
      <c r="AC793" s="467"/>
      <c r="AD793" s="467"/>
      <c r="AE793" s="467"/>
      <c r="AF793" s="467"/>
      <c r="AG793" s="467"/>
    </row>
    <row r="794" spans="5:33" ht="15">
      <c r="E794" s="466"/>
      <c r="F794" s="466"/>
      <c r="G794" s="466"/>
      <c r="H794" s="466"/>
      <c r="I794" s="466"/>
      <c r="J794" s="466"/>
      <c r="K794" s="466"/>
      <c r="R794" s="467"/>
      <c r="S794" s="467"/>
      <c r="T794" s="467"/>
      <c r="U794" s="467"/>
      <c r="V794" s="467"/>
      <c r="W794" s="467"/>
      <c r="AA794" s="467"/>
      <c r="AB794" s="467"/>
      <c r="AC794" s="467"/>
      <c r="AD794" s="467"/>
      <c r="AE794" s="467"/>
      <c r="AF794" s="467"/>
      <c r="AG794" s="467"/>
    </row>
    <row r="795" spans="5:33" ht="15">
      <c r="E795" s="466"/>
      <c r="F795" s="466"/>
      <c r="G795" s="466"/>
      <c r="H795" s="466"/>
      <c r="I795" s="466"/>
      <c r="J795" s="466"/>
      <c r="K795" s="466"/>
      <c r="R795" s="467"/>
      <c r="S795" s="467"/>
      <c r="T795" s="467"/>
      <c r="U795" s="467"/>
      <c r="V795" s="467"/>
      <c r="W795" s="467"/>
      <c r="AA795" s="467"/>
      <c r="AB795" s="467"/>
      <c r="AC795" s="467"/>
      <c r="AD795" s="467"/>
      <c r="AE795" s="467"/>
      <c r="AF795" s="467"/>
      <c r="AG795" s="467"/>
    </row>
    <row r="796" spans="5:33" ht="15">
      <c r="E796" s="466"/>
      <c r="F796" s="466"/>
      <c r="G796" s="466"/>
      <c r="H796" s="466"/>
      <c r="I796" s="466"/>
      <c r="J796" s="466"/>
      <c r="K796" s="466"/>
      <c r="R796" s="467"/>
      <c r="S796" s="467"/>
      <c r="T796" s="467"/>
      <c r="U796" s="467"/>
      <c r="V796" s="467"/>
      <c r="W796" s="467"/>
      <c r="AA796" s="467"/>
      <c r="AB796" s="467"/>
      <c r="AC796" s="467"/>
      <c r="AD796" s="467"/>
      <c r="AE796" s="467"/>
      <c r="AF796" s="467"/>
      <c r="AG796" s="467"/>
    </row>
    <row r="797" spans="5:33" ht="15">
      <c r="E797" s="466"/>
      <c r="F797" s="466"/>
      <c r="G797" s="466"/>
      <c r="H797" s="466"/>
      <c r="I797" s="466"/>
      <c r="J797" s="466"/>
      <c r="K797" s="466"/>
      <c r="R797" s="467"/>
      <c r="S797" s="467"/>
      <c r="T797" s="467"/>
      <c r="U797" s="467"/>
      <c r="V797" s="467"/>
      <c r="W797" s="467"/>
      <c r="AA797" s="467"/>
      <c r="AB797" s="467"/>
      <c r="AC797" s="467"/>
      <c r="AD797" s="467"/>
      <c r="AE797" s="467"/>
      <c r="AF797" s="467"/>
      <c r="AG797" s="467"/>
    </row>
    <row r="798" spans="5:33" ht="15">
      <c r="E798" s="466"/>
      <c r="F798" s="466"/>
      <c r="G798" s="466"/>
      <c r="H798" s="466"/>
      <c r="I798" s="466"/>
      <c r="J798" s="466"/>
      <c r="K798" s="466"/>
      <c r="R798" s="467"/>
      <c r="S798" s="467"/>
      <c r="T798" s="467"/>
      <c r="U798" s="467"/>
      <c r="V798" s="467"/>
      <c r="W798" s="467"/>
      <c r="AA798" s="467"/>
      <c r="AB798" s="467"/>
      <c r="AC798" s="467"/>
      <c r="AD798" s="467"/>
      <c r="AE798" s="467"/>
      <c r="AF798" s="467"/>
      <c r="AG798" s="467"/>
    </row>
    <row r="799" spans="5:33" ht="15">
      <c r="E799" s="466"/>
      <c r="F799" s="466"/>
      <c r="G799" s="466"/>
      <c r="H799" s="466"/>
      <c r="I799" s="466"/>
      <c r="J799" s="466"/>
      <c r="K799" s="466"/>
      <c r="R799" s="467"/>
      <c r="S799" s="467"/>
      <c r="T799" s="467"/>
      <c r="U799" s="467"/>
      <c r="V799" s="467"/>
      <c r="W799" s="467"/>
      <c r="AA799" s="467"/>
      <c r="AB799" s="467"/>
      <c r="AC799" s="467"/>
      <c r="AD799" s="467"/>
      <c r="AE799" s="467"/>
      <c r="AF799" s="467"/>
      <c r="AG799" s="467"/>
    </row>
    <row r="800" spans="5:33" ht="15">
      <c r="E800" s="466"/>
      <c r="F800" s="466"/>
      <c r="G800" s="466"/>
      <c r="H800" s="466"/>
      <c r="I800" s="466"/>
      <c r="J800" s="466"/>
      <c r="K800" s="466"/>
      <c r="R800" s="467"/>
      <c r="S800" s="467"/>
      <c r="T800" s="467"/>
      <c r="U800" s="467"/>
      <c r="V800" s="467"/>
      <c r="W800" s="467"/>
      <c r="AA800" s="467"/>
      <c r="AB800" s="467"/>
      <c r="AC800" s="467"/>
      <c r="AD800" s="467"/>
      <c r="AE800" s="467"/>
      <c r="AF800" s="467"/>
      <c r="AG800" s="467"/>
    </row>
    <row r="801" spans="5:33" ht="15">
      <c r="E801" s="466"/>
      <c r="F801" s="466"/>
      <c r="G801" s="466"/>
      <c r="H801" s="466"/>
      <c r="I801" s="466"/>
      <c r="J801" s="466"/>
      <c r="K801" s="466"/>
      <c r="R801" s="467"/>
      <c r="S801" s="467"/>
      <c r="T801" s="467"/>
      <c r="U801" s="467"/>
      <c r="V801" s="467"/>
      <c r="W801" s="467"/>
      <c r="AA801" s="467"/>
      <c r="AB801" s="467"/>
      <c r="AC801" s="467"/>
      <c r="AD801" s="467"/>
      <c r="AE801" s="467"/>
      <c r="AF801" s="467"/>
      <c r="AG801" s="467"/>
    </row>
    <row r="802" spans="5:33" ht="15">
      <c r="E802" s="466"/>
      <c r="F802" s="466"/>
      <c r="G802" s="466"/>
      <c r="H802" s="466"/>
      <c r="I802" s="466"/>
      <c r="J802" s="466"/>
      <c r="K802" s="466"/>
      <c r="R802" s="467"/>
      <c r="S802" s="467"/>
      <c r="T802" s="467"/>
      <c r="U802" s="467"/>
      <c r="V802" s="467"/>
      <c r="W802" s="467"/>
      <c r="AA802" s="467"/>
      <c r="AB802" s="467"/>
      <c r="AC802" s="467"/>
      <c r="AD802" s="467"/>
      <c r="AE802" s="467"/>
      <c r="AF802" s="467"/>
      <c r="AG802" s="467"/>
    </row>
    <row r="803" spans="5:33" ht="15">
      <c r="E803" s="466"/>
      <c r="F803" s="466"/>
      <c r="G803" s="466"/>
      <c r="H803" s="466"/>
      <c r="I803" s="466"/>
      <c r="J803" s="466"/>
      <c r="K803" s="466"/>
      <c r="R803" s="467"/>
      <c r="S803" s="467"/>
      <c r="T803" s="467"/>
      <c r="U803" s="467"/>
      <c r="V803" s="467"/>
      <c r="W803" s="467"/>
      <c r="AA803" s="467"/>
      <c r="AB803" s="467"/>
      <c r="AC803" s="467"/>
      <c r="AD803" s="467"/>
      <c r="AE803" s="467"/>
      <c r="AF803" s="467"/>
      <c r="AG803" s="467"/>
    </row>
    <row r="804" spans="5:33" ht="15">
      <c r="E804" s="466"/>
      <c r="F804" s="466"/>
      <c r="G804" s="466"/>
      <c r="H804" s="466"/>
      <c r="I804" s="466"/>
      <c r="J804" s="466"/>
      <c r="K804" s="466"/>
      <c r="R804" s="467"/>
      <c r="S804" s="467"/>
      <c r="T804" s="467"/>
      <c r="U804" s="467"/>
      <c r="V804" s="467"/>
      <c r="W804" s="467"/>
      <c r="AA804" s="467"/>
      <c r="AB804" s="467"/>
      <c r="AC804" s="467"/>
      <c r="AD804" s="467"/>
      <c r="AE804" s="467"/>
      <c r="AF804" s="467"/>
      <c r="AG804" s="467"/>
    </row>
    <row r="805" spans="5:33" ht="15">
      <c r="E805" s="466"/>
      <c r="F805" s="466"/>
      <c r="G805" s="466"/>
      <c r="H805" s="466"/>
      <c r="I805" s="466"/>
      <c r="J805" s="466"/>
      <c r="K805" s="466"/>
      <c r="R805" s="467"/>
      <c r="S805" s="467"/>
      <c r="T805" s="467"/>
      <c r="U805" s="467"/>
      <c r="V805" s="467"/>
      <c r="W805" s="467"/>
      <c r="AA805" s="467"/>
      <c r="AB805" s="467"/>
      <c r="AC805" s="467"/>
      <c r="AD805" s="467"/>
      <c r="AE805" s="467"/>
      <c r="AF805" s="467"/>
      <c r="AG805" s="467"/>
    </row>
    <row r="806" spans="5:33" ht="15">
      <c r="E806" s="466"/>
      <c r="F806" s="466"/>
      <c r="G806" s="466"/>
      <c r="H806" s="466"/>
      <c r="I806" s="466"/>
      <c r="J806" s="466"/>
      <c r="K806" s="466"/>
      <c r="R806" s="467"/>
      <c r="S806" s="467"/>
      <c r="T806" s="467"/>
      <c r="U806" s="467"/>
      <c r="V806" s="467"/>
      <c r="W806" s="467"/>
      <c r="AA806" s="467"/>
      <c r="AB806" s="467"/>
      <c r="AC806" s="467"/>
      <c r="AD806" s="467"/>
      <c r="AE806" s="467"/>
      <c r="AF806" s="467"/>
      <c r="AG806" s="467"/>
    </row>
    <row r="807" spans="5:33" ht="15">
      <c r="E807" s="466"/>
      <c r="F807" s="466"/>
      <c r="G807" s="466"/>
      <c r="H807" s="466"/>
      <c r="I807" s="466"/>
      <c r="J807" s="466"/>
      <c r="K807" s="466"/>
      <c r="R807" s="467"/>
      <c r="S807" s="467"/>
      <c r="T807" s="467"/>
      <c r="U807" s="467"/>
      <c r="V807" s="467"/>
      <c r="W807" s="467"/>
      <c r="AA807" s="467"/>
      <c r="AB807" s="467"/>
      <c r="AC807" s="467"/>
      <c r="AD807" s="467"/>
      <c r="AE807" s="467"/>
      <c r="AF807" s="467"/>
      <c r="AG807" s="467"/>
    </row>
    <row r="808" spans="5:33" ht="15">
      <c r="E808" s="466"/>
      <c r="F808" s="466"/>
      <c r="G808" s="466"/>
      <c r="H808" s="466"/>
      <c r="I808" s="466"/>
      <c r="J808" s="466"/>
      <c r="K808" s="466"/>
      <c r="R808" s="467"/>
      <c r="S808" s="467"/>
      <c r="T808" s="467"/>
      <c r="U808" s="467"/>
      <c r="V808" s="467"/>
      <c r="W808" s="467"/>
      <c r="AA808" s="467"/>
      <c r="AB808" s="467"/>
      <c r="AC808" s="467"/>
      <c r="AD808" s="467"/>
      <c r="AE808" s="467"/>
      <c r="AF808" s="467"/>
      <c r="AG808" s="467"/>
    </row>
    <row r="809" spans="5:33" ht="15">
      <c r="E809" s="466"/>
      <c r="F809" s="466"/>
      <c r="G809" s="466"/>
      <c r="H809" s="466"/>
      <c r="I809" s="466"/>
      <c r="J809" s="466"/>
      <c r="K809" s="466"/>
      <c r="R809" s="467"/>
      <c r="S809" s="467"/>
      <c r="T809" s="467"/>
      <c r="U809" s="467"/>
      <c r="V809" s="467"/>
      <c r="W809" s="467"/>
      <c r="AA809" s="467"/>
      <c r="AB809" s="467"/>
      <c r="AC809" s="467"/>
      <c r="AD809" s="467"/>
      <c r="AE809" s="467"/>
      <c r="AF809" s="467"/>
      <c r="AG809" s="467"/>
    </row>
    <row r="810" spans="5:33" ht="15">
      <c r="E810" s="466"/>
      <c r="F810" s="466"/>
      <c r="G810" s="466"/>
      <c r="H810" s="466"/>
      <c r="I810" s="466"/>
      <c r="J810" s="466"/>
      <c r="K810" s="466"/>
      <c r="R810" s="467"/>
      <c r="S810" s="467"/>
      <c r="T810" s="467"/>
      <c r="U810" s="467"/>
      <c r="V810" s="467"/>
      <c r="W810" s="467"/>
      <c r="AA810" s="467"/>
      <c r="AB810" s="467"/>
      <c r="AC810" s="467"/>
      <c r="AD810" s="467"/>
      <c r="AE810" s="467"/>
      <c r="AF810" s="467"/>
      <c r="AG810" s="467"/>
    </row>
    <row r="811" spans="5:33" ht="15">
      <c r="E811" s="466"/>
      <c r="F811" s="466"/>
      <c r="G811" s="466"/>
      <c r="H811" s="466"/>
      <c r="I811" s="466"/>
      <c r="J811" s="466"/>
      <c r="K811" s="466"/>
      <c r="R811" s="467"/>
      <c r="S811" s="467"/>
      <c r="T811" s="467"/>
      <c r="U811" s="467"/>
      <c r="V811" s="467"/>
      <c r="W811" s="467"/>
      <c r="AA811" s="467"/>
      <c r="AB811" s="467"/>
      <c r="AC811" s="467"/>
      <c r="AD811" s="467"/>
      <c r="AE811" s="467"/>
      <c r="AF811" s="467"/>
      <c r="AG811" s="467"/>
    </row>
    <row r="812" spans="5:33" ht="15">
      <c r="E812" s="466"/>
      <c r="F812" s="466"/>
      <c r="G812" s="466"/>
      <c r="H812" s="466"/>
      <c r="I812" s="466"/>
      <c r="J812" s="466"/>
      <c r="K812" s="466"/>
      <c r="R812" s="467"/>
      <c r="S812" s="467"/>
      <c r="T812" s="467"/>
      <c r="U812" s="467"/>
      <c r="V812" s="467"/>
      <c r="W812" s="467"/>
      <c r="AA812" s="467"/>
      <c r="AB812" s="467"/>
      <c r="AC812" s="467"/>
      <c r="AD812" s="467"/>
      <c r="AE812" s="467"/>
      <c r="AF812" s="467"/>
      <c r="AG812" s="467"/>
    </row>
    <row r="813" spans="5:33" ht="15">
      <c r="E813" s="466"/>
      <c r="F813" s="466"/>
      <c r="G813" s="466"/>
      <c r="H813" s="466"/>
      <c r="I813" s="466"/>
      <c r="J813" s="466"/>
      <c r="K813" s="466"/>
      <c r="R813" s="467"/>
      <c r="S813" s="467"/>
      <c r="T813" s="467"/>
      <c r="U813" s="467"/>
      <c r="V813" s="467"/>
      <c r="W813" s="467"/>
      <c r="AA813" s="467"/>
      <c r="AB813" s="467"/>
      <c r="AC813" s="467"/>
      <c r="AD813" s="467"/>
      <c r="AE813" s="467"/>
      <c r="AF813" s="467"/>
      <c r="AG813" s="467"/>
    </row>
    <row r="814" spans="5:33" ht="15">
      <c r="E814" s="466"/>
      <c r="F814" s="466"/>
      <c r="G814" s="466"/>
      <c r="H814" s="466"/>
      <c r="I814" s="466"/>
      <c r="J814" s="466"/>
      <c r="K814" s="466"/>
      <c r="R814" s="467"/>
      <c r="S814" s="467"/>
      <c r="T814" s="467"/>
      <c r="U814" s="467"/>
      <c r="V814" s="467"/>
      <c r="W814" s="467"/>
      <c r="AA814" s="467"/>
      <c r="AB814" s="467"/>
      <c r="AC814" s="467"/>
      <c r="AD814" s="467"/>
      <c r="AE814" s="467"/>
      <c r="AF814" s="467"/>
      <c r="AG814" s="467"/>
    </row>
    <row r="815" spans="5:33" ht="15">
      <c r="E815" s="466"/>
      <c r="F815" s="466"/>
      <c r="G815" s="466"/>
      <c r="H815" s="466"/>
      <c r="I815" s="466"/>
      <c r="J815" s="466"/>
      <c r="K815" s="466"/>
      <c r="R815" s="467"/>
      <c r="S815" s="467"/>
      <c r="T815" s="467"/>
      <c r="U815" s="467"/>
      <c r="V815" s="467"/>
      <c r="W815" s="467"/>
      <c r="AA815" s="467"/>
      <c r="AB815" s="467"/>
      <c r="AC815" s="467"/>
      <c r="AD815" s="467"/>
      <c r="AE815" s="467"/>
      <c r="AF815" s="467"/>
      <c r="AG815" s="467"/>
    </row>
    <row r="816" spans="5:33" ht="15">
      <c r="E816" s="466"/>
      <c r="F816" s="466"/>
      <c r="G816" s="466"/>
      <c r="H816" s="466"/>
      <c r="I816" s="466"/>
      <c r="J816" s="466"/>
      <c r="K816" s="466"/>
      <c r="R816" s="467"/>
      <c r="S816" s="467"/>
      <c r="T816" s="467"/>
      <c r="U816" s="467"/>
      <c r="V816" s="467"/>
      <c r="W816" s="467"/>
      <c r="AA816" s="467"/>
      <c r="AB816" s="467"/>
      <c r="AC816" s="467"/>
      <c r="AD816" s="467"/>
      <c r="AE816" s="467"/>
      <c r="AF816" s="467"/>
      <c r="AG816" s="467"/>
    </row>
    <row r="817" spans="5:33" ht="15">
      <c r="E817" s="466"/>
      <c r="F817" s="466"/>
      <c r="G817" s="466"/>
      <c r="H817" s="466"/>
      <c r="I817" s="466"/>
      <c r="J817" s="466"/>
      <c r="K817" s="466"/>
      <c r="R817" s="467"/>
      <c r="S817" s="467"/>
      <c r="T817" s="467"/>
      <c r="U817" s="467"/>
      <c r="V817" s="467"/>
      <c r="W817" s="467"/>
      <c r="AA817" s="467"/>
      <c r="AB817" s="467"/>
      <c r="AC817" s="467"/>
      <c r="AD817" s="467"/>
      <c r="AE817" s="467"/>
      <c r="AF817" s="467"/>
      <c r="AG817" s="467"/>
    </row>
    <row r="818" spans="5:33" ht="15">
      <c r="E818" s="466"/>
      <c r="F818" s="466"/>
      <c r="G818" s="466"/>
      <c r="H818" s="466"/>
      <c r="I818" s="466"/>
      <c r="J818" s="466"/>
      <c r="K818" s="466"/>
      <c r="R818" s="467"/>
      <c r="S818" s="467"/>
      <c r="T818" s="467"/>
      <c r="U818" s="467"/>
      <c r="V818" s="467"/>
      <c r="W818" s="467"/>
      <c r="AA818" s="467"/>
      <c r="AB818" s="467"/>
      <c r="AC818" s="467"/>
      <c r="AD818" s="467"/>
      <c r="AE818" s="467"/>
      <c r="AF818" s="467"/>
      <c r="AG818" s="467"/>
    </row>
    <row r="819" spans="5:33" ht="15">
      <c r="E819" s="466"/>
      <c r="F819" s="466"/>
      <c r="G819" s="466"/>
      <c r="H819" s="466"/>
      <c r="I819" s="466"/>
      <c r="J819" s="466"/>
      <c r="K819" s="466"/>
      <c r="R819" s="467"/>
      <c r="S819" s="467"/>
      <c r="T819" s="467"/>
      <c r="U819" s="467"/>
      <c r="V819" s="467"/>
      <c r="W819" s="467"/>
      <c r="AA819" s="467"/>
      <c r="AB819" s="467"/>
      <c r="AC819" s="467"/>
      <c r="AD819" s="467"/>
      <c r="AE819" s="467"/>
      <c r="AF819" s="467"/>
      <c r="AG819" s="467"/>
    </row>
    <row r="820" spans="5:33" ht="15">
      <c r="E820" s="466"/>
      <c r="F820" s="466"/>
      <c r="G820" s="466"/>
      <c r="H820" s="466"/>
      <c r="I820" s="466"/>
      <c r="J820" s="466"/>
      <c r="K820" s="466"/>
      <c r="R820" s="467"/>
      <c r="S820" s="467"/>
      <c r="T820" s="467"/>
      <c r="U820" s="467"/>
      <c r="V820" s="467"/>
      <c r="W820" s="467"/>
      <c r="AA820" s="467"/>
      <c r="AB820" s="467"/>
      <c r="AC820" s="467"/>
      <c r="AD820" s="467"/>
      <c r="AE820" s="467"/>
      <c r="AF820" s="467"/>
      <c r="AG820" s="467"/>
    </row>
    <row r="821" spans="5:33" ht="15">
      <c r="E821" s="466"/>
      <c r="F821" s="466"/>
      <c r="G821" s="466"/>
      <c r="H821" s="466"/>
      <c r="I821" s="466"/>
      <c r="J821" s="466"/>
      <c r="K821" s="466"/>
      <c r="R821" s="467"/>
      <c r="S821" s="467"/>
      <c r="T821" s="467"/>
      <c r="U821" s="467"/>
      <c r="V821" s="467"/>
      <c r="W821" s="467"/>
      <c r="AA821" s="467"/>
      <c r="AB821" s="467"/>
      <c r="AC821" s="467"/>
      <c r="AD821" s="467"/>
      <c r="AE821" s="467"/>
      <c r="AF821" s="467"/>
      <c r="AG821" s="467"/>
    </row>
    <row r="822" spans="5:33" ht="15">
      <c r="E822" s="466"/>
      <c r="F822" s="466"/>
      <c r="G822" s="466"/>
      <c r="H822" s="466"/>
      <c r="I822" s="466"/>
      <c r="J822" s="466"/>
      <c r="K822" s="466"/>
      <c r="R822" s="467"/>
      <c r="S822" s="467"/>
      <c r="T822" s="467"/>
      <c r="U822" s="467"/>
      <c r="V822" s="467"/>
      <c r="W822" s="467"/>
      <c r="AA822" s="467"/>
      <c r="AB822" s="467"/>
      <c r="AC822" s="467"/>
      <c r="AD822" s="467"/>
      <c r="AE822" s="467"/>
      <c r="AF822" s="467"/>
      <c r="AG822" s="467"/>
    </row>
    <row r="823" spans="5:33" ht="15">
      <c r="E823" s="466"/>
      <c r="F823" s="466"/>
      <c r="G823" s="466"/>
      <c r="H823" s="466"/>
      <c r="I823" s="466"/>
      <c r="J823" s="466"/>
      <c r="K823" s="466"/>
      <c r="R823" s="467"/>
      <c r="S823" s="467"/>
      <c r="T823" s="467"/>
      <c r="U823" s="467"/>
      <c r="V823" s="467"/>
      <c r="W823" s="467"/>
      <c r="AA823" s="467"/>
      <c r="AB823" s="467"/>
      <c r="AC823" s="467"/>
      <c r="AD823" s="467"/>
      <c r="AE823" s="467"/>
      <c r="AF823" s="467"/>
      <c r="AG823" s="467"/>
    </row>
    <row r="824" spans="5:33" ht="15">
      <c r="E824" s="466"/>
      <c r="F824" s="466"/>
      <c r="G824" s="466"/>
      <c r="H824" s="466"/>
      <c r="I824" s="466"/>
      <c r="J824" s="466"/>
      <c r="K824" s="466"/>
      <c r="R824" s="467"/>
      <c r="S824" s="467"/>
      <c r="T824" s="467"/>
      <c r="U824" s="467"/>
      <c r="V824" s="467"/>
      <c r="W824" s="467"/>
      <c r="AA824" s="467"/>
      <c r="AB824" s="467"/>
      <c r="AC824" s="467"/>
      <c r="AD824" s="467"/>
      <c r="AE824" s="467"/>
      <c r="AF824" s="467"/>
      <c r="AG824" s="467"/>
    </row>
    <row r="825" spans="5:33" ht="15">
      <c r="E825" s="466"/>
      <c r="F825" s="466"/>
      <c r="G825" s="466"/>
      <c r="H825" s="466"/>
      <c r="I825" s="466"/>
      <c r="J825" s="466"/>
      <c r="K825" s="466"/>
      <c r="R825" s="467"/>
      <c r="S825" s="467"/>
      <c r="T825" s="467"/>
      <c r="U825" s="467"/>
      <c r="V825" s="467"/>
      <c r="W825" s="467"/>
      <c r="AA825" s="467"/>
      <c r="AB825" s="467"/>
      <c r="AC825" s="467"/>
      <c r="AD825" s="467"/>
      <c r="AE825" s="467"/>
      <c r="AF825" s="467"/>
      <c r="AG825" s="467"/>
    </row>
    <row r="826" spans="5:33" ht="15">
      <c r="E826" s="466"/>
      <c r="F826" s="466"/>
      <c r="G826" s="466"/>
      <c r="H826" s="466"/>
      <c r="I826" s="466"/>
      <c r="J826" s="466"/>
      <c r="K826" s="466"/>
      <c r="R826" s="467"/>
      <c r="S826" s="467"/>
      <c r="T826" s="467"/>
      <c r="U826" s="467"/>
      <c r="V826" s="467"/>
      <c r="W826" s="467"/>
      <c r="AA826" s="467"/>
      <c r="AB826" s="467"/>
      <c r="AC826" s="467"/>
      <c r="AD826" s="467"/>
      <c r="AE826" s="467"/>
      <c r="AF826" s="467"/>
      <c r="AG826" s="467"/>
    </row>
    <row r="827" spans="5:33" ht="15">
      <c r="E827" s="466"/>
      <c r="F827" s="466"/>
      <c r="G827" s="466"/>
      <c r="H827" s="466"/>
      <c r="I827" s="466"/>
      <c r="J827" s="466"/>
      <c r="K827" s="466"/>
      <c r="R827" s="467"/>
      <c r="S827" s="467"/>
      <c r="T827" s="467"/>
      <c r="U827" s="467"/>
      <c r="V827" s="467"/>
      <c r="W827" s="467"/>
      <c r="AA827" s="467"/>
      <c r="AB827" s="467"/>
      <c r="AC827" s="467"/>
      <c r="AD827" s="467"/>
      <c r="AE827" s="467"/>
      <c r="AF827" s="467"/>
      <c r="AG827" s="467"/>
    </row>
    <row r="828" spans="5:33" ht="15">
      <c r="E828" s="466"/>
      <c r="F828" s="466"/>
      <c r="G828" s="466"/>
      <c r="H828" s="466"/>
      <c r="I828" s="466"/>
      <c r="J828" s="466"/>
      <c r="K828" s="466"/>
      <c r="R828" s="467"/>
      <c r="S828" s="467"/>
      <c r="T828" s="467"/>
      <c r="U828" s="467"/>
      <c r="V828" s="467"/>
      <c r="W828" s="467"/>
      <c r="AA828" s="467"/>
      <c r="AB828" s="467"/>
      <c r="AC828" s="467"/>
      <c r="AD828" s="467"/>
      <c r="AE828" s="467"/>
      <c r="AF828" s="467"/>
      <c r="AG828" s="467"/>
    </row>
    <row r="829" spans="5:33" ht="15">
      <c r="E829" s="466"/>
      <c r="F829" s="466"/>
      <c r="G829" s="466"/>
      <c r="H829" s="466"/>
      <c r="I829" s="466"/>
      <c r="J829" s="466"/>
      <c r="K829" s="466"/>
      <c r="R829" s="467"/>
      <c r="S829" s="467"/>
      <c r="T829" s="467"/>
      <c r="U829" s="467"/>
      <c r="V829" s="467"/>
      <c r="W829" s="467"/>
      <c r="AA829" s="467"/>
      <c r="AB829" s="467"/>
      <c r="AC829" s="467"/>
      <c r="AD829" s="467"/>
      <c r="AE829" s="467"/>
      <c r="AF829" s="467"/>
      <c r="AG829" s="467"/>
    </row>
    <row r="830" spans="5:33" ht="15">
      <c r="E830" s="466"/>
      <c r="F830" s="466"/>
      <c r="G830" s="466"/>
      <c r="H830" s="466"/>
      <c r="I830" s="466"/>
      <c r="J830" s="466"/>
      <c r="K830" s="466"/>
      <c r="R830" s="467"/>
      <c r="S830" s="467"/>
      <c r="T830" s="467"/>
      <c r="U830" s="467"/>
      <c r="V830" s="467"/>
      <c r="W830" s="467"/>
      <c r="AA830" s="467"/>
      <c r="AB830" s="467"/>
      <c r="AC830" s="467"/>
      <c r="AD830" s="467"/>
      <c r="AE830" s="467"/>
      <c r="AF830" s="467"/>
      <c r="AG830" s="467"/>
    </row>
    <row r="831" spans="5:33" ht="15">
      <c r="E831" s="466"/>
      <c r="F831" s="466"/>
      <c r="G831" s="466"/>
      <c r="H831" s="466"/>
      <c r="I831" s="466"/>
      <c r="J831" s="466"/>
      <c r="K831" s="466"/>
      <c r="R831" s="467"/>
      <c r="S831" s="467"/>
      <c r="T831" s="467"/>
      <c r="U831" s="467"/>
      <c r="V831" s="467"/>
      <c r="W831" s="467"/>
      <c r="AA831" s="467"/>
      <c r="AB831" s="467"/>
      <c r="AC831" s="467"/>
      <c r="AD831" s="467"/>
      <c r="AE831" s="467"/>
      <c r="AF831" s="467"/>
      <c r="AG831" s="467"/>
    </row>
    <row r="832" spans="5:33" ht="15">
      <c r="E832" s="466"/>
      <c r="F832" s="466"/>
      <c r="G832" s="466"/>
      <c r="H832" s="466"/>
      <c r="I832" s="466"/>
      <c r="J832" s="466"/>
      <c r="K832" s="466"/>
      <c r="R832" s="467"/>
      <c r="S832" s="467"/>
      <c r="T832" s="467"/>
      <c r="U832" s="467"/>
      <c r="V832" s="467"/>
      <c r="W832" s="467"/>
      <c r="AA832" s="467"/>
      <c r="AB832" s="467"/>
      <c r="AC832" s="467"/>
      <c r="AD832" s="467"/>
      <c r="AE832" s="467"/>
      <c r="AF832" s="467"/>
      <c r="AG832" s="467"/>
    </row>
    <row r="833" spans="5:33" ht="15">
      <c r="E833" s="466"/>
      <c r="F833" s="466"/>
      <c r="G833" s="466"/>
      <c r="H833" s="466"/>
      <c r="I833" s="466"/>
      <c r="J833" s="466"/>
      <c r="K833" s="466"/>
      <c r="R833" s="467"/>
      <c r="S833" s="467"/>
      <c r="T833" s="467"/>
      <c r="U833" s="467"/>
      <c r="V833" s="467"/>
      <c r="W833" s="467"/>
      <c r="AA833" s="467"/>
      <c r="AB833" s="467"/>
      <c r="AC833" s="467"/>
      <c r="AD833" s="467"/>
      <c r="AE833" s="467"/>
      <c r="AF833" s="467"/>
      <c r="AG833" s="467"/>
    </row>
    <row r="834" spans="5:33" ht="15">
      <c r="E834" s="466"/>
      <c r="F834" s="466"/>
      <c r="G834" s="466"/>
      <c r="H834" s="466"/>
      <c r="I834" s="466"/>
      <c r="J834" s="466"/>
      <c r="K834" s="466"/>
      <c r="R834" s="467"/>
      <c r="S834" s="467"/>
      <c r="T834" s="467"/>
      <c r="U834" s="467"/>
      <c r="V834" s="467"/>
      <c r="W834" s="467"/>
      <c r="AA834" s="467"/>
      <c r="AB834" s="467"/>
      <c r="AC834" s="467"/>
      <c r="AD834" s="467"/>
      <c r="AE834" s="467"/>
      <c r="AF834" s="467"/>
      <c r="AG834" s="467"/>
    </row>
    <row r="835" spans="5:33" ht="15">
      <c r="E835" s="466"/>
      <c r="F835" s="466"/>
      <c r="G835" s="466"/>
      <c r="H835" s="466"/>
      <c r="I835" s="466"/>
      <c r="J835" s="466"/>
      <c r="K835" s="466"/>
      <c r="R835" s="467"/>
      <c r="S835" s="467"/>
      <c r="T835" s="467"/>
      <c r="U835" s="467"/>
      <c r="V835" s="467"/>
      <c r="W835" s="467"/>
      <c r="AA835" s="467"/>
      <c r="AB835" s="467"/>
      <c r="AC835" s="467"/>
      <c r="AD835" s="467"/>
      <c r="AE835" s="467"/>
      <c r="AF835" s="467"/>
      <c r="AG835" s="467"/>
    </row>
    <row r="836" spans="5:33" ht="15">
      <c r="E836" s="466"/>
      <c r="F836" s="466"/>
      <c r="G836" s="466"/>
      <c r="H836" s="466"/>
      <c r="I836" s="466"/>
      <c r="J836" s="466"/>
      <c r="K836" s="466"/>
      <c r="R836" s="467"/>
      <c r="S836" s="467"/>
      <c r="T836" s="467"/>
      <c r="U836" s="467"/>
      <c r="V836" s="467"/>
      <c r="W836" s="467"/>
      <c r="AA836" s="467"/>
      <c r="AB836" s="467"/>
      <c r="AC836" s="467"/>
      <c r="AD836" s="467"/>
      <c r="AE836" s="467"/>
      <c r="AF836" s="467"/>
      <c r="AG836" s="467"/>
    </row>
    <row r="837" spans="5:33" ht="15">
      <c r="E837" s="466"/>
      <c r="F837" s="466"/>
      <c r="G837" s="466"/>
      <c r="H837" s="466"/>
      <c r="I837" s="466"/>
      <c r="J837" s="466"/>
      <c r="K837" s="466"/>
      <c r="R837" s="467"/>
      <c r="S837" s="467"/>
      <c r="T837" s="467"/>
      <c r="U837" s="467"/>
      <c r="V837" s="467"/>
      <c r="W837" s="467"/>
      <c r="AA837" s="467"/>
      <c r="AB837" s="467"/>
      <c r="AC837" s="467"/>
      <c r="AD837" s="467"/>
      <c r="AE837" s="467"/>
      <c r="AF837" s="467"/>
      <c r="AG837" s="467"/>
    </row>
    <row r="838" spans="5:33" ht="15">
      <c r="E838" s="466"/>
      <c r="F838" s="466"/>
      <c r="G838" s="466"/>
      <c r="H838" s="466"/>
      <c r="I838" s="466"/>
      <c r="J838" s="466"/>
      <c r="K838" s="466"/>
      <c r="R838" s="467"/>
      <c r="S838" s="467"/>
      <c r="T838" s="467"/>
      <c r="U838" s="467"/>
      <c r="V838" s="467"/>
      <c r="W838" s="467"/>
      <c r="AA838" s="467"/>
      <c r="AB838" s="467"/>
      <c r="AC838" s="467"/>
      <c r="AD838" s="467"/>
      <c r="AE838" s="467"/>
      <c r="AF838" s="467"/>
      <c r="AG838" s="467"/>
    </row>
    <row r="839" spans="5:33" ht="15">
      <c r="E839" s="466"/>
      <c r="F839" s="466"/>
      <c r="G839" s="466"/>
      <c r="H839" s="466"/>
      <c r="I839" s="466"/>
      <c r="J839" s="466"/>
      <c r="K839" s="466"/>
      <c r="R839" s="467"/>
      <c r="S839" s="467"/>
      <c r="T839" s="467"/>
      <c r="U839" s="467"/>
      <c r="V839" s="467"/>
      <c r="W839" s="467"/>
      <c r="AA839" s="467"/>
      <c r="AB839" s="467"/>
      <c r="AC839" s="467"/>
      <c r="AD839" s="467"/>
      <c r="AE839" s="467"/>
      <c r="AF839" s="467"/>
      <c r="AG839" s="467"/>
    </row>
    <row r="840" spans="5:33" ht="15">
      <c r="E840" s="466"/>
      <c r="F840" s="466"/>
      <c r="G840" s="466"/>
      <c r="H840" s="466"/>
      <c r="I840" s="466"/>
      <c r="J840" s="466"/>
      <c r="K840" s="466"/>
      <c r="R840" s="467"/>
      <c r="S840" s="467"/>
      <c r="T840" s="467"/>
      <c r="U840" s="467"/>
      <c r="V840" s="467"/>
      <c r="W840" s="467"/>
      <c r="AA840" s="467"/>
      <c r="AB840" s="467"/>
      <c r="AC840" s="467"/>
      <c r="AD840" s="467"/>
      <c r="AE840" s="467"/>
      <c r="AF840" s="467"/>
      <c r="AG840" s="467"/>
    </row>
    <row r="841" spans="5:33" ht="15">
      <c r="E841" s="466"/>
      <c r="F841" s="466"/>
      <c r="G841" s="466"/>
      <c r="H841" s="466"/>
      <c r="I841" s="466"/>
      <c r="J841" s="466"/>
      <c r="K841" s="466"/>
      <c r="R841" s="467"/>
      <c r="S841" s="467"/>
      <c r="T841" s="467"/>
      <c r="U841" s="467"/>
      <c r="V841" s="467"/>
      <c r="W841" s="467"/>
      <c r="AA841" s="467"/>
      <c r="AB841" s="467"/>
      <c r="AC841" s="467"/>
      <c r="AD841" s="467"/>
      <c r="AE841" s="467"/>
      <c r="AF841" s="467"/>
      <c r="AG841" s="467"/>
    </row>
    <row r="842" spans="5:33" ht="15">
      <c r="E842" s="466"/>
      <c r="F842" s="466"/>
      <c r="G842" s="466"/>
      <c r="H842" s="466"/>
      <c r="I842" s="466"/>
      <c r="J842" s="466"/>
      <c r="K842" s="466"/>
      <c r="R842" s="467"/>
      <c r="S842" s="467"/>
      <c r="T842" s="467"/>
      <c r="U842" s="467"/>
      <c r="V842" s="467"/>
      <c r="W842" s="467"/>
      <c r="AA842" s="467"/>
      <c r="AB842" s="467"/>
      <c r="AC842" s="467"/>
      <c r="AD842" s="467"/>
      <c r="AE842" s="467"/>
      <c r="AF842" s="467"/>
      <c r="AG842" s="467"/>
    </row>
    <row r="843" spans="5:33" ht="15">
      <c r="E843" s="466"/>
      <c r="F843" s="466"/>
      <c r="G843" s="466"/>
      <c r="H843" s="466"/>
      <c r="I843" s="466"/>
      <c r="J843" s="466"/>
      <c r="K843" s="466"/>
      <c r="R843" s="467"/>
      <c r="S843" s="467"/>
      <c r="T843" s="467"/>
      <c r="U843" s="467"/>
      <c r="V843" s="467"/>
      <c r="W843" s="467"/>
      <c r="AA843" s="467"/>
      <c r="AB843" s="467"/>
      <c r="AC843" s="467"/>
      <c r="AD843" s="467"/>
      <c r="AE843" s="467"/>
      <c r="AF843" s="467"/>
      <c r="AG843" s="467"/>
    </row>
    <row r="844" spans="5:33" ht="15">
      <c r="E844" s="466"/>
      <c r="F844" s="466"/>
      <c r="G844" s="466"/>
      <c r="H844" s="466"/>
      <c r="I844" s="466"/>
      <c r="J844" s="466"/>
      <c r="K844" s="466"/>
      <c r="R844" s="467"/>
      <c r="S844" s="467"/>
      <c r="T844" s="467"/>
      <c r="U844" s="467"/>
      <c r="V844" s="467"/>
      <c r="W844" s="467"/>
      <c r="AA844" s="467"/>
      <c r="AB844" s="467"/>
      <c r="AC844" s="467"/>
      <c r="AD844" s="467"/>
      <c r="AE844" s="467"/>
      <c r="AF844" s="467"/>
      <c r="AG844" s="467"/>
    </row>
    <row r="845" spans="5:33" ht="15">
      <c r="E845" s="466"/>
      <c r="F845" s="466"/>
      <c r="G845" s="466"/>
      <c r="H845" s="466"/>
      <c r="I845" s="466"/>
      <c r="J845" s="466"/>
      <c r="K845" s="466"/>
      <c r="R845" s="467"/>
      <c r="S845" s="467"/>
      <c r="T845" s="467"/>
      <c r="U845" s="467"/>
      <c r="V845" s="467"/>
      <c r="W845" s="467"/>
      <c r="AA845" s="467"/>
      <c r="AB845" s="467"/>
      <c r="AC845" s="467"/>
      <c r="AD845" s="467"/>
      <c r="AE845" s="467"/>
      <c r="AF845" s="467"/>
      <c r="AG845" s="467"/>
    </row>
    <row r="846" spans="5:33" ht="15">
      <c r="E846" s="466"/>
      <c r="F846" s="466"/>
      <c r="G846" s="466"/>
      <c r="H846" s="466"/>
      <c r="I846" s="466"/>
      <c r="J846" s="466"/>
      <c r="K846" s="466"/>
      <c r="R846" s="467"/>
      <c r="S846" s="467"/>
      <c r="T846" s="467"/>
      <c r="U846" s="467"/>
      <c r="V846" s="467"/>
      <c r="W846" s="467"/>
      <c r="AA846" s="467"/>
      <c r="AB846" s="467"/>
      <c r="AC846" s="467"/>
      <c r="AD846" s="467"/>
      <c r="AE846" s="467"/>
      <c r="AF846" s="467"/>
      <c r="AG846" s="467"/>
    </row>
    <row r="847" spans="5:33" ht="15">
      <c r="E847" s="466"/>
      <c r="F847" s="466"/>
      <c r="G847" s="466"/>
      <c r="H847" s="466"/>
      <c r="I847" s="466"/>
      <c r="J847" s="466"/>
      <c r="K847" s="466"/>
      <c r="R847" s="467"/>
      <c r="S847" s="467"/>
      <c r="T847" s="467"/>
      <c r="U847" s="467"/>
      <c r="V847" s="467"/>
      <c r="W847" s="467"/>
      <c r="AA847" s="467"/>
      <c r="AB847" s="467"/>
      <c r="AC847" s="467"/>
      <c r="AD847" s="467"/>
      <c r="AE847" s="467"/>
      <c r="AF847" s="467"/>
      <c r="AG847" s="467"/>
    </row>
    <row r="848" spans="5:33" ht="15">
      <c r="E848" s="466"/>
      <c r="F848" s="466"/>
      <c r="G848" s="466"/>
      <c r="H848" s="466"/>
      <c r="I848" s="466"/>
      <c r="J848" s="466"/>
      <c r="K848" s="466"/>
      <c r="R848" s="467"/>
      <c r="S848" s="467"/>
      <c r="T848" s="467"/>
      <c r="U848" s="467"/>
      <c r="V848" s="467"/>
      <c r="W848" s="467"/>
      <c r="AA848" s="467"/>
      <c r="AB848" s="467"/>
      <c r="AC848" s="467"/>
      <c r="AD848" s="467"/>
      <c r="AE848" s="467"/>
      <c r="AF848" s="467"/>
      <c r="AG848" s="467"/>
    </row>
    <row r="849" spans="5:33" ht="15">
      <c r="E849" s="466"/>
      <c r="F849" s="466"/>
      <c r="G849" s="466"/>
      <c r="H849" s="466"/>
      <c r="I849" s="466"/>
      <c r="J849" s="466"/>
      <c r="K849" s="466"/>
      <c r="R849" s="467"/>
      <c r="S849" s="467"/>
      <c r="T849" s="467"/>
      <c r="U849" s="467"/>
      <c r="V849" s="467"/>
      <c r="W849" s="467"/>
      <c r="AA849" s="467"/>
      <c r="AB849" s="467"/>
      <c r="AC849" s="467"/>
      <c r="AD849" s="467"/>
      <c r="AE849" s="467"/>
      <c r="AF849" s="467"/>
      <c r="AG849" s="467"/>
    </row>
    <row r="850" spans="5:33" ht="15">
      <c r="E850" s="466"/>
      <c r="F850" s="466"/>
      <c r="G850" s="466"/>
      <c r="H850" s="466"/>
      <c r="I850" s="466"/>
      <c r="J850" s="466"/>
      <c r="K850" s="466"/>
      <c r="R850" s="467"/>
      <c r="S850" s="467"/>
      <c r="T850" s="467"/>
      <c r="U850" s="467"/>
      <c r="V850" s="467"/>
      <c r="W850" s="467"/>
      <c r="AA850" s="467"/>
      <c r="AB850" s="467"/>
      <c r="AC850" s="467"/>
      <c r="AD850" s="467"/>
      <c r="AE850" s="467"/>
      <c r="AF850" s="467"/>
      <c r="AG850" s="467"/>
    </row>
    <row r="851" spans="5:33" ht="15">
      <c r="E851" s="466"/>
      <c r="F851" s="466"/>
      <c r="G851" s="466"/>
      <c r="H851" s="466"/>
      <c r="I851" s="466"/>
      <c r="J851" s="466"/>
      <c r="K851" s="466"/>
      <c r="R851" s="467"/>
      <c r="S851" s="467"/>
      <c r="T851" s="467"/>
      <c r="U851" s="467"/>
      <c r="V851" s="467"/>
      <c r="W851" s="467"/>
      <c r="AA851" s="467"/>
      <c r="AB851" s="467"/>
      <c r="AC851" s="467"/>
      <c r="AD851" s="467"/>
      <c r="AE851" s="467"/>
      <c r="AF851" s="467"/>
      <c r="AG851" s="467"/>
    </row>
    <row r="852" spans="5:33" ht="15">
      <c r="E852" s="466"/>
      <c r="F852" s="466"/>
      <c r="G852" s="466"/>
      <c r="H852" s="466"/>
      <c r="I852" s="466"/>
      <c r="J852" s="466"/>
      <c r="K852" s="466"/>
      <c r="R852" s="467"/>
      <c r="S852" s="467"/>
      <c r="T852" s="467"/>
      <c r="U852" s="467"/>
      <c r="V852" s="467"/>
      <c r="W852" s="467"/>
      <c r="AA852" s="467"/>
      <c r="AB852" s="467"/>
      <c r="AC852" s="467"/>
      <c r="AD852" s="467"/>
      <c r="AE852" s="467"/>
      <c r="AF852" s="467"/>
      <c r="AG852" s="467"/>
    </row>
    <row r="853" spans="5:33" ht="15">
      <c r="E853" s="466"/>
      <c r="F853" s="466"/>
      <c r="G853" s="466"/>
      <c r="H853" s="466"/>
      <c r="I853" s="466"/>
      <c r="J853" s="466"/>
      <c r="K853" s="466"/>
      <c r="R853" s="467"/>
      <c r="S853" s="467"/>
      <c r="T853" s="467"/>
      <c r="U853" s="467"/>
      <c r="V853" s="467"/>
      <c r="W853" s="467"/>
      <c r="AA853" s="467"/>
      <c r="AB853" s="467"/>
      <c r="AC853" s="467"/>
      <c r="AD853" s="467"/>
      <c r="AE853" s="467"/>
      <c r="AF853" s="467"/>
      <c r="AG853" s="467"/>
    </row>
    <row r="854" spans="5:33" ht="15">
      <c r="E854" s="466"/>
      <c r="F854" s="466"/>
      <c r="G854" s="466"/>
      <c r="H854" s="466"/>
      <c r="I854" s="466"/>
      <c r="J854" s="466"/>
      <c r="K854" s="466"/>
      <c r="R854" s="467"/>
      <c r="S854" s="467"/>
      <c r="T854" s="467"/>
      <c r="U854" s="467"/>
      <c r="V854" s="467"/>
      <c r="W854" s="467"/>
      <c r="AA854" s="467"/>
      <c r="AB854" s="467"/>
      <c r="AC854" s="467"/>
      <c r="AD854" s="467"/>
      <c r="AE854" s="467"/>
      <c r="AF854" s="467"/>
      <c r="AG854" s="467"/>
    </row>
    <row r="855" spans="5:33" ht="15">
      <c r="E855" s="466"/>
      <c r="F855" s="466"/>
      <c r="G855" s="466"/>
      <c r="H855" s="466"/>
      <c r="I855" s="466"/>
      <c r="J855" s="466"/>
      <c r="K855" s="466"/>
      <c r="R855" s="467"/>
      <c r="S855" s="467"/>
      <c r="T855" s="467"/>
      <c r="U855" s="467"/>
      <c r="V855" s="467"/>
      <c r="W855" s="467"/>
      <c r="AA855" s="467"/>
      <c r="AB855" s="467"/>
      <c r="AC855" s="467"/>
      <c r="AD855" s="467"/>
      <c r="AE855" s="467"/>
      <c r="AF855" s="467"/>
      <c r="AG855" s="467"/>
    </row>
    <row r="856" spans="5:33" ht="15">
      <c r="E856" s="466"/>
      <c r="F856" s="466"/>
      <c r="G856" s="466"/>
      <c r="H856" s="466"/>
      <c r="I856" s="466"/>
      <c r="J856" s="466"/>
      <c r="K856" s="466"/>
      <c r="R856" s="467"/>
      <c r="S856" s="467"/>
      <c r="T856" s="467"/>
      <c r="U856" s="467"/>
      <c r="V856" s="467"/>
      <c r="W856" s="467"/>
      <c r="AA856" s="467"/>
      <c r="AB856" s="467"/>
      <c r="AC856" s="467"/>
      <c r="AD856" s="467"/>
      <c r="AE856" s="467"/>
      <c r="AF856" s="467"/>
      <c r="AG856" s="467"/>
    </row>
    <row r="857" spans="5:33" ht="15">
      <c r="E857" s="466"/>
      <c r="F857" s="466"/>
      <c r="G857" s="466"/>
      <c r="H857" s="466"/>
      <c r="I857" s="466"/>
      <c r="J857" s="466"/>
      <c r="K857" s="466"/>
      <c r="R857" s="467"/>
      <c r="S857" s="467"/>
      <c r="T857" s="467"/>
      <c r="U857" s="467"/>
      <c r="V857" s="467"/>
      <c r="W857" s="467"/>
      <c r="AA857" s="467"/>
      <c r="AB857" s="467"/>
      <c r="AC857" s="467"/>
      <c r="AD857" s="467"/>
      <c r="AE857" s="467"/>
      <c r="AF857" s="467"/>
      <c r="AG857" s="467"/>
    </row>
    <row r="858" spans="5:33" ht="15">
      <c r="E858" s="466"/>
      <c r="F858" s="466"/>
      <c r="G858" s="466"/>
      <c r="H858" s="466"/>
      <c r="I858" s="466"/>
      <c r="J858" s="466"/>
      <c r="K858" s="466"/>
      <c r="R858" s="467"/>
      <c r="S858" s="467"/>
      <c r="T858" s="467"/>
      <c r="U858" s="467"/>
      <c r="V858" s="467"/>
      <c r="W858" s="467"/>
      <c r="AA858" s="467"/>
      <c r="AB858" s="467"/>
      <c r="AC858" s="467"/>
      <c r="AD858" s="467"/>
      <c r="AE858" s="467"/>
      <c r="AF858" s="467"/>
      <c r="AG858" s="467"/>
    </row>
    <row r="859" spans="5:33" ht="15">
      <c r="E859" s="466"/>
      <c r="F859" s="466"/>
      <c r="G859" s="466"/>
      <c r="H859" s="466"/>
      <c r="I859" s="466"/>
      <c r="J859" s="466"/>
      <c r="K859" s="466"/>
      <c r="R859" s="467"/>
      <c r="S859" s="467"/>
      <c r="T859" s="467"/>
      <c r="U859" s="467"/>
      <c r="V859" s="467"/>
      <c r="W859" s="467"/>
      <c r="AA859" s="467"/>
      <c r="AB859" s="467"/>
      <c r="AC859" s="467"/>
      <c r="AD859" s="467"/>
      <c r="AE859" s="467"/>
      <c r="AF859" s="467"/>
      <c r="AG859" s="467"/>
    </row>
    <row r="860" spans="5:33" ht="15">
      <c r="E860" s="466"/>
      <c r="F860" s="466"/>
      <c r="G860" s="466"/>
      <c r="H860" s="466"/>
      <c r="I860" s="466"/>
      <c r="J860" s="466"/>
      <c r="K860" s="466"/>
      <c r="R860" s="467"/>
      <c r="S860" s="467"/>
      <c r="T860" s="467"/>
      <c r="U860" s="467"/>
      <c r="V860" s="467"/>
      <c r="W860" s="467"/>
      <c r="AA860" s="467"/>
      <c r="AB860" s="467"/>
      <c r="AC860" s="467"/>
      <c r="AD860" s="467"/>
      <c r="AE860" s="467"/>
      <c r="AF860" s="467"/>
      <c r="AG860" s="467"/>
    </row>
    <row r="861" spans="5:33" ht="15">
      <c r="E861" s="466"/>
      <c r="F861" s="466"/>
      <c r="G861" s="466"/>
      <c r="H861" s="466"/>
      <c r="I861" s="466"/>
      <c r="J861" s="466"/>
      <c r="K861" s="466"/>
      <c r="R861" s="467"/>
      <c r="S861" s="467"/>
      <c r="T861" s="467"/>
      <c r="U861" s="467"/>
      <c r="V861" s="467"/>
      <c r="W861" s="467"/>
      <c r="AA861" s="467"/>
      <c r="AB861" s="467"/>
      <c r="AC861" s="467"/>
      <c r="AD861" s="467"/>
      <c r="AE861" s="467"/>
      <c r="AF861" s="467"/>
      <c r="AG861" s="467"/>
    </row>
    <row r="862" spans="5:33" ht="15">
      <c r="E862" s="466"/>
      <c r="F862" s="466"/>
      <c r="G862" s="466"/>
      <c r="H862" s="466"/>
      <c r="I862" s="466"/>
      <c r="J862" s="466"/>
      <c r="K862" s="466"/>
      <c r="R862" s="467"/>
      <c r="S862" s="467"/>
      <c r="T862" s="467"/>
      <c r="U862" s="467"/>
      <c r="V862" s="467"/>
      <c r="W862" s="467"/>
      <c r="AA862" s="467"/>
      <c r="AB862" s="467"/>
      <c r="AC862" s="467"/>
      <c r="AD862" s="467"/>
      <c r="AE862" s="467"/>
      <c r="AF862" s="467"/>
      <c r="AG862" s="467"/>
    </row>
    <row r="863" spans="5:33" ht="15">
      <c r="E863" s="466"/>
      <c r="F863" s="466"/>
      <c r="G863" s="466"/>
      <c r="H863" s="466"/>
      <c r="I863" s="466"/>
      <c r="J863" s="466"/>
      <c r="K863" s="466"/>
      <c r="R863" s="467"/>
      <c r="S863" s="467"/>
      <c r="T863" s="467"/>
      <c r="U863" s="467"/>
      <c r="V863" s="467"/>
      <c r="W863" s="467"/>
      <c r="AA863" s="467"/>
      <c r="AB863" s="467"/>
      <c r="AC863" s="467"/>
      <c r="AD863" s="467"/>
      <c r="AE863" s="467"/>
      <c r="AF863" s="467"/>
      <c r="AG863" s="467"/>
    </row>
    <row r="864" spans="5:33" ht="15">
      <c r="E864" s="466"/>
      <c r="F864" s="466"/>
      <c r="G864" s="466"/>
      <c r="H864" s="466"/>
      <c r="I864" s="466"/>
      <c r="J864" s="466"/>
      <c r="K864" s="466"/>
      <c r="R864" s="467"/>
      <c r="S864" s="467"/>
      <c r="T864" s="467"/>
      <c r="U864" s="467"/>
      <c r="V864" s="467"/>
      <c r="W864" s="467"/>
      <c r="AA864" s="467"/>
      <c r="AB864" s="467"/>
      <c r="AC864" s="467"/>
      <c r="AD864" s="467"/>
      <c r="AE864" s="467"/>
      <c r="AF864" s="467"/>
      <c r="AG864" s="467"/>
    </row>
    <row r="865" spans="5:33" ht="15">
      <c r="E865" s="466"/>
      <c r="F865" s="466"/>
      <c r="G865" s="466"/>
      <c r="H865" s="466"/>
      <c r="I865" s="466"/>
      <c r="J865" s="466"/>
      <c r="K865" s="466"/>
      <c r="R865" s="467"/>
      <c r="S865" s="467"/>
      <c r="T865" s="467"/>
      <c r="U865" s="467"/>
      <c r="V865" s="467"/>
      <c r="W865" s="467"/>
      <c r="AA865" s="467"/>
      <c r="AB865" s="467"/>
      <c r="AC865" s="467"/>
      <c r="AD865" s="467"/>
      <c r="AE865" s="467"/>
      <c r="AF865" s="467"/>
      <c r="AG865" s="467"/>
    </row>
    <row r="866" spans="5:33" ht="15">
      <c r="E866" s="466"/>
      <c r="F866" s="466"/>
      <c r="G866" s="466"/>
      <c r="H866" s="466"/>
      <c r="I866" s="466"/>
      <c r="J866" s="466"/>
      <c r="K866" s="466"/>
      <c r="R866" s="467"/>
      <c r="S866" s="467"/>
      <c r="T866" s="467"/>
      <c r="U866" s="467"/>
      <c r="V866" s="467"/>
      <c r="W866" s="467"/>
      <c r="AA866" s="467"/>
      <c r="AB866" s="467"/>
      <c r="AC866" s="467"/>
      <c r="AD866" s="467"/>
      <c r="AE866" s="467"/>
      <c r="AF866" s="467"/>
      <c r="AG866" s="467"/>
    </row>
    <row r="867" spans="5:33" ht="15">
      <c r="E867" s="466"/>
      <c r="F867" s="466"/>
      <c r="G867" s="466"/>
      <c r="H867" s="466"/>
      <c r="I867" s="466"/>
      <c r="J867" s="466"/>
      <c r="K867" s="466"/>
      <c r="R867" s="467"/>
      <c r="S867" s="467"/>
      <c r="T867" s="467"/>
      <c r="U867" s="467"/>
      <c r="V867" s="467"/>
      <c r="W867" s="467"/>
      <c r="AA867" s="467"/>
      <c r="AB867" s="467"/>
      <c r="AC867" s="467"/>
      <c r="AD867" s="467"/>
      <c r="AE867" s="467"/>
      <c r="AF867" s="467"/>
      <c r="AG867" s="467"/>
    </row>
    <row r="868" spans="5:33" ht="15">
      <c r="E868" s="466"/>
      <c r="F868" s="466"/>
      <c r="G868" s="466"/>
      <c r="H868" s="466"/>
      <c r="I868" s="466"/>
      <c r="J868" s="466"/>
      <c r="K868" s="466"/>
      <c r="R868" s="467"/>
      <c r="S868" s="467"/>
      <c r="T868" s="467"/>
      <c r="U868" s="467"/>
      <c r="V868" s="467"/>
      <c r="W868" s="467"/>
      <c r="AA868" s="467"/>
      <c r="AB868" s="467"/>
      <c r="AC868" s="467"/>
      <c r="AD868" s="467"/>
      <c r="AE868" s="467"/>
      <c r="AF868" s="467"/>
      <c r="AG868" s="467"/>
    </row>
    <row r="869" spans="5:33" ht="15">
      <c r="E869" s="466"/>
      <c r="F869" s="466"/>
      <c r="G869" s="466"/>
      <c r="H869" s="466"/>
      <c r="I869" s="466"/>
      <c r="J869" s="466"/>
      <c r="K869" s="466"/>
      <c r="R869" s="467"/>
      <c r="S869" s="467"/>
      <c r="T869" s="467"/>
      <c r="U869" s="467"/>
      <c r="V869" s="467"/>
      <c r="W869" s="467"/>
      <c r="AA869" s="467"/>
      <c r="AB869" s="467"/>
      <c r="AC869" s="467"/>
      <c r="AD869" s="467"/>
      <c r="AE869" s="467"/>
      <c r="AF869" s="467"/>
      <c r="AG869" s="467"/>
    </row>
    <row r="870" spans="5:33" ht="15">
      <c r="E870" s="466"/>
      <c r="F870" s="466"/>
      <c r="G870" s="466"/>
      <c r="H870" s="466"/>
      <c r="I870" s="466"/>
      <c r="J870" s="466"/>
      <c r="K870" s="466"/>
      <c r="R870" s="467"/>
      <c r="S870" s="467"/>
      <c r="T870" s="467"/>
      <c r="U870" s="467"/>
      <c r="V870" s="467"/>
      <c r="W870" s="467"/>
      <c r="AA870" s="467"/>
      <c r="AB870" s="467"/>
      <c r="AC870" s="467"/>
      <c r="AD870" s="467"/>
      <c r="AE870" s="467"/>
      <c r="AF870" s="467"/>
      <c r="AG870" s="467"/>
    </row>
    <row r="871" spans="5:33" ht="15">
      <c r="E871" s="466"/>
      <c r="F871" s="466"/>
      <c r="G871" s="466"/>
      <c r="H871" s="466"/>
      <c r="I871" s="466"/>
      <c r="J871" s="466"/>
      <c r="K871" s="466"/>
      <c r="R871" s="467"/>
      <c r="S871" s="467"/>
      <c r="T871" s="467"/>
      <c r="U871" s="467"/>
      <c r="V871" s="467"/>
      <c r="W871" s="467"/>
      <c r="AA871" s="467"/>
      <c r="AB871" s="467"/>
      <c r="AC871" s="467"/>
      <c r="AD871" s="467"/>
      <c r="AE871" s="467"/>
      <c r="AF871" s="467"/>
      <c r="AG871" s="467"/>
    </row>
    <row r="872" spans="5:33" ht="15">
      <c r="E872" s="466"/>
      <c r="F872" s="466"/>
      <c r="G872" s="466"/>
      <c r="H872" s="466"/>
      <c r="I872" s="466"/>
      <c r="J872" s="466"/>
      <c r="K872" s="466"/>
      <c r="R872" s="467"/>
      <c r="S872" s="467"/>
      <c r="T872" s="467"/>
      <c r="U872" s="467"/>
      <c r="V872" s="467"/>
      <c r="W872" s="467"/>
      <c r="AA872" s="467"/>
      <c r="AB872" s="467"/>
      <c r="AC872" s="467"/>
      <c r="AD872" s="467"/>
      <c r="AE872" s="467"/>
      <c r="AF872" s="467"/>
      <c r="AG872" s="467"/>
    </row>
    <row r="873" spans="5:33" ht="15">
      <c r="E873" s="466"/>
      <c r="F873" s="466"/>
      <c r="G873" s="466"/>
      <c r="H873" s="466"/>
      <c r="I873" s="466"/>
      <c r="J873" s="466"/>
      <c r="K873" s="466"/>
      <c r="R873" s="467"/>
      <c r="S873" s="467"/>
      <c r="T873" s="467"/>
      <c r="U873" s="467"/>
      <c r="V873" s="467"/>
      <c r="W873" s="467"/>
      <c r="AA873" s="467"/>
      <c r="AB873" s="467"/>
      <c r="AC873" s="467"/>
      <c r="AD873" s="467"/>
      <c r="AE873" s="467"/>
      <c r="AF873" s="467"/>
      <c r="AG873" s="467"/>
    </row>
    <row r="874" spans="5:33" ht="15">
      <c r="E874" s="466"/>
      <c r="F874" s="466"/>
      <c r="G874" s="466"/>
      <c r="H874" s="466"/>
      <c r="I874" s="466"/>
      <c r="J874" s="466"/>
      <c r="K874" s="466"/>
      <c r="R874" s="467"/>
      <c r="S874" s="467"/>
      <c r="T874" s="467"/>
      <c r="U874" s="467"/>
      <c r="V874" s="467"/>
      <c r="W874" s="467"/>
      <c r="AA874" s="467"/>
      <c r="AB874" s="467"/>
      <c r="AC874" s="467"/>
      <c r="AD874" s="467"/>
      <c r="AE874" s="467"/>
      <c r="AF874" s="467"/>
      <c r="AG874" s="467"/>
    </row>
    <row r="875" spans="5:33" ht="15">
      <c r="E875" s="466"/>
      <c r="F875" s="466"/>
      <c r="G875" s="466"/>
      <c r="H875" s="466"/>
      <c r="I875" s="466"/>
      <c r="J875" s="466"/>
      <c r="K875" s="466"/>
      <c r="R875" s="467"/>
      <c r="S875" s="467"/>
      <c r="T875" s="467"/>
      <c r="U875" s="467"/>
      <c r="V875" s="467"/>
      <c r="W875" s="467"/>
      <c r="AA875" s="467"/>
      <c r="AB875" s="467"/>
      <c r="AC875" s="467"/>
      <c r="AD875" s="467"/>
      <c r="AE875" s="467"/>
      <c r="AF875" s="467"/>
      <c r="AG875" s="467"/>
    </row>
    <row r="876" spans="5:33" ht="15">
      <c r="E876" s="466"/>
      <c r="F876" s="466"/>
      <c r="G876" s="466"/>
      <c r="H876" s="466"/>
      <c r="I876" s="466"/>
      <c r="J876" s="466"/>
      <c r="K876" s="466"/>
      <c r="R876" s="467"/>
      <c r="S876" s="467"/>
      <c r="T876" s="467"/>
      <c r="U876" s="467"/>
      <c r="V876" s="467"/>
      <c r="W876" s="467"/>
      <c r="AA876" s="467"/>
      <c r="AB876" s="467"/>
      <c r="AC876" s="467"/>
      <c r="AD876" s="467"/>
      <c r="AE876" s="467"/>
      <c r="AF876" s="467"/>
      <c r="AG876" s="467"/>
    </row>
    <row r="877" spans="5:33" ht="15">
      <c r="E877" s="466"/>
      <c r="F877" s="466"/>
      <c r="G877" s="466"/>
      <c r="H877" s="466"/>
      <c r="I877" s="466"/>
      <c r="J877" s="466"/>
      <c r="K877" s="466"/>
      <c r="R877" s="467"/>
      <c r="S877" s="467"/>
      <c r="T877" s="467"/>
      <c r="U877" s="467"/>
      <c r="V877" s="467"/>
      <c r="W877" s="467"/>
      <c r="AA877" s="467"/>
      <c r="AB877" s="467"/>
      <c r="AC877" s="467"/>
      <c r="AD877" s="467"/>
      <c r="AE877" s="467"/>
      <c r="AF877" s="467"/>
      <c r="AG877" s="467"/>
    </row>
    <row r="878" spans="5:33" ht="15">
      <c r="E878" s="466"/>
      <c r="F878" s="466"/>
      <c r="G878" s="466"/>
      <c r="H878" s="466"/>
      <c r="I878" s="466"/>
      <c r="J878" s="466"/>
      <c r="K878" s="466"/>
      <c r="R878" s="467"/>
      <c r="S878" s="467"/>
      <c r="T878" s="467"/>
      <c r="U878" s="467"/>
      <c r="V878" s="467"/>
      <c r="W878" s="467"/>
      <c r="AA878" s="467"/>
      <c r="AB878" s="467"/>
      <c r="AC878" s="467"/>
      <c r="AD878" s="467"/>
      <c r="AE878" s="467"/>
      <c r="AF878" s="467"/>
      <c r="AG878" s="467"/>
    </row>
    <row r="879" spans="5:33" ht="15">
      <c r="E879" s="466"/>
      <c r="F879" s="466"/>
      <c r="G879" s="466"/>
      <c r="H879" s="466"/>
      <c r="I879" s="466"/>
      <c r="J879" s="466"/>
      <c r="K879" s="466"/>
      <c r="R879" s="467"/>
      <c r="S879" s="467"/>
      <c r="T879" s="467"/>
      <c r="U879" s="467"/>
      <c r="V879" s="467"/>
      <c r="W879" s="467"/>
      <c r="AA879" s="467"/>
      <c r="AB879" s="467"/>
      <c r="AC879" s="467"/>
      <c r="AD879" s="467"/>
      <c r="AE879" s="467"/>
      <c r="AF879" s="467"/>
      <c r="AG879" s="467"/>
    </row>
    <row r="880" spans="5:33" ht="15">
      <c r="E880" s="466"/>
      <c r="F880" s="466"/>
      <c r="G880" s="466"/>
      <c r="H880" s="466"/>
      <c r="I880" s="466"/>
      <c r="J880" s="466"/>
      <c r="K880" s="466"/>
      <c r="R880" s="467"/>
      <c r="S880" s="467"/>
      <c r="T880" s="467"/>
      <c r="U880" s="467"/>
      <c r="V880" s="467"/>
      <c r="W880" s="467"/>
      <c r="AA880" s="467"/>
      <c r="AB880" s="467"/>
      <c r="AC880" s="467"/>
      <c r="AD880" s="467"/>
      <c r="AE880" s="467"/>
      <c r="AF880" s="467"/>
      <c r="AG880" s="467"/>
    </row>
    <row r="881" spans="5:33" ht="15">
      <c r="E881" s="466"/>
      <c r="F881" s="466"/>
      <c r="G881" s="466"/>
      <c r="H881" s="466"/>
      <c r="I881" s="466"/>
      <c r="J881" s="466"/>
      <c r="K881" s="466"/>
      <c r="R881" s="467"/>
      <c r="S881" s="467"/>
      <c r="T881" s="467"/>
      <c r="U881" s="467"/>
      <c r="V881" s="467"/>
      <c r="W881" s="467"/>
      <c r="AA881" s="467"/>
      <c r="AB881" s="467"/>
      <c r="AC881" s="467"/>
      <c r="AD881" s="467"/>
      <c r="AE881" s="467"/>
      <c r="AF881" s="467"/>
      <c r="AG881" s="467"/>
    </row>
    <row r="882" spans="5:33" ht="15">
      <c r="E882" s="466"/>
      <c r="F882" s="466"/>
      <c r="G882" s="466"/>
      <c r="H882" s="466"/>
      <c r="I882" s="466"/>
      <c r="J882" s="466"/>
      <c r="K882" s="466"/>
      <c r="R882" s="467"/>
      <c r="S882" s="467"/>
      <c r="T882" s="467"/>
      <c r="U882" s="467"/>
      <c r="V882" s="467"/>
      <c r="W882" s="467"/>
      <c r="AA882" s="467"/>
      <c r="AB882" s="467"/>
      <c r="AC882" s="467"/>
      <c r="AD882" s="467"/>
      <c r="AE882" s="467"/>
      <c r="AF882" s="467"/>
      <c r="AG882" s="467"/>
    </row>
    <row r="883" spans="5:33" ht="15">
      <c r="E883" s="466"/>
      <c r="F883" s="466"/>
      <c r="G883" s="466"/>
      <c r="H883" s="466"/>
      <c r="I883" s="466"/>
      <c r="J883" s="466"/>
      <c r="K883" s="466"/>
      <c r="R883" s="467"/>
      <c r="S883" s="467"/>
      <c r="T883" s="467"/>
      <c r="U883" s="467"/>
      <c r="V883" s="467"/>
      <c r="W883" s="467"/>
      <c r="AA883" s="467"/>
      <c r="AB883" s="467"/>
      <c r="AC883" s="467"/>
      <c r="AD883" s="467"/>
      <c r="AE883" s="467"/>
      <c r="AF883" s="467"/>
      <c r="AG883" s="467"/>
    </row>
    <row r="884" spans="5:33" ht="15">
      <c r="E884" s="466"/>
      <c r="F884" s="466"/>
      <c r="G884" s="466"/>
      <c r="H884" s="466"/>
      <c r="I884" s="466"/>
      <c r="J884" s="466"/>
      <c r="K884" s="466"/>
      <c r="R884" s="467"/>
      <c r="S884" s="467"/>
      <c r="T884" s="467"/>
      <c r="U884" s="467"/>
      <c r="V884" s="467"/>
      <c r="W884" s="467"/>
      <c r="AA884" s="467"/>
      <c r="AB884" s="467"/>
      <c r="AC884" s="467"/>
      <c r="AD884" s="467"/>
      <c r="AE884" s="467"/>
      <c r="AF884" s="467"/>
      <c r="AG884" s="467"/>
    </row>
    <row r="885" spans="5:33" ht="15">
      <c r="E885" s="466"/>
      <c r="F885" s="466"/>
      <c r="G885" s="466"/>
      <c r="H885" s="466"/>
      <c r="I885" s="466"/>
      <c r="J885" s="466"/>
      <c r="K885" s="466"/>
      <c r="R885" s="467"/>
      <c r="S885" s="467"/>
      <c r="T885" s="467"/>
      <c r="U885" s="467"/>
      <c r="V885" s="467"/>
      <c r="W885" s="467"/>
      <c r="AA885" s="467"/>
      <c r="AB885" s="467"/>
      <c r="AC885" s="467"/>
      <c r="AD885" s="467"/>
      <c r="AE885" s="467"/>
      <c r="AF885" s="467"/>
      <c r="AG885" s="467"/>
    </row>
    <row r="886" spans="5:33" ht="15">
      <c r="E886" s="466"/>
      <c r="F886" s="466"/>
      <c r="G886" s="466"/>
      <c r="H886" s="466"/>
      <c r="I886" s="466"/>
      <c r="J886" s="466"/>
      <c r="K886" s="466"/>
      <c r="R886" s="467"/>
      <c r="S886" s="467"/>
      <c r="T886" s="467"/>
      <c r="U886" s="467"/>
      <c r="V886" s="467"/>
      <c r="W886" s="467"/>
      <c r="AA886" s="467"/>
      <c r="AB886" s="467"/>
      <c r="AC886" s="467"/>
      <c r="AD886" s="467"/>
      <c r="AE886" s="467"/>
      <c r="AF886" s="467"/>
      <c r="AG886" s="467"/>
    </row>
    <row r="887" spans="5:33" ht="15">
      <c r="E887" s="466"/>
      <c r="F887" s="466"/>
      <c r="G887" s="466"/>
      <c r="H887" s="466"/>
      <c r="I887" s="466"/>
      <c r="J887" s="466"/>
      <c r="K887" s="466"/>
      <c r="R887" s="467"/>
      <c r="S887" s="467"/>
      <c r="T887" s="467"/>
      <c r="U887" s="467"/>
      <c r="V887" s="467"/>
      <c r="W887" s="467"/>
      <c r="AA887" s="467"/>
      <c r="AB887" s="467"/>
      <c r="AC887" s="467"/>
      <c r="AD887" s="467"/>
      <c r="AE887" s="467"/>
      <c r="AF887" s="467"/>
      <c r="AG887" s="467"/>
    </row>
    <row r="888" spans="5:33" ht="15">
      <c r="E888" s="466"/>
      <c r="F888" s="466"/>
      <c r="G888" s="466"/>
      <c r="H888" s="466"/>
      <c r="I888" s="466"/>
      <c r="J888" s="466"/>
      <c r="K888" s="466"/>
      <c r="R888" s="467"/>
      <c r="S888" s="467"/>
      <c r="T888" s="467"/>
      <c r="U888" s="467"/>
      <c r="V888" s="467"/>
      <c r="W888" s="467"/>
      <c r="AA888" s="467"/>
      <c r="AB888" s="467"/>
      <c r="AC888" s="467"/>
      <c r="AD888" s="467"/>
      <c r="AE888" s="467"/>
      <c r="AF888" s="467"/>
      <c r="AG888" s="467"/>
    </row>
    <row r="889" spans="5:33" ht="15">
      <c r="E889" s="466"/>
      <c r="F889" s="466"/>
      <c r="G889" s="466"/>
      <c r="H889" s="466"/>
      <c r="I889" s="466"/>
      <c r="J889" s="466"/>
      <c r="K889" s="466"/>
      <c r="R889" s="467"/>
      <c r="S889" s="467"/>
      <c r="T889" s="467"/>
      <c r="U889" s="467"/>
      <c r="V889" s="467"/>
      <c r="W889" s="467"/>
      <c r="AA889" s="467"/>
      <c r="AB889" s="467"/>
      <c r="AC889" s="467"/>
      <c r="AD889" s="467"/>
      <c r="AE889" s="467"/>
      <c r="AF889" s="467"/>
      <c r="AG889" s="467"/>
    </row>
    <row r="890" spans="5:33" ht="15">
      <c r="E890" s="466"/>
      <c r="F890" s="466"/>
      <c r="G890" s="466"/>
      <c r="H890" s="466"/>
      <c r="I890" s="466"/>
      <c r="J890" s="466"/>
      <c r="K890" s="466"/>
      <c r="R890" s="467"/>
      <c r="S890" s="467"/>
      <c r="T890" s="467"/>
      <c r="U890" s="467"/>
      <c r="V890" s="467"/>
      <c r="W890" s="467"/>
      <c r="AA890" s="467"/>
      <c r="AB890" s="467"/>
      <c r="AC890" s="467"/>
      <c r="AD890" s="467"/>
      <c r="AE890" s="467"/>
      <c r="AF890" s="467"/>
      <c r="AG890" s="467"/>
    </row>
    <row r="891" spans="5:33" ht="15">
      <c r="E891" s="466"/>
      <c r="F891" s="466"/>
      <c r="G891" s="466"/>
      <c r="H891" s="466"/>
      <c r="I891" s="466"/>
      <c r="J891" s="466"/>
      <c r="K891" s="466"/>
      <c r="R891" s="467"/>
      <c r="S891" s="467"/>
      <c r="T891" s="467"/>
      <c r="U891" s="467"/>
      <c r="V891" s="467"/>
      <c r="W891" s="467"/>
      <c r="AA891" s="467"/>
      <c r="AB891" s="467"/>
      <c r="AC891" s="467"/>
      <c r="AD891" s="467"/>
      <c r="AE891" s="467"/>
      <c r="AF891" s="467"/>
      <c r="AG891" s="467"/>
    </row>
    <row r="892" spans="5:33" ht="15">
      <c r="E892" s="466"/>
      <c r="F892" s="466"/>
      <c r="G892" s="466"/>
      <c r="H892" s="466"/>
      <c r="I892" s="466"/>
      <c r="J892" s="466"/>
      <c r="K892" s="466"/>
      <c r="R892" s="467"/>
      <c r="S892" s="467"/>
      <c r="T892" s="467"/>
      <c r="U892" s="467"/>
      <c r="V892" s="467"/>
      <c r="W892" s="467"/>
      <c r="AA892" s="467"/>
      <c r="AB892" s="467"/>
      <c r="AC892" s="467"/>
      <c r="AD892" s="467"/>
      <c r="AE892" s="467"/>
      <c r="AF892" s="467"/>
      <c r="AG892" s="467"/>
    </row>
    <row r="893" spans="5:33" ht="15">
      <c r="E893" s="466"/>
      <c r="F893" s="466"/>
      <c r="G893" s="466"/>
      <c r="H893" s="466"/>
      <c r="I893" s="466"/>
      <c r="J893" s="466"/>
      <c r="K893" s="466"/>
      <c r="R893" s="467"/>
      <c r="S893" s="467"/>
      <c r="T893" s="467"/>
      <c r="U893" s="467"/>
      <c r="V893" s="467"/>
      <c r="W893" s="467"/>
      <c r="AA893" s="467"/>
      <c r="AB893" s="467"/>
      <c r="AC893" s="467"/>
      <c r="AD893" s="467"/>
      <c r="AE893" s="467"/>
      <c r="AF893" s="467"/>
      <c r="AG893" s="467"/>
    </row>
    <row r="894" spans="5:33" ht="15">
      <c r="E894" s="466"/>
      <c r="F894" s="466"/>
      <c r="G894" s="466"/>
      <c r="H894" s="466"/>
      <c r="I894" s="466"/>
      <c r="J894" s="466"/>
      <c r="K894" s="466"/>
      <c r="R894" s="467"/>
      <c r="S894" s="467"/>
      <c r="T894" s="467"/>
      <c r="U894" s="467"/>
      <c r="V894" s="467"/>
      <c r="W894" s="467"/>
      <c r="AA894" s="467"/>
      <c r="AB894" s="467"/>
      <c r="AC894" s="467"/>
      <c r="AD894" s="467"/>
      <c r="AE894" s="467"/>
      <c r="AF894" s="467"/>
      <c r="AG894" s="467"/>
    </row>
    <row r="895" spans="5:33" ht="15">
      <c r="E895" s="466"/>
      <c r="F895" s="466"/>
      <c r="G895" s="466"/>
      <c r="H895" s="466"/>
      <c r="I895" s="466"/>
      <c r="J895" s="466"/>
      <c r="K895" s="466"/>
      <c r="R895" s="467"/>
      <c r="S895" s="467"/>
      <c r="T895" s="467"/>
      <c r="U895" s="467"/>
      <c r="V895" s="467"/>
      <c r="W895" s="467"/>
      <c r="AA895" s="467"/>
      <c r="AB895" s="467"/>
      <c r="AC895" s="467"/>
      <c r="AD895" s="467"/>
      <c r="AE895" s="467"/>
      <c r="AF895" s="467"/>
      <c r="AG895" s="467"/>
    </row>
    <row r="896" spans="5:33" ht="15">
      <c r="E896" s="466"/>
      <c r="F896" s="466"/>
      <c r="G896" s="466"/>
      <c r="H896" s="466"/>
      <c r="I896" s="466"/>
      <c r="J896" s="466"/>
      <c r="K896" s="466"/>
      <c r="R896" s="467"/>
      <c r="S896" s="467"/>
      <c r="T896" s="467"/>
      <c r="U896" s="467"/>
      <c r="V896" s="467"/>
      <c r="W896" s="467"/>
      <c r="AA896" s="467"/>
      <c r="AB896" s="467"/>
      <c r="AC896" s="467"/>
      <c r="AD896" s="467"/>
      <c r="AE896" s="467"/>
      <c r="AF896" s="467"/>
      <c r="AG896" s="467"/>
    </row>
    <row r="897" spans="5:33" ht="15">
      <c r="E897" s="466"/>
      <c r="F897" s="466"/>
      <c r="G897" s="466"/>
      <c r="H897" s="466"/>
      <c r="I897" s="466"/>
      <c r="J897" s="466"/>
      <c r="K897" s="466"/>
      <c r="R897" s="467"/>
      <c r="S897" s="467"/>
      <c r="T897" s="467"/>
      <c r="U897" s="467"/>
      <c r="V897" s="467"/>
      <c r="W897" s="467"/>
      <c r="AA897" s="467"/>
      <c r="AB897" s="467"/>
      <c r="AC897" s="467"/>
      <c r="AD897" s="467"/>
      <c r="AE897" s="467"/>
      <c r="AF897" s="467"/>
      <c r="AG897" s="467"/>
    </row>
    <row r="898" spans="5:33" ht="15">
      <c r="E898" s="466"/>
      <c r="F898" s="466"/>
      <c r="G898" s="466"/>
      <c r="H898" s="466"/>
      <c r="I898" s="466"/>
      <c r="J898" s="466"/>
      <c r="K898" s="466"/>
      <c r="R898" s="467"/>
      <c r="S898" s="467"/>
      <c r="T898" s="467"/>
      <c r="U898" s="467"/>
      <c r="V898" s="467"/>
      <c r="W898" s="467"/>
      <c r="AA898" s="467"/>
      <c r="AB898" s="467"/>
      <c r="AC898" s="467"/>
      <c r="AD898" s="467"/>
      <c r="AE898" s="467"/>
      <c r="AF898" s="467"/>
      <c r="AG898" s="467"/>
    </row>
    <row r="899" spans="5:33" ht="15">
      <c r="E899" s="466"/>
      <c r="F899" s="466"/>
      <c r="G899" s="466"/>
      <c r="H899" s="466"/>
      <c r="I899" s="466"/>
      <c r="J899" s="466"/>
      <c r="K899" s="466"/>
      <c r="R899" s="467"/>
      <c r="S899" s="467"/>
      <c r="T899" s="467"/>
      <c r="U899" s="467"/>
      <c r="V899" s="467"/>
      <c r="W899" s="467"/>
      <c r="AA899" s="467"/>
      <c r="AB899" s="467"/>
      <c r="AC899" s="467"/>
      <c r="AD899" s="467"/>
      <c r="AE899" s="467"/>
      <c r="AF899" s="467"/>
      <c r="AG899" s="467"/>
    </row>
    <row r="900" spans="5:33" ht="15">
      <c r="E900" s="466"/>
      <c r="F900" s="466"/>
      <c r="G900" s="466"/>
      <c r="H900" s="466"/>
      <c r="I900" s="466"/>
      <c r="J900" s="466"/>
      <c r="K900" s="466"/>
      <c r="R900" s="467"/>
      <c r="S900" s="467"/>
      <c r="T900" s="467"/>
      <c r="U900" s="467"/>
      <c r="V900" s="467"/>
      <c r="W900" s="467"/>
      <c r="AA900" s="467"/>
      <c r="AB900" s="467"/>
      <c r="AC900" s="467"/>
      <c r="AD900" s="467"/>
      <c r="AE900" s="467"/>
      <c r="AF900" s="467"/>
      <c r="AG900" s="467"/>
    </row>
    <row r="901" spans="5:33" ht="15">
      <c r="E901" s="466"/>
      <c r="F901" s="466"/>
      <c r="G901" s="466"/>
      <c r="H901" s="466"/>
      <c r="I901" s="466"/>
      <c r="J901" s="466"/>
      <c r="K901" s="466"/>
      <c r="R901" s="467"/>
      <c r="S901" s="467"/>
      <c r="T901" s="467"/>
      <c r="U901" s="467"/>
      <c r="V901" s="467"/>
      <c r="W901" s="467"/>
      <c r="AA901" s="467"/>
      <c r="AB901" s="467"/>
      <c r="AC901" s="467"/>
      <c r="AD901" s="467"/>
      <c r="AE901" s="467"/>
      <c r="AF901" s="467"/>
      <c r="AG901" s="467"/>
    </row>
    <row r="902" spans="5:33" ht="15">
      <c r="E902" s="466"/>
      <c r="F902" s="466"/>
      <c r="G902" s="466"/>
      <c r="H902" s="466"/>
      <c r="I902" s="466"/>
      <c r="J902" s="466"/>
      <c r="K902" s="466"/>
      <c r="R902" s="467"/>
      <c r="S902" s="467"/>
      <c r="T902" s="467"/>
      <c r="U902" s="467"/>
      <c r="V902" s="467"/>
      <c r="W902" s="467"/>
      <c r="AA902" s="467"/>
      <c r="AB902" s="467"/>
      <c r="AC902" s="467"/>
      <c r="AD902" s="467"/>
      <c r="AE902" s="467"/>
      <c r="AF902" s="467"/>
      <c r="AG902" s="467"/>
    </row>
    <row r="903" spans="5:33" ht="15">
      <c r="E903" s="466"/>
      <c r="F903" s="466"/>
      <c r="G903" s="466"/>
      <c r="H903" s="466"/>
      <c r="I903" s="466"/>
      <c r="J903" s="466"/>
      <c r="K903" s="466"/>
      <c r="R903" s="467"/>
      <c r="S903" s="467"/>
      <c r="T903" s="467"/>
      <c r="U903" s="467"/>
      <c r="V903" s="467"/>
      <c r="W903" s="467"/>
      <c r="AA903" s="467"/>
      <c r="AB903" s="467"/>
      <c r="AC903" s="467"/>
      <c r="AD903" s="467"/>
      <c r="AE903" s="467"/>
      <c r="AF903" s="467"/>
      <c r="AG903" s="467"/>
    </row>
    <row r="904" spans="5:33" ht="15">
      <c r="E904" s="466"/>
      <c r="F904" s="466"/>
      <c r="G904" s="466"/>
      <c r="H904" s="466"/>
      <c r="I904" s="466"/>
      <c r="J904" s="466"/>
      <c r="K904" s="466"/>
      <c r="R904" s="467"/>
      <c r="S904" s="467"/>
      <c r="T904" s="467"/>
      <c r="U904" s="467"/>
      <c r="V904" s="467"/>
      <c r="W904" s="467"/>
      <c r="AA904" s="467"/>
      <c r="AB904" s="467"/>
      <c r="AC904" s="467"/>
      <c r="AD904" s="467"/>
      <c r="AE904" s="467"/>
      <c r="AF904" s="467"/>
      <c r="AG904" s="467"/>
    </row>
    <row r="905" spans="5:33" ht="15">
      <c r="E905" s="466"/>
      <c r="F905" s="466"/>
      <c r="G905" s="466"/>
      <c r="H905" s="466"/>
      <c r="I905" s="466"/>
      <c r="J905" s="466"/>
      <c r="K905" s="466"/>
      <c r="R905" s="467"/>
      <c r="S905" s="467"/>
      <c r="T905" s="467"/>
      <c r="U905" s="467"/>
      <c r="V905" s="467"/>
      <c r="W905" s="467"/>
      <c r="AA905" s="467"/>
      <c r="AB905" s="467"/>
      <c r="AC905" s="467"/>
      <c r="AD905" s="467"/>
      <c r="AE905" s="467"/>
      <c r="AF905" s="467"/>
      <c r="AG905" s="467"/>
    </row>
    <row r="906" spans="5:33" ht="15">
      <c r="E906" s="466"/>
      <c r="F906" s="466"/>
      <c r="G906" s="466"/>
      <c r="H906" s="466"/>
      <c r="I906" s="466"/>
      <c r="J906" s="466"/>
      <c r="K906" s="466"/>
      <c r="R906" s="467"/>
      <c r="S906" s="467"/>
      <c r="T906" s="467"/>
      <c r="U906" s="467"/>
      <c r="V906" s="467"/>
      <c r="W906" s="467"/>
      <c r="AA906" s="467"/>
      <c r="AB906" s="467"/>
      <c r="AC906" s="467"/>
      <c r="AD906" s="467"/>
      <c r="AE906" s="467"/>
      <c r="AF906" s="467"/>
      <c r="AG906" s="467"/>
    </row>
    <row r="907" spans="5:33" ht="15">
      <c r="E907" s="466"/>
      <c r="F907" s="466"/>
      <c r="G907" s="466"/>
      <c r="H907" s="466"/>
      <c r="I907" s="466"/>
      <c r="J907" s="466"/>
      <c r="K907" s="466"/>
      <c r="R907" s="467"/>
      <c r="S907" s="467"/>
      <c r="T907" s="467"/>
      <c r="U907" s="467"/>
      <c r="V907" s="467"/>
      <c r="W907" s="467"/>
      <c r="AA907" s="467"/>
      <c r="AB907" s="467"/>
      <c r="AC907" s="467"/>
      <c r="AD907" s="467"/>
      <c r="AE907" s="467"/>
      <c r="AF907" s="467"/>
      <c r="AG907" s="467"/>
    </row>
    <row r="908" spans="5:33" ht="15">
      <c r="E908" s="466"/>
      <c r="F908" s="466"/>
      <c r="G908" s="466"/>
      <c r="H908" s="466"/>
      <c r="I908" s="466"/>
      <c r="J908" s="466"/>
      <c r="K908" s="466"/>
      <c r="R908" s="467"/>
      <c r="S908" s="467"/>
      <c r="T908" s="467"/>
      <c r="U908" s="467"/>
      <c r="V908" s="467"/>
      <c r="W908" s="467"/>
      <c r="AA908" s="467"/>
      <c r="AB908" s="467"/>
      <c r="AC908" s="467"/>
      <c r="AD908" s="467"/>
      <c r="AE908" s="467"/>
      <c r="AF908" s="467"/>
      <c r="AG908" s="467"/>
    </row>
    <row r="909" spans="5:33" ht="15">
      <c r="E909" s="466"/>
      <c r="F909" s="466"/>
      <c r="G909" s="466"/>
      <c r="H909" s="466"/>
      <c r="I909" s="466"/>
      <c r="J909" s="466"/>
      <c r="K909" s="466"/>
      <c r="R909" s="467"/>
      <c r="S909" s="467"/>
      <c r="T909" s="467"/>
      <c r="U909" s="467"/>
      <c r="V909" s="467"/>
      <c r="W909" s="467"/>
      <c r="AA909" s="467"/>
      <c r="AB909" s="467"/>
      <c r="AC909" s="467"/>
      <c r="AD909" s="467"/>
      <c r="AE909" s="467"/>
      <c r="AF909" s="467"/>
      <c r="AG909" s="467"/>
    </row>
    <row r="910" spans="5:33" ht="15">
      <c r="E910" s="466"/>
      <c r="F910" s="466"/>
      <c r="G910" s="466"/>
      <c r="H910" s="466"/>
      <c r="I910" s="466"/>
      <c r="J910" s="466"/>
      <c r="K910" s="466"/>
      <c r="R910" s="467"/>
      <c r="S910" s="467"/>
      <c r="T910" s="467"/>
      <c r="U910" s="467"/>
      <c r="V910" s="467"/>
      <c r="W910" s="467"/>
      <c r="AA910" s="467"/>
      <c r="AB910" s="467"/>
      <c r="AC910" s="467"/>
      <c r="AD910" s="467"/>
      <c r="AE910" s="467"/>
      <c r="AF910" s="467"/>
      <c r="AG910" s="467"/>
    </row>
    <row r="911" spans="5:33" ht="15">
      <c r="E911" s="466"/>
      <c r="F911" s="466"/>
      <c r="G911" s="466"/>
      <c r="H911" s="466"/>
      <c r="I911" s="466"/>
      <c r="J911" s="466"/>
      <c r="K911" s="466"/>
      <c r="R911" s="467"/>
      <c r="S911" s="467"/>
      <c r="T911" s="467"/>
      <c r="U911" s="467"/>
      <c r="V911" s="467"/>
      <c r="W911" s="467"/>
      <c r="AA911" s="467"/>
      <c r="AB911" s="467"/>
      <c r="AC911" s="467"/>
      <c r="AD911" s="467"/>
      <c r="AE911" s="467"/>
      <c r="AF911" s="467"/>
      <c r="AG911" s="467"/>
    </row>
    <row r="912" spans="5:33" ht="15">
      <c r="E912" s="466"/>
      <c r="F912" s="466"/>
      <c r="G912" s="466"/>
      <c r="H912" s="466"/>
      <c r="I912" s="466"/>
      <c r="J912" s="466"/>
      <c r="K912" s="466"/>
      <c r="R912" s="467"/>
      <c r="S912" s="467"/>
      <c r="T912" s="467"/>
      <c r="U912" s="467"/>
      <c r="V912" s="467"/>
      <c r="W912" s="467"/>
      <c r="AA912" s="467"/>
      <c r="AB912" s="467"/>
      <c r="AC912" s="467"/>
      <c r="AD912" s="467"/>
      <c r="AE912" s="467"/>
      <c r="AF912" s="467"/>
      <c r="AG912" s="467"/>
    </row>
    <row r="913" spans="5:33" ht="15">
      <c r="E913" s="466"/>
      <c r="F913" s="466"/>
      <c r="G913" s="466"/>
      <c r="H913" s="466"/>
      <c r="I913" s="466"/>
      <c r="J913" s="466"/>
      <c r="K913" s="466"/>
      <c r="R913" s="467"/>
      <c r="S913" s="467"/>
      <c r="T913" s="467"/>
      <c r="U913" s="467"/>
      <c r="V913" s="467"/>
      <c r="W913" s="467"/>
      <c r="AA913" s="467"/>
      <c r="AB913" s="467"/>
      <c r="AC913" s="467"/>
      <c r="AD913" s="467"/>
      <c r="AE913" s="467"/>
      <c r="AF913" s="467"/>
      <c r="AG913" s="467"/>
    </row>
    <row r="914" spans="5:33" ht="15">
      <c r="E914" s="466"/>
      <c r="F914" s="466"/>
      <c r="G914" s="466"/>
      <c r="H914" s="466"/>
      <c r="I914" s="466"/>
      <c r="J914" s="466"/>
      <c r="K914" s="466"/>
      <c r="R914" s="467"/>
      <c r="S914" s="467"/>
      <c r="T914" s="467"/>
      <c r="U914" s="467"/>
      <c r="V914" s="467"/>
      <c r="W914" s="467"/>
      <c r="AA914" s="467"/>
      <c r="AB914" s="467"/>
      <c r="AC914" s="467"/>
      <c r="AD914" s="467"/>
      <c r="AE914" s="467"/>
      <c r="AF914" s="467"/>
      <c r="AG914" s="467"/>
    </row>
    <row r="915" spans="5:33" ht="15">
      <c r="E915" s="466"/>
      <c r="F915" s="466"/>
      <c r="G915" s="466"/>
      <c r="H915" s="466"/>
      <c r="I915" s="466"/>
      <c r="J915" s="466"/>
      <c r="K915" s="466"/>
      <c r="R915" s="467"/>
      <c r="S915" s="467"/>
      <c r="T915" s="467"/>
      <c r="U915" s="467"/>
      <c r="V915" s="467"/>
      <c r="W915" s="467"/>
      <c r="AA915" s="467"/>
      <c r="AB915" s="467"/>
      <c r="AC915" s="467"/>
      <c r="AD915" s="467"/>
      <c r="AE915" s="467"/>
      <c r="AF915" s="467"/>
      <c r="AG915" s="467"/>
    </row>
    <row r="916" spans="5:33" ht="15">
      <c r="E916" s="466"/>
      <c r="F916" s="466"/>
      <c r="G916" s="466"/>
      <c r="H916" s="466"/>
      <c r="I916" s="466"/>
      <c r="J916" s="466"/>
      <c r="K916" s="466"/>
      <c r="R916" s="467"/>
      <c r="S916" s="467"/>
      <c r="T916" s="467"/>
      <c r="U916" s="467"/>
      <c r="V916" s="467"/>
      <c r="W916" s="467"/>
      <c r="AA916" s="467"/>
      <c r="AB916" s="467"/>
      <c r="AC916" s="467"/>
      <c r="AD916" s="467"/>
      <c r="AE916" s="467"/>
      <c r="AF916" s="467"/>
      <c r="AG916" s="467"/>
    </row>
    <row r="917" spans="5:33" ht="15">
      <c r="E917" s="466"/>
      <c r="F917" s="466"/>
      <c r="G917" s="466"/>
      <c r="H917" s="466"/>
      <c r="I917" s="466"/>
      <c r="J917" s="466"/>
      <c r="K917" s="466"/>
      <c r="R917" s="467"/>
      <c r="S917" s="467"/>
      <c r="T917" s="467"/>
      <c r="U917" s="467"/>
      <c r="V917" s="467"/>
      <c r="W917" s="467"/>
      <c r="AA917" s="467"/>
      <c r="AB917" s="467"/>
      <c r="AC917" s="467"/>
      <c r="AD917" s="467"/>
      <c r="AE917" s="467"/>
      <c r="AF917" s="467"/>
      <c r="AG917" s="467"/>
    </row>
    <row r="918" spans="5:33" ht="15">
      <c r="E918" s="466"/>
      <c r="F918" s="466"/>
      <c r="G918" s="466"/>
      <c r="H918" s="466"/>
      <c r="I918" s="466"/>
      <c r="J918" s="466"/>
      <c r="K918" s="466"/>
      <c r="R918" s="467"/>
      <c r="S918" s="467"/>
      <c r="T918" s="467"/>
      <c r="U918" s="467"/>
      <c r="V918" s="467"/>
      <c r="W918" s="467"/>
      <c r="AA918" s="467"/>
      <c r="AB918" s="467"/>
      <c r="AC918" s="467"/>
      <c r="AD918" s="467"/>
      <c r="AE918" s="467"/>
      <c r="AF918" s="467"/>
      <c r="AG918" s="467"/>
    </row>
    <row r="919" spans="5:33" ht="15">
      <c r="E919" s="466"/>
      <c r="F919" s="466"/>
      <c r="G919" s="466"/>
      <c r="H919" s="466"/>
      <c r="I919" s="466"/>
      <c r="J919" s="466"/>
      <c r="K919" s="466"/>
      <c r="R919" s="467"/>
      <c r="S919" s="467"/>
      <c r="T919" s="467"/>
      <c r="U919" s="467"/>
      <c r="V919" s="467"/>
      <c r="W919" s="467"/>
      <c r="AA919" s="467"/>
      <c r="AB919" s="467"/>
      <c r="AC919" s="467"/>
      <c r="AD919" s="467"/>
      <c r="AE919" s="467"/>
      <c r="AF919" s="467"/>
      <c r="AG919" s="467"/>
    </row>
    <row r="920" spans="5:33" ht="15">
      <c r="E920" s="466"/>
      <c r="F920" s="466"/>
      <c r="G920" s="466"/>
      <c r="H920" s="466"/>
      <c r="I920" s="466"/>
      <c r="J920" s="466"/>
      <c r="K920" s="466"/>
      <c r="R920" s="467"/>
      <c r="S920" s="467"/>
      <c r="T920" s="467"/>
      <c r="U920" s="467"/>
      <c r="V920" s="467"/>
      <c r="W920" s="467"/>
      <c r="AA920" s="467"/>
      <c r="AB920" s="467"/>
      <c r="AC920" s="467"/>
      <c r="AD920" s="467"/>
      <c r="AE920" s="467"/>
      <c r="AF920" s="467"/>
      <c r="AG920" s="467"/>
    </row>
    <row r="921" spans="5:33" ht="15">
      <c r="E921" s="466"/>
      <c r="F921" s="466"/>
      <c r="G921" s="466"/>
      <c r="H921" s="466"/>
      <c r="I921" s="466"/>
      <c r="J921" s="466"/>
      <c r="K921" s="466"/>
      <c r="R921" s="467"/>
      <c r="S921" s="467"/>
      <c r="T921" s="467"/>
      <c r="U921" s="467"/>
      <c r="V921" s="467"/>
      <c r="W921" s="467"/>
      <c r="AA921" s="467"/>
      <c r="AB921" s="467"/>
      <c r="AC921" s="467"/>
      <c r="AD921" s="467"/>
      <c r="AE921" s="467"/>
      <c r="AF921" s="467"/>
      <c r="AG921" s="467"/>
    </row>
    <row r="922" spans="5:33" ht="15">
      <c r="E922" s="466"/>
      <c r="F922" s="466"/>
      <c r="G922" s="466"/>
      <c r="H922" s="466"/>
      <c r="I922" s="466"/>
      <c r="J922" s="466"/>
      <c r="K922" s="466"/>
      <c r="R922" s="467"/>
      <c r="S922" s="467"/>
      <c r="T922" s="467"/>
      <c r="U922" s="467"/>
      <c r="V922" s="467"/>
      <c r="W922" s="467"/>
      <c r="AA922" s="467"/>
      <c r="AB922" s="467"/>
      <c r="AC922" s="467"/>
      <c r="AD922" s="467"/>
      <c r="AE922" s="467"/>
      <c r="AF922" s="467"/>
      <c r="AG922" s="467"/>
    </row>
    <row r="923" spans="5:33" ht="15">
      <c r="E923" s="466"/>
      <c r="F923" s="466"/>
      <c r="G923" s="466"/>
      <c r="H923" s="466"/>
      <c r="I923" s="466"/>
      <c r="J923" s="466"/>
      <c r="K923" s="466"/>
      <c r="R923" s="467"/>
      <c r="S923" s="467"/>
      <c r="T923" s="467"/>
      <c r="U923" s="467"/>
      <c r="V923" s="467"/>
      <c r="W923" s="467"/>
      <c r="AA923" s="467"/>
      <c r="AB923" s="467"/>
      <c r="AC923" s="467"/>
      <c r="AD923" s="467"/>
      <c r="AE923" s="467"/>
      <c r="AF923" s="467"/>
      <c r="AG923" s="467"/>
    </row>
    <row r="924" spans="5:33" ht="15">
      <c r="E924" s="466"/>
      <c r="F924" s="466"/>
      <c r="G924" s="466"/>
      <c r="H924" s="466"/>
      <c r="I924" s="466"/>
      <c r="J924" s="466"/>
      <c r="K924" s="466"/>
      <c r="R924" s="467"/>
      <c r="S924" s="467"/>
      <c r="T924" s="467"/>
      <c r="U924" s="467"/>
      <c r="V924" s="467"/>
      <c r="W924" s="467"/>
      <c r="AA924" s="467"/>
      <c r="AB924" s="467"/>
      <c r="AC924" s="467"/>
      <c r="AD924" s="467"/>
      <c r="AE924" s="467"/>
      <c r="AF924" s="467"/>
      <c r="AG924" s="467"/>
    </row>
    <row r="925" spans="5:33" ht="15">
      <c r="E925" s="466"/>
      <c r="F925" s="466"/>
      <c r="G925" s="466"/>
      <c r="H925" s="466"/>
      <c r="I925" s="466"/>
      <c r="J925" s="466"/>
      <c r="K925" s="466"/>
      <c r="R925" s="467"/>
      <c r="S925" s="467"/>
      <c r="T925" s="467"/>
      <c r="U925" s="467"/>
      <c r="V925" s="467"/>
      <c r="W925" s="467"/>
      <c r="AA925" s="467"/>
      <c r="AB925" s="467"/>
      <c r="AC925" s="467"/>
      <c r="AD925" s="467"/>
      <c r="AE925" s="467"/>
      <c r="AF925" s="467"/>
      <c r="AG925" s="467"/>
    </row>
    <row r="926" spans="5:33" ht="15">
      <c r="E926" s="466"/>
      <c r="F926" s="466"/>
      <c r="G926" s="466"/>
      <c r="H926" s="466"/>
      <c r="I926" s="466"/>
      <c r="J926" s="466"/>
      <c r="K926" s="466"/>
      <c r="R926" s="467"/>
      <c r="S926" s="467"/>
      <c r="T926" s="467"/>
      <c r="U926" s="467"/>
      <c r="V926" s="467"/>
      <c r="W926" s="467"/>
      <c r="AA926" s="467"/>
      <c r="AB926" s="467"/>
      <c r="AC926" s="467"/>
      <c r="AD926" s="467"/>
      <c r="AE926" s="467"/>
      <c r="AF926" s="467"/>
      <c r="AG926" s="467"/>
    </row>
    <row r="927" spans="5:33" ht="15">
      <c r="E927" s="466"/>
      <c r="F927" s="466"/>
      <c r="G927" s="466"/>
      <c r="H927" s="466"/>
      <c r="I927" s="466"/>
      <c r="J927" s="466"/>
      <c r="K927" s="466"/>
      <c r="R927" s="467"/>
      <c r="S927" s="467"/>
      <c r="T927" s="467"/>
      <c r="U927" s="467"/>
      <c r="V927" s="467"/>
      <c r="W927" s="467"/>
      <c r="AA927" s="467"/>
      <c r="AB927" s="467"/>
      <c r="AC927" s="467"/>
      <c r="AD927" s="467"/>
      <c r="AE927" s="467"/>
      <c r="AF927" s="467"/>
      <c r="AG927" s="467"/>
    </row>
    <row r="928" spans="5:33" ht="15">
      <c r="E928" s="466"/>
      <c r="F928" s="466"/>
      <c r="G928" s="466"/>
      <c r="H928" s="466"/>
      <c r="I928" s="466"/>
      <c r="J928" s="466"/>
      <c r="K928" s="466"/>
      <c r="R928" s="467"/>
      <c r="S928" s="467"/>
      <c r="T928" s="467"/>
      <c r="U928" s="467"/>
      <c r="V928" s="467"/>
      <c r="W928" s="467"/>
      <c r="AA928" s="467"/>
      <c r="AB928" s="467"/>
      <c r="AC928" s="467"/>
      <c r="AD928" s="467"/>
      <c r="AE928" s="467"/>
      <c r="AF928" s="467"/>
      <c r="AG928" s="467"/>
    </row>
    <row r="929" spans="5:33" ht="15">
      <c r="E929" s="466"/>
      <c r="F929" s="466"/>
      <c r="G929" s="466"/>
      <c r="H929" s="466"/>
      <c r="I929" s="466"/>
      <c r="J929" s="466"/>
      <c r="K929" s="466"/>
      <c r="R929" s="467"/>
      <c r="S929" s="467"/>
      <c r="T929" s="467"/>
      <c r="U929" s="467"/>
      <c r="V929" s="467"/>
      <c r="W929" s="467"/>
      <c r="AA929" s="467"/>
      <c r="AB929" s="467"/>
      <c r="AC929" s="467"/>
      <c r="AD929" s="467"/>
      <c r="AE929" s="467"/>
      <c r="AF929" s="467"/>
      <c r="AG929" s="467"/>
    </row>
    <row r="930" spans="5:33" ht="15">
      <c r="E930" s="466"/>
      <c r="F930" s="466"/>
      <c r="G930" s="466"/>
      <c r="H930" s="466"/>
      <c r="I930" s="466"/>
      <c r="J930" s="466"/>
      <c r="K930" s="466"/>
      <c r="R930" s="467"/>
      <c r="S930" s="467"/>
      <c r="T930" s="467"/>
      <c r="U930" s="467"/>
      <c r="V930" s="467"/>
      <c r="W930" s="467"/>
      <c r="AA930" s="467"/>
      <c r="AB930" s="467"/>
      <c r="AC930" s="467"/>
      <c r="AD930" s="467"/>
      <c r="AE930" s="467"/>
      <c r="AF930" s="467"/>
      <c r="AG930" s="467"/>
    </row>
    <row r="931" spans="5:33" ht="15">
      <c r="E931" s="466"/>
      <c r="F931" s="466"/>
      <c r="G931" s="466"/>
      <c r="H931" s="466"/>
      <c r="I931" s="466"/>
      <c r="J931" s="466"/>
      <c r="K931" s="466"/>
      <c r="R931" s="467"/>
      <c r="S931" s="467"/>
      <c r="T931" s="467"/>
      <c r="U931" s="467"/>
      <c r="V931" s="467"/>
      <c r="W931" s="467"/>
      <c r="AA931" s="467"/>
      <c r="AB931" s="467"/>
      <c r="AC931" s="467"/>
      <c r="AD931" s="467"/>
      <c r="AE931" s="467"/>
      <c r="AF931" s="467"/>
      <c r="AG931" s="467"/>
    </row>
    <row r="932" spans="5:33" ht="15">
      <c r="E932" s="466"/>
      <c r="F932" s="466"/>
      <c r="G932" s="466"/>
      <c r="H932" s="466"/>
      <c r="I932" s="466"/>
      <c r="J932" s="466"/>
      <c r="K932" s="466"/>
      <c r="R932" s="467"/>
      <c r="S932" s="467"/>
      <c r="T932" s="467"/>
      <c r="U932" s="467"/>
      <c r="V932" s="467"/>
      <c r="W932" s="467"/>
      <c r="AA932" s="467"/>
      <c r="AB932" s="467"/>
      <c r="AC932" s="467"/>
      <c r="AD932" s="467"/>
      <c r="AE932" s="467"/>
      <c r="AF932" s="467"/>
      <c r="AG932" s="467"/>
    </row>
    <row r="933" spans="5:33" ht="15">
      <c r="E933" s="466"/>
      <c r="F933" s="466"/>
      <c r="G933" s="466"/>
      <c r="H933" s="466"/>
      <c r="I933" s="466"/>
      <c r="J933" s="466"/>
      <c r="K933" s="466"/>
      <c r="R933" s="467"/>
      <c r="S933" s="467"/>
      <c r="T933" s="467"/>
      <c r="U933" s="467"/>
      <c r="V933" s="467"/>
      <c r="W933" s="467"/>
      <c r="AA933" s="467"/>
      <c r="AB933" s="467"/>
      <c r="AC933" s="467"/>
      <c r="AD933" s="467"/>
      <c r="AE933" s="467"/>
      <c r="AF933" s="467"/>
      <c r="AG933" s="467"/>
    </row>
    <row r="934" spans="5:33" ht="15">
      <c r="E934" s="466"/>
      <c r="F934" s="466"/>
      <c r="G934" s="466"/>
      <c r="H934" s="466"/>
      <c r="I934" s="466"/>
      <c r="J934" s="466"/>
      <c r="K934" s="466"/>
      <c r="R934" s="467"/>
      <c r="S934" s="467"/>
      <c r="T934" s="467"/>
      <c r="U934" s="467"/>
      <c r="V934" s="467"/>
      <c r="W934" s="467"/>
      <c r="AA934" s="467"/>
      <c r="AB934" s="467"/>
      <c r="AC934" s="467"/>
      <c r="AD934" s="467"/>
      <c r="AE934" s="467"/>
      <c r="AF934" s="467"/>
      <c r="AG934" s="467"/>
    </row>
    <row r="935" spans="5:33" ht="15">
      <c r="E935" s="466"/>
      <c r="F935" s="466"/>
      <c r="G935" s="466"/>
      <c r="H935" s="466"/>
      <c r="I935" s="466"/>
      <c r="J935" s="466"/>
      <c r="K935" s="466"/>
      <c r="R935" s="467"/>
      <c r="S935" s="467"/>
      <c r="T935" s="467"/>
      <c r="U935" s="467"/>
      <c r="V935" s="467"/>
      <c r="W935" s="467"/>
      <c r="AA935" s="467"/>
      <c r="AB935" s="467"/>
      <c r="AC935" s="467"/>
      <c r="AD935" s="467"/>
      <c r="AE935" s="467"/>
      <c r="AF935" s="467"/>
      <c r="AG935" s="467"/>
    </row>
    <row r="936" spans="5:33" ht="15">
      <c r="E936" s="466"/>
      <c r="F936" s="466"/>
      <c r="G936" s="466"/>
      <c r="H936" s="466"/>
      <c r="I936" s="466"/>
      <c r="J936" s="466"/>
      <c r="K936" s="466"/>
      <c r="R936" s="467"/>
      <c r="S936" s="467"/>
      <c r="T936" s="467"/>
      <c r="U936" s="467"/>
      <c r="V936" s="467"/>
      <c r="W936" s="467"/>
      <c r="AA936" s="467"/>
      <c r="AB936" s="467"/>
      <c r="AC936" s="467"/>
      <c r="AD936" s="467"/>
      <c r="AE936" s="467"/>
      <c r="AF936" s="467"/>
      <c r="AG936" s="467"/>
    </row>
    <row r="937" spans="5:33" ht="15">
      <c r="E937" s="466"/>
      <c r="F937" s="466"/>
      <c r="G937" s="466"/>
      <c r="H937" s="466"/>
      <c r="I937" s="466"/>
      <c r="J937" s="466"/>
      <c r="K937" s="466"/>
      <c r="R937" s="467"/>
      <c r="S937" s="467"/>
      <c r="T937" s="467"/>
      <c r="U937" s="467"/>
      <c r="V937" s="467"/>
      <c r="W937" s="467"/>
      <c r="AA937" s="467"/>
      <c r="AB937" s="467"/>
      <c r="AC937" s="467"/>
      <c r="AD937" s="467"/>
      <c r="AE937" s="467"/>
      <c r="AF937" s="467"/>
      <c r="AG937" s="467"/>
    </row>
    <row r="938" spans="5:33" ht="15">
      <c r="E938" s="466"/>
      <c r="F938" s="466"/>
      <c r="G938" s="466"/>
      <c r="H938" s="466"/>
      <c r="I938" s="466"/>
      <c r="J938" s="466"/>
      <c r="K938" s="466"/>
      <c r="R938" s="467"/>
      <c r="S938" s="467"/>
      <c r="T938" s="467"/>
      <c r="U938" s="467"/>
      <c r="V938" s="467"/>
      <c r="W938" s="467"/>
      <c r="AA938" s="467"/>
      <c r="AB938" s="467"/>
      <c r="AC938" s="467"/>
      <c r="AD938" s="467"/>
      <c r="AE938" s="467"/>
      <c r="AF938" s="467"/>
      <c r="AG938" s="467"/>
    </row>
    <row r="939" spans="5:33" ht="15">
      <c r="E939" s="466"/>
      <c r="F939" s="466"/>
      <c r="G939" s="466"/>
      <c r="H939" s="466"/>
      <c r="I939" s="466"/>
      <c r="J939" s="466"/>
      <c r="K939" s="466"/>
      <c r="R939" s="467"/>
      <c r="S939" s="467"/>
      <c r="T939" s="467"/>
      <c r="U939" s="467"/>
      <c r="V939" s="467"/>
      <c r="W939" s="467"/>
      <c r="AA939" s="467"/>
      <c r="AB939" s="467"/>
      <c r="AC939" s="467"/>
      <c r="AD939" s="467"/>
      <c r="AE939" s="467"/>
      <c r="AF939" s="467"/>
      <c r="AG939" s="467"/>
    </row>
    <row r="940" spans="5:33" ht="15">
      <c r="E940" s="466"/>
      <c r="F940" s="466"/>
      <c r="G940" s="466"/>
      <c r="H940" s="466"/>
      <c r="I940" s="466"/>
      <c r="J940" s="466"/>
      <c r="K940" s="466"/>
      <c r="R940" s="467"/>
      <c r="S940" s="467"/>
      <c r="T940" s="467"/>
      <c r="U940" s="467"/>
      <c r="V940" s="467"/>
      <c r="W940" s="467"/>
      <c r="AA940" s="467"/>
      <c r="AB940" s="467"/>
      <c r="AC940" s="467"/>
      <c r="AD940" s="467"/>
      <c r="AE940" s="467"/>
      <c r="AF940" s="467"/>
      <c r="AG940" s="467"/>
    </row>
    <row r="941" spans="5:33" ht="15">
      <c r="E941" s="466"/>
      <c r="F941" s="466"/>
      <c r="G941" s="466"/>
      <c r="H941" s="466"/>
      <c r="I941" s="466"/>
      <c r="J941" s="466"/>
      <c r="K941" s="466"/>
      <c r="R941" s="467"/>
      <c r="S941" s="467"/>
      <c r="T941" s="467"/>
      <c r="U941" s="467"/>
      <c r="V941" s="467"/>
      <c r="W941" s="467"/>
      <c r="AA941" s="467"/>
      <c r="AB941" s="467"/>
      <c r="AC941" s="467"/>
      <c r="AD941" s="467"/>
      <c r="AE941" s="467"/>
      <c r="AF941" s="467"/>
      <c r="AG941" s="467"/>
    </row>
    <row r="942" spans="5:33" ht="15">
      <c r="E942" s="466"/>
      <c r="F942" s="466"/>
      <c r="G942" s="466"/>
      <c r="H942" s="466"/>
      <c r="I942" s="466"/>
      <c r="J942" s="466"/>
      <c r="K942" s="466"/>
      <c r="R942" s="467"/>
      <c r="S942" s="467"/>
      <c r="T942" s="467"/>
      <c r="U942" s="467"/>
      <c r="V942" s="467"/>
      <c r="W942" s="467"/>
      <c r="AA942" s="467"/>
      <c r="AB942" s="467"/>
      <c r="AC942" s="467"/>
      <c r="AD942" s="467"/>
      <c r="AE942" s="467"/>
      <c r="AF942" s="467"/>
      <c r="AG942" s="467"/>
    </row>
    <row r="943" spans="5:33" ht="15">
      <c r="E943" s="466"/>
      <c r="F943" s="466"/>
      <c r="G943" s="466"/>
      <c r="H943" s="466"/>
      <c r="I943" s="466"/>
      <c r="J943" s="466"/>
      <c r="K943" s="466"/>
      <c r="R943" s="467"/>
      <c r="S943" s="467"/>
      <c r="T943" s="467"/>
      <c r="U943" s="467"/>
      <c r="V943" s="467"/>
      <c r="W943" s="467"/>
      <c r="AA943" s="467"/>
      <c r="AB943" s="467"/>
      <c r="AC943" s="467"/>
      <c r="AD943" s="467"/>
      <c r="AE943" s="467"/>
      <c r="AF943" s="467"/>
      <c r="AG943" s="467"/>
    </row>
    <row r="944" spans="5:33" ht="15">
      <c r="E944" s="466"/>
      <c r="F944" s="466"/>
      <c r="G944" s="466"/>
      <c r="H944" s="466"/>
      <c r="I944" s="466"/>
      <c r="J944" s="466"/>
      <c r="K944" s="466"/>
      <c r="R944" s="467"/>
      <c r="S944" s="467"/>
      <c r="T944" s="467"/>
      <c r="U944" s="467"/>
      <c r="V944" s="467"/>
      <c r="W944" s="467"/>
      <c r="AA944" s="467"/>
      <c r="AB944" s="467"/>
      <c r="AC944" s="467"/>
      <c r="AD944" s="467"/>
      <c r="AE944" s="467"/>
      <c r="AF944" s="467"/>
      <c r="AG944" s="467"/>
    </row>
    <row r="945" spans="5:33" ht="15">
      <c r="E945" s="466"/>
      <c r="F945" s="466"/>
      <c r="G945" s="466"/>
      <c r="H945" s="466"/>
      <c r="I945" s="466"/>
      <c r="J945" s="466"/>
      <c r="K945" s="466"/>
      <c r="R945" s="467"/>
      <c r="S945" s="467"/>
      <c r="T945" s="467"/>
      <c r="U945" s="467"/>
      <c r="V945" s="467"/>
      <c r="W945" s="467"/>
      <c r="AA945" s="467"/>
      <c r="AB945" s="467"/>
      <c r="AC945" s="467"/>
      <c r="AD945" s="467"/>
      <c r="AE945" s="467"/>
      <c r="AF945" s="467"/>
      <c r="AG945" s="467"/>
    </row>
    <row r="946" spans="5:33" ht="15">
      <c r="E946" s="466"/>
      <c r="F946" s="466"/>
      <c r="G946" s="466"/>
      <c r="H946" s="466"/>
      <c r="I946" s="466"/>
      <c r="J946" s="466"/>
      <c r="K946" s="466"/>
      <c r="R946" s="467"/>
      <c r="S946" s="467"/>
      <c r="T946" s="467"/>
      <c r="U946" s="467"/>
      <c r="V946" s="467"/>
      <c r="W946" s="467"/>
      <c r="AA946" s="467"/>
      <c r="AB946" s="467"/>
      <c r="AC946" s="467"/>
      <c r="AD946" s="467"/>
      <c r="AE946" s="467"/>
      <c r="AF946" s="467"/>
      <c r="AG946" s="467"/>
    </row>
    <row r="947" spans="5:33" ht="15">
      <c r="E947" s="466"/>
      <c r="F947" s="466"/>
      <c r="G947" s="466"/>
      <c r="H947" s="466"/>
      <c r="I947" s="466"/>
      <c r="J947" s="466"/>
      <c r="K947" s="466"/>
      <c r="R947" s="467"/>
      <c r="S947" s="467"/>
      <c r="T947" s="467"/>
      <c r="U947" s="467"/>
      <c r="V947" s="467"/>
      <c r="W947" s="467"/>
      <c r="AA947" s="467"/>
      <c r="AB947" s="467"/>
      <c r="AC947" s="467"/>
      <c r="AD947" s="467"/>
      <c r="AE947" s="467"/>
      <c r="AF947" s="467"/>
      <c r="AG947" s="467"/>
    </row>
    <row r="948" spans="5:33" ht="15">
      <c r="E948" s="466"/>
      <c r="F948" s="466"/>
      <c r="G948" s="466"/>
      <c r="H948" s="466"/>
      <c r="I948" s="466"/>
      <c r="J948" s="466"/>
      <c r="K948" s="466"/>
      <c r="R948" s="467"/>
      <c r="S948" s="467"/>
      <c r="T948" s="467"/>
      <c r="U948" s="467"/>
      <c r="V948" s="467"/>
      <c r="W948" s="467"/>
      <c r="AA948" s="467"/>
      <c r="AB948" s="467"/>
      <c r="AC948" s="467"/>
      <c r="AD948" s="467"/>
      <c r="AE948" s="467"/>
      <c r="AF948" s="467"/>
      <c r="AG948" s="467"/>
    </row>
    <row r="949" spans="5:33" ht="15">
      <c r="E949" s="466"/>
      <c r="F949" s="466"/>
      <c r="G949" s="466"/>
      <c r="H949" s="466"/>
      <c r="I949" s="466"/>
      <c r="J949" s="466"/>
      <c r="K949" s="466"/>
      <c r="R949" s="467"/>
      <c r="S949" s="467"/>
      <c r="T949" s="467"/>
      <c r="U949" s="467"/>
      <c r="V949" s="467"/>
      <c r="W949" s="467"/>
      <c r="AA949" s="467"/>
      <c r="AB949" s="467"/>
      <c r="AC949" s="467"/>
      <c r="AD949" s="467"/>
      <c r="AE949" s="467"/>
      <c r="AF949" s="467"/>
      <c r="AG949" s="467"/>
    </row>
    <row r="950" spans="5:33" ht="15">
      <c r="E950" s="466"/>
      <c r="F950" s="466"/>
      <c r="G950" s="466"/>
      <c r="H950" s="466"/>
      <c r="I950" s="466"/>
      <c r="J950" s="466"/>
      <c r="K950" s="466"/>
      <c r="R950" s="467"/>
      <c r="S950" s="467"/>
      <c r="T950" s="467"/>
      <c r="U950" s="467"/>
      <c r="V950" s="467"/>
      <c r="W950" s="467"/>
      <c r="AA950" s="467"/>
      <c r="AB950" s="467"/>
      <c r="AC950" s="467"/>
      <c r="AD950" s="467"/>
      <c r="AE950" s="467"/>
      <c r="AF950" s="467"/>
      <c r="AG950" s="467"/>
    </row>
    <row r="951" spans="5:33" ht="15">
      <c r="E951" s="466"/>
      <c r="F951" s="466"/>
      <c r="G951" s="466"/>
      <c r="H951" s="466"/>
      <c r="I951" s="466"/>
      <c r="J951" s="466"/>
      <c r="K951" s="466"/>
      <c r="R951" s="467"/>
      <c r="S951" s="467"/>
      <c r="T951" s="467"/>
      <c r="U951" s="467"/>
      <c r="V951" s="467"/>
      <c r="W951" s="467"/>
      <c r="AA951" s="467"/>
      <c r="AB951" s="467"/>
      <c r="AC951" s="467"/>
      <c r="AD951" s="467"/>
      <c r="AE951" s="467"/>
      <c r="AF951" s="467"/>
      <c r="AG951" s="467"/>
    </row>
    <row r="952" spans="5:33" ht="15">
      <c r="E952" s="466"/>
      <c r="F952" s="466"/>
      <c r="G952" s="466"/>
      <c r="H952" s="466"/>
      <c r="I952" s="466"/>
      <c r="J952" s="466"/>
      <c r="K952" s="466"/>
      <c r="R952" s="467"/>
      <c r="S952" s="467"/>
      <c r="T952" s="467"/>
      <c r="U952" s="467"/>
      <c r="V952" s="467"/>
      <c r="W952" s="467"/>
      <c r="AA952" s="467"/>
      <c r="AB952" s="467"/>
      <c r="AC952" s="467"/>
      <c r="AD952" s="467"/>
      <c r="AE952" s="467"/>
      <c r="AF952" s="467"/>
      <c r="AG952" s="467"/>
    </row>
    <row r="953" spans="5:33" ht="15">
      <c r="E953" s="466"/>
      <c r="F953" s="466"/>
      <c r="G953" s="466"/>
      <c r="H953" s="466"/>
      <c r="I953" s="466"/>
      <c r="J953" s="466"/>
      <c r="K953" s="466"/>
      <c r="R953" s="467"/>
      <c r="S953" s="467"/>
      <c r="T953" s="467"/>
      <c r="U953" s="467"/>
      <c r="V953" s="467"/>
      <c r="W953" s="467"/>
      <c r="AA953" s="467"/>
      <c r="AB953" s="467"/>
      <c r="AC953" s="467"/>
      <c r="AD953" s="467"/>
      <c r="AE953" s="467"/>
      <c r="AF953" s="467"/>
      <c r="AG953" s="467"/>
    </row>
    <row r="954" spans="5:33" ht="15">
      <c r="E954" s="466"/>
      <c r="F954" s="466"/>
      <c r="G954" s="466"/>
      <c r="H954" s="466"/>
      <c r="I954" s="466"/>
      <c r="J954" s="466"/>
      <c r="K954" s="466"/>
      <c r="R954" s="467"/>
      <c r="S954" s="467"/>
      <c r="T954" s="467"/>
      <c r="U954" s="467"/>
      <c r="V954" s="467"/>
      <c r="W954" s="467"/>
      <c r="AA954" s="467"/>
      <c r="AB954" s="467"/>
      <c r="AC954" s="467"/>
      <c r="AD954" s="467"/>
      <c r="AE954" s="467"/>
      <c r="AF954" s="467"/>
      <c r="AG954" s="467"/>
    </row>
    <row r="955" spans="5:33" ht="15">
      <c r="E955" s="466"/>
      <c r="F955" s="466"/>
      <c r="G955" s="466"/>
      <c r="H955" s="466"/>
      <c r="I955" s="466"/>
      <c r="J955" s="466"/>
      <c r="K955" s="466"/>
      <c r="R955" s="467"/>
      <c r="S955" s="467"/>
      <c r="T955" s="467"/>
      <c r="U955" s="467"/>
      <c r="V955" s="467"/>
      <c r="W955" s="467"/>
      <c r="AA955" s="467"/>
      <c r="AB955" s="467"/>
      <c r="AC955" s="467"/>
      <c r="AD955" s="467"/>
      <c r="AE955" s="467"/>
      <c r="AF955" s="467"/>
      <c r="AG955" s="467"/>
    </row>
    <row r="956" spans="5:33" ht="15">
      <c r="E956" s="466"/>
      <c r="F956" s="466"/>
      <c r="G956" s="466"/>
      <c r="H956" s="466"/>
      <c r="I956" s="466"/>
      <c r="J956" s="466"/>
      <c r="K956" s="466"/>
      <c r="R956" s="467"/>
      <c r="S956" s="467"/>
      <c r="T956" s="467"/>
      <c r="U956" s="467"/>
      <c r="V956" s="467"/>
      <c r="W956" s="467"/>
      <c r="AA956" s="467"/>
      <c r="AB956" s="467"/>
      <c r="AC956" s="467"/>
      <c r="AD956" s="467"/>
      <c r="AE956" s="467"/>
      <c r="AF956" s="467"/>
      <c r="AG956" s="467"/>
    </row>
    <row r="957" spans="5:33" ht="15">
      <c r="E957" s="466"/>
      <c r="F957" s="466"/>
      <c r="G957" s="466"/>
      <c r="H957" s="466"/>
      <c r="I957" s="466"/>
      <c r="J957" s="466"/>
      <c r="K957" s="466"/>
      <c r="R957" s="467"/>
      <c r="S957" s="467"/>
      <c r="T957" s="467"/>
      <c r="U957" s="467"/>
      <c r="V957" s="467"/>
      <c r="W957" s="467"/>
      <c r="AA957" s="467"/>
      <c r="AB957" s="467"/>
      <c r="AC957" s="467"/>
      <c r="AD957" s="467"/>
      <c r="AE957" s="467"/>
      <c r="AF957" s="467"/>
      <c r="AG957" s="467"/>
    </row>
    <row r="958" spans="5:33" ht="15">
      <c r="E958" s="466"/>
      <c r="F958" s="466"/>
      <c r="G958" s="466"/>
      <c r="H958" s="466"/>
      <c r="I958" s="466"/>
      <c r="J958" s="466"/>
      <c r="K958" s="466"/>
      <c r="R958" s="467"/>
      <c r="S958" s="467"/>
      <c r="T958" s="467"/>
      <c r="U958" s="467"/>
      <c r="V958" s="467"/>
      <c r="W958" s="467"/>
      <c r="AA958" s="467"/>
      <c r="AB958" s="467"/>
      <c r="AC958" s="467"/>
      <c r="AD958" s="467"/>
      <c r="AE958" s="467"/>
      <c r="AF958" s="467"/>
      <c r="AG958" s="467"/>
    </row>
    <row r="959" spans="5:33" ht="15">
      <c r="E959" s="466"/>
      <c r="F959" s="466"/>
      <c r="G959" s="466"/>
      <c r="H959" s="466"/>
      <c r="I959" s="466"/>
      <c r="J959" s="466"/>
      <c r="K959" s="466"/>
      <c r="R959" s="467"/>
      <c r="S959" s="467"/>
      <c r="T959" s="467"/>
      <c r="U959" s="467"/>
      <c r="V959" s="467"/>
      <c r="W959" s="467"/>
      <c r="AA959" s="467"/>
      <c r="AB959" s="467"/>
      <c r="AC959" s="467"/>
      <c r="AD959" s="467"/>
      <c r="AE959" s="467"/>
      <c r="AF959" s="467"/>
      <c r="AG959" s="467"/>
    </row>
    <row r="960" spans="5:33" ht="15">
      <c r="E960" s="466"/>
      <c r="F960" s="466"/>
      <c r="G960" s="466"/>
      <c r="H960" s="466"/>
      <c r="I960" s="466"/>
      <c r="J960" s="466"/>
      <c r="K960" s="466"/>
      <c r="R960" s="467"/>
      <c r="S960" s="467"/>
      <c r="T960" s="467"/>
      <c r="U960" s="467"/>
      <c r="V960" s="467"/>
      <c r="W960" s="467"/>
      <c r="AA960" s="467"/>
      <c r="AB960" s="467"/>
      <c r="AC960" s="467"/>
      <c r="AD960" s="467"/>
      <c r="AE960" s="467"/>
      <c r="AF960" s="467"/>
      <c r="AG960" s="467"/>
    </row>
    <row r="961" spans="5:33" ht="15">
      <c r="E961" s="466"/>
      <c r="F961" s="466"/>
      <c r="G961" s="466"/>
      <c r="H961" s="466"/>
      <c r="I961" s="466"/>
      <c r="J961" s="466"/>
      <c r="K961" s="466"/>
      <c r="R961" s="467"/>
      <c r="S961" s="467"/>
      <c r="T961" s="467"/>
      <c r="U961" s="467"/>
      <c r="V961" s="467"/>
      <c r="W961" s="467"/>
      <c r="AA961" s="467"/>
      <c r="AB961" s="467"/>
      <c r="AC961" s="467"/>
      <c r="AD961" s="467"/>
      <c r="AE961" s="467"/>
      <c r="AF961" s="467"/>
      <c r="AG961" s="467"/>
    </row>
    <row r="962" spans="5:33" ht="15">
      <c r="E962" s="466"/>
      <c r="F962" s="466"/>
      <c r="G962" s="466"/>
      <c r="H962" s="466"/>
      <c r="I962" s="466"/>
      <c r="J962" s="466"/>
      <c r="K962" s="466"/>
      <c r="R962" s="467"/>
      <c r="S962" s="467"/>
      <c r="T962" s="467"/>
      <c r="U962" s="467"/>
      <c r="V962" s="467"/>
      <c r="W962" s="467"/>
      <c r="AA962" s="467"/>
      <c r="AB962" s="467"/>
      <c r="AC962" s="467"/>
      <c r="AD962" s="467"/>
      <c r="AE962" s="467"/>
      <c r="AF962" s="467"/>
      <c r="AG962" s="467"/>
    </row>
    <row r="963" spans="5:33" ht="15">
      <c r="E963" s="466"/>
      <c r="F963" s="466"/>
      <c r="G963" s="466"/>
      <c r="H963" s="466"/>
      <c r="I963" s="466"/>
      <c r="J963" s="466"/>
      <c r="K963" s="466"/>
      <c r="R963" s="467"/>
      <c r="S963" s="467"/>
      <c r="T963" s="467"/>
      <c r="U963" s="467"/>
      <c r="V963" s="467"/>
      <c r="W963" s="467"/>
      <c r="AA963" s="467"/>
      <c r="AB963" s="467"/>
      <c r="AC963" s="467"/>
      <c r="AD963" s="467"/>
      <c r="AE963" s="467"/>
      <c r="AF963" s="467"/>
      <c r="AG963" s="467"/>
    </row>
    <row r="964" spans="5:33" ht="15">
      <c r="E964" s="466"/>
      <c r="F964" s="466"/>
      <c r="G964" s="466"/>
      <c r="H964" s="466"/>
      <c r="I964" s="466"/>
      <c r="J964" s="466"/>
      <c r="K964" s="466"/>
      <c r="R964" s="467"/>
      <c r="S964" s="467"/>
      <c r="T964" s="467"/>
      <c r="U964" s="467"/>
      <c r="V964" s="467"/>
      <c r="W964" s="467"/>
      <c r="AA964" s="467"/>
      <c r="AB964" s="467"/>
      <c r="AC964" s="467"/>
      <c r="AD964" s="467"/>
      <c r="AE964" s="467"/>
      <c r="AF964" s="467"/>
      <c r="AG964" s="467"/>
    </row>
    <row r="965" spans="5:33" ht="15">
      <c r="E965" s="466"/>
      <c r="F965" s="466"/>
      <c r="G965" s="466"/>
      <c r="H965" s="466"/>
      <c r="I965" s="466"/>
      <c r="J965" s="466"/>
      <c r="K965" s="466"/>
      <c r="R965" s="467"/>
      <c r="S965" s="467"/>
      <c r="T965" s="467"/>
      <c r="U965" s="467"/>
      <c r="V965" s="467"/>
      <c r="W965" s="467"/>
      <c r="AA965" s="467"/>
      <c r="AB965" s="467"/>
      <c r="AC965" s="467"/>
      <c r="AD965" s="467"/>
      <c r="AE965" s="467"/>
      <c r="AF965" s="467"/>
      <c r="AG965" s="467"/>
    </row>
    <row r="966" spans="5:33" ht="15">
      <c r="E966" s="466"/>
      <c r="F966" s="466"/>
      <c r="G966" s="466"/>
      <c r="H966" s="466"/>
      <c r="I966" s="466"/>
      <c r="J966" s="466"/>
      <c r="K966" s="466"/>
      <c r="R966" s="467"/>
      <c r="S966" s="467"/>
      <c r="T966" s="467"/>
      <c r="U966" s="467"/>
      <c r="V966" s="467"/>
      <c r="W966" s="467"/>
      <c r="AA966" s="467"/>
      <c r="AB966" s="467"/>
      <c r="AC966" s="467"/>
      <c r="AD966" s="467"/>
      <c r="AE966" s="467"/>
      <c r="AF966" s="467"/>
      <c r="AG966" s="467"/>
    </row>
    <row r="967" spans="5:33" ht="15">
      <c r="E967" s="466"/>
      <c r="F967" s="466"/>
      <c r="G967" s="466"/>
      <c r="H967" s="466"/>
      <c r="I967" s="466"/>
      <c r="J967" s="466"/>
      <c r="K967" s="466"/>
      <c r="R967" s="467"/>
      <c r="S967" s="467"/>
      <c r="T967" s="467"/>
      <c r="U967" s="467"/>
      <c r="V967" s="467"/>
      <c r="W967" s="467"/>
      <c r="AA967" s="467"/>
      <c r="AB967" s="467"/>
      <c r="AC967" s="467"/>
      <c r="AD967" s="467"/>
      <c r="AE967" s="467"/>
      <c r="AF967" s="467"/>
      <c r="AG967" s="467"/>
    </row>
    <row r="968" spans="5:33" ht="15">
      <c r="E968" s="466"/>
      <c r="F968" s="466"/>
      <c r="G968" s="466"/>
      <c r="H968" s="466"/>
      <c r="I968" s="466"/>
      <c r="J968" s="466"/>
      <c r="K968" s="466"/>
      <c r="R968" s="467"/>
      <c r="S968" s="467"/>
      <c r="T968" s="467"/>
      <c r="U968" s="467"/>
      <c r="V968" s="467"/>
      <c r="W968" s="467"/>
      <c r="AA968" s="467"/>
      <c r="AB968" s="467"/>
      <c r="AC968" s="467"/>
      <c r="AD968" s="467"/>
      <c r="AE968" s="467"/>
      <c r="AF968" s="467"/>
      <c r="AG968" s="467"/>
    </row>
    <row r="969" spans="5:33" ht="15">
      <c r="E969" s="466"/>
      <c r="F969" s="466"/>
      <c r="G969" s="466"/>
      <c r="H969" s="466"/>
      <c r="I969" s="466"/>
      <c r="J969" s="466"/>
      <c r="K969" s="466"/>
      <c r="R969" s="467"/>
      <c r="S969" s="467"/>
      <c r="T969" s="467"/>
      <c r="U969" s="467"/>
      <c r="V969" s="467"/>
      <c r="W969" s="467"/>
      <c r="AA969" s="467"/>
      <c r="AB969" s="467"/>
      <c r="AC969" s="467"/>
      <c r="AD969" s="467"/>
      <c r="AE969" s="467"/>
      <c r="AF969" s="467"/>
      <c r="AG969" s="467"/>
    </row>
    <row r="970" spans="5:33" ht="15">
      <c r="E970" s="466"/>
      <c r="F970" s="466"/>
      <c r="G970" s="466"/>
      <c r="H970" s="466"/>
      <c r="I970" s="466"/>
      <c r="J970" s="466"/>
      <c r="K970" s="466"/>
      <c r="R970" s="467"/>
      <c r="S970" s="467"/>
      <c r="T970" s="467"/>
      <c r="U970" s="467"/>
      <c r="V970" s="467"/>
      <c r="W970" s="467"/>
      <c r="AA970" s="467"/>
      <c r="AB970" s="467"/>
      <c r="AC970" s="467"/>
      <c r="AD970" s="467"/>
      <c r="AE970" s="467"/>
      <c r="AF970" s="467"/>
      <c r="AG970" s="467"/>
    </row>
    <row r="971" spans="5:33" ht="15">
      <c r="E971" s="466"/>
      <c r="F971" s="466"/>
      <c r="G971" s="466"/>
      <c r="H971" s="466"/>
      <c r="I971" s="466"/>
      <c r="J971" s="466"/>
      <c r="K971" s="466"/>
      <c r="R971" s="467"/>
      <c r="S971" s="467"/>
      <c r="T971" s="467"/>
      <c r="U971" s="467"/>
      <c r="V971" s="467"/>
      <c r="W971" s="467"/>
      <c r="AA971" s="467"/>
      <c r="AB971" s="467"/>
      <c r="AC971" s="467"/>
      <c r="AD971" s="467"/>
      <c r="AE971" s="467"/>
      <c r="AF971" s="467"/>
      <c r="AG971" s="467"/>
    </row>
    <row r="972" spans="5:33" ht="15">
      <c r="E972" s="466"/>
      <c r="F972" s="466"/>
      <c r="G972" s="466"/>
      <c r="H972" s="466"/>
      <c r="I972" s="466"/>
      <c r="J972" s="466"/>
      <c r="K972" s="466"/>
      <c r="R972" s="467"/>
      <c r="S972" s="467"/>
      <c r="T972" s="467"/>
      <c r="U972" s="467"/>
      <c r="V972" s="467"/>
      <c r="W972" s="467"/>
      <c r="AA972" s="467"/>
      <c r="AB972" s="467"/>
      <c r="AC972" s="467"/>
      <c r="AD972" s="467"/>
      <c r="AE972" s="467"/>
      <c r="AF972" s="467"/>
      <c r="AG972" s="467"/>
    </row>
    <row r="973" spans="5:33" ht="15">
      <c r="E973" s="466"/>
      <c r="F973" s="466"/>
      <c r="G973" s="466"/>
      <c r="H973" s="466"/>
      <c r="I973" s="466"/>
      <c r="J973" s="466"/>
      <c r="K973" s="466"/>
      <c r="R973" s="467"/>
      <c r="S973" s="467"/>
      <c r="T973" s="467"/>
      <c r="U973" s="467"/>
      <c r="V973" s="467"/>
      <c r="W973" s="467"/>
      <c r="AA973" s="467"/>
      <c r="AB973" s="467"/>
      <c r="AC973" s="467"/>
      <c r="AD973" s="467"/>
      <c r="AE973" s="467"/>
      <c r="AF973" s="467"/>
      <c r="AG973" s="467"/>
    </row>
    <row r="974" spans="5:33" ht="15">
      <c r="E974" s="466"/>
      <c r="F974" s="466"/>
      <c r="G974" s="466"/>
      <c r="H974" s="466"/>
      <c r="I974" s="466"/>
      <c r="J974" s="466"/>
      <c r="K974" s="466"/>
      <c r="R974" s="467"/>
      <c r="S974" s="467"/>
      <c r="T974" s="467"/>
      <c r="U974" s="467"/>
      <c r="V974" s="467"/>
      <c r="W974" s="467"/>
      <c r="AA974" s="467"/>
      <c r="AB974" s="467"/>
      <c r="AC974" s="467"/>
      <c r="AD974" s="467"/>
      <c r="AE974" s="467"/>
      <c r="AF974" s="467"/>
      <c r="AG974" s="467"/>
    </row>
    <row r="975" spans="5:33" ht="15">
      <c r="E975" s="466"/>
      <c r="F975" s="466"/>
      <c r="G975" s="466"/>
      <c r="H975" s="466"/>
      <c r="I975" s="466"/>
      <c r="J975" s="466"/>
      <c r="K975" s="466"/>
      <c r="R975" s="467"/>
      <c r="S975" s="467"/>
      <c r="T975" s="467"/>
      <c r="U975" s="467"/>
      <c r="V975" s="467"/>
      <c r="W975" s="467"/>
      <c r="AA975" s="467"/>
      <c r="AB975" s="467"/>
      <c r="AC975" s="467"/>
      <c r="AD975" s="467"/>
      <c r="AE975" s="467"/>
      <c r="AF975" s="467"/>
      <c r="AG975" s="467"/>
    </row>
    <row r="976" spans="5:33" ht="15">
      <c r="E976" s="466"/>
      <c r="F976" s="466"/>
      <c r="G976" s="466"/>
      <c r="H976" s="466"/>
      <c r="I976" s="466"/>
      <c r="J976" s="466"/>
      <c r="K976" s="466"/>
      <c r="R976" s="467"/>
      <c r="S976" s="467"/>
      <c r="T976" s="467"/>
      <c r="U976" s="467"/>
      <c r="V976" s="467"/>
      <c r="W976" s="467"/>
      <c r="AA976" s="467"/>
      <c r="AB976" s="467"/>
      <c r="AC976" s="467"/>
      <c r="AD976" s="467"/>
      <c r="AE976" s="467"/>
      <c r="AF976" s="467"/>
      <c r="AG976" s="467"/>
    </row>
    <row r="977" spans="5:33" ht="15">
      <c r="E977" s="466"/>
      <c r="F977" s="466"/>
      <c r="G977" s="466"/>
      <c r="H977" s="466"/>
      <c r="I977" s="466"/>
      <c r="J977" s="466"/>
      <c r="K977" s="466"/>
      <c r="R977" s="467"/>
      <c r="S977" s="467"/>
      <c r="T977" s="467"/>
      <c r="U977" s="467"/>
      <c r="V977" s="467"/>
      <c r="W977" s="467"/>
      <c r="AA977" s="467"/>
      <c r="AB977" s="467"/>
      <c r="AC977" s="467"/>
      <c r="AD977" s="467"/>
      <c r="AE977" s="467"/>
      <c r="AF977" s="467"/>
      <c r="AG977" s="467"/>
    </row>
    <row r="978" spans="5:33" ht="15">
      <c r="E978" s="466"/>
      <c r="F978" s="466"/>
      <c r="G978" s="466"/>
      <c r="H978" s="466"/>
      <c r="I978" s="466"/>
      <c r="J978" s="466"/>
      <c r="K978" s="466"/>
      <c r="R978" s="467"/>
      <c r="S978" s="467"/>
      <c r="T978" s="467"/>
      <c r="U978" s="467"/>
      <c r="V978" s="467"/>
      <c r="W978" s="467"/>
      <c r="AA978" s="467"/>
      <c r="AB978" s="467"/>
      <c r="AC978" s="467"/>
      <c r="AD978" s="467"/>
      <c r="AE978" s="467"/>
      <c r="AF978" s="467"/>
      <c r="AG978" s="467"/>
    </row>
    <row r="979" spans="5:33" ht="15">
      <c r="E979" s="466"/>
      <c r="F979" s="466"/>
      <c r="G979" s="466"/>
      <c r="H979" s="466"/>
      <c r="I979" s="466"/>
      <c r="J979" s="466"/>
      <c r="K979" s="466"/>
      <c r="R979" s="467"/>
      <c r="S979" s="467"/>
      <c r="T979" s="467"/>
      <c r="U979" s="467"/>
      <c r="V979" s="467"/>
      <c r="W979" s="467"/>
      <c r="AA979" s="467"/>
      <c r="AB979" s="467"/>
      <c r="AC979" s="467"/>
      <c r="AD979" s="467"/>
      <c r="AE979" s="467"/>
      <c r="AF979" s="467"/>
      <c r="AG979" s="467"/>
    </row>
    <row r="980" spans="5:33" ht="15">
      <c r="E980" s="466"/>
      <c r="F980" s="466"/>
      <c r="G980" s="466"/>
      <c r="H980" s="466"/>
      <c r="I980" s="466"/>
      <c r="J980" s="466"/>
      <c r="K980" s="466"/>
      <c r="R980" s="467"/>
      <c r="S980" s="467"/>
      <c r="T980" s="467"/>
      <c r="U980" s="467"/>
      <c r="V980" s="467"/>
      <c r="W980" s="467"/>
      <c r="AA980" s="467"/>
      <c r="AB980" s="467"/>
      <c r="AC980" s="467"/>
      <c r="AD980" s="467"/>
      <c r="AE980" s="467"/>
      <c r="AF980" s="467"/>
      <c r="AG980" s="467"/>
    </row>
    <row r="981" spans="5:33" ht="15">
      <c r="E981" s="466"/>
      <c r="F981" s="466"/>
      <c r="G981" s="466"/>
      <c r="H981" s="466"/>
      <c r="I981" s="466"/>
      <c r="J981" s="466"/>
      <c r="K981" s="466"/>
      <c r="R981" s="467"/>
      <c r="S981" s="467"/>
      <c r="T981" s="467"/>
      <c r="U981" s="467"/>
      <c r="V981" s="467"/>
      <c r="W981" s="467"/>
      <c r="AA981" s="467"/>
      <c r="AB981" s="467"/>
      <c r="AC981" s="467"/>
      <c r="AD981" s="467"/>
      <c r="AE981" s="467"/>
      <c r="AF981" s="467"/>
      <c r="AG981" s="467"/>
    </row>
    <row r="982" spans="5:33" ht="15">
      <c r="E982" s="466"/>
      <c r="F982" s="466"/>
      <c r="G982" s="466"/>
      <c r="H982" s="466"/>
      <c r="I982" s="466"/>
      <c r="J982" s="466"/>
      <c r="K982" s="466"/>
      <c r="R982" s="467"/>
      <c r="S982" s="467"/>
      <c r="T982" s="467"/>
      <c r="U982" s="467"/>
      <c r="V982" s="467"/>
      <c r="W982" s="467"/>
      <c r="AA982" s="467"/>
      <c r="AB982" s="467"/>
      <c r="AC982" s="467"/>
      <c r="AD982" s="467"/>
      <c r="AE982" s="467"/>
      <c r="AF982" s="467"/>
      <c r="AG982" s="467"/>
    </row>
    <row r="983" spans="5:33" ht="15">
      <c r="E983" s="466"/>
      <c r="F983" s="466"/>
      <c r="G983" s="466"/>
      <c r="H983" s="466"/>
      <c r="I983" s="466"/>
      <c r="J983" s="466"/>
      <c r="K983" s="466"/>
      <c r="R983" s="467"/>
      <c r="S983" s="467"/>
      <c r="T983" s="467"/>
      <c r="U983" s="467"/>
      <c r="V983" s="467"/>
      <c r="W983" s="467"/>
      <c r="AA983" s="467"/>
      <c r="AB983" s="467"/>
      <c r="AC983" s="467"/>
      <c r="AD983" s="467"/>
      <c r="AE983" s="467"/>
      <c r="AF983" s="467"/>
      <c r="AG983" s="467"/>
    </row>
    <row r="984" spans="5:33" ht="15">
      <c r="E984" s="466"/>
      <c r="F984" s="466"/>
      <c r="G984" s="466"/>
      <c r="H984" s="466"/>
      <c r="I984" s="466"/>
      <c r="J984" s="466"/>
      <c r="K984" s="466"/>
      <c r="R984" s="467"/>
      <c r="S984" s="467"/>
      <c r="T984" s="467"/>
      <c r="U984" s="467"/>
      <c r="V984" s="467"/>
      <c r="W984" s="467"/>
      <c r="AA984" s="467"/>
      <c r="AB984" s="467"/>
      <c r="AC984" s="467"/>
      <c r="AD984" s="467"/>
      <c r="AE984" s="467"/>
      <c r="AF984" s="467"/>
      <c r="AG984" s="467"/>
    </row>
    <row r="985" spans="5:33" ht="15">
      <c r="E985" s="466"/>
      <c r="F985" s="466"/>
      <c r="G985" s="466"/>
      <c r="H985" s="466"/>
      <c r="I985" s="466"/>
      <c r="J985" s="466"/>
      <c r="K985" s="466"/>
      <c r="R985" s="467"/>
      <c r="S985" s="467"/>
      <c r="T985" s="467"/>
      <c r="U985" s="467"/>
      <c r="V985" s="467"/>
      <c r="W985" s="467"/>
      <c r="AA985" s="467"/>
      <c r="AB985" s="467"/>
      <c r="AC985" s="467"/>
      <c r="AD985" s="467"/>
      <c r="AE985" s="467"/>
      <c r="AF985" s="467"/>
      <c r="AG985" s="467"/>
    </row>
    <row r="986" spans="5:33" ht="15">
      <c r="E986" s="466"/>
      <c r="F986" s="466"/>
      <c r="G986" s="466"/>
      <c r="H986" s="466"/>
      <c r="I986" s="466"/>
      <c r="J986" s="466"/>
      <c r="K986" s="466"/>
      <c r="R986" s="467"/>
      <c r="S986" s="467"/>
      <c r="T986" s="467"/>
      <c r="U986" s="467"/>
      <c r="V986" s="467"/>
      <c r="W986" s="467"/>
      <c r="AA986" s="467"/>
      <c r="AB986" s="467"/>
      <c r="AC986" s="467"/>
      <c r="AD986" s="467"/>
      <c r="AE986" s="467"/>
      <c r="AF986" s="467"/>
      <c r="AG986" s="467"/>
    </row>
    <row r="987" spans="5:33" ht="15">
      <c r="E987" s="466"/>
      <c r="F987" s="466"/>
      <c r="G987" s="466"/>
      <c r="H987" s="466"/>
      <c r="I987" s="466"/>
      <c r="J987" s="466"/>
      <c r="K987" s="466"/>
      <c r="R987" s="467"/>
      <c r="S987" s="467"/>
      <c r="T987" s="467"/>
      <c r="U987" s="467"/>
      <c r="V987" s="467"/>
      <c r="W987" s="467"/>
      <c r="AA987" s="467"/>
      <c r="AB987" s="467"/>
      <c r="AC987" s="467"/>
      <c r="AD987" s="467"/>
      <c r="AE987" s="467"/>
      <c r="AF987" s="467"/>
      <c r="AG987" s="467"/>
    </row>
    <row r="988" spans="5:33" ht="15">
      <c r="E988" s="466"/>
      <c r="F988" s="466"/>
      <c r="G988" s="466"/>
      <c r="H988" s="466"/>
      <c r="I988" s="466"/>
      <c r="J988" s="466"/>
      <c r="K988" s="466"/>
      <c r="R988" s="467"/>
      <c r="S988" s="467"/>
      <c r="T988" s="467"/>
      <c r="U988" s="467"/>
      <c r="V988" s="467"/>
      <c r="W988" s="467"/>
      <c r="AA988" s="467"/>
      <c r="AB988" s="467"/>
      <c r="AC988" s="467"/>
      <c r="AD988" s="467"/>
      <c r="AE988" s="467"/>
      <c r="AF988" s="467"/>
      <c r="AG988" s="467"/>
    </row>
    <row r="989" spans="5:33" ht="15">
      <c r="E989" s="466"/>
      <c r="F989" s="466"/>
      <c r="G989" s="466"/>
      <c r="H989" s="466"/>
      <c r="I989" s="466"/>
      <c r="J989" s="466"/>
      <c r="K989" s="466"/>
      <c r="R989" s="467"/>
      <c r="S989" s="467"/>
      <c r="T989" s="467"/>
      <c r="U989" s="467"/>
      <c r="V989" s="467"/>
      <c r="W989" s="467"/>
      <c r="AA989" s="467"/>
      <c r="AB989" s="467"/>
      <c r="AC989" s="467"/>
      <c r="AD989" s="467"/>
      <c r="AE989" s="467"/>
      <c r="AF989" s="467"/>
      <c r="AG989" s="467"/>
    </row>
    <row r="990" spans="5:33" ht="15">
      <c r="E990" s="466"/>
      <c r="F990" s="466"/>
      <c r="G990" s="466"/>
      <c r="H990" s="466"/>
      <c r="I990" s="466"/>
      <c r="J990" s="466"/>
      <c r="K990" s="466"/>
      <c r="R990" s="467"/>
      <c r="S990" s="467"/>
      <c r="T990" s="467"/>
      <c r="U990" s="467"/>
      <c r="V990" s="467"/>
      <c r="W990" s="467"/>
      <c r="AA990" s="467"/>
      <c r="AB990" s="467"/>
      <c r="AC990" s="467"/>
      <c r="AD990" s="467"/>
      <c r="AE990" s="467"/>
      <c r="AF990" s="467"/>
      <c r="AG990" s="467"/>
    </row>
    <row r="991" spans="5:33" ht="15">
      <c r="E991" s="466"/>
      <c r="F991" s="466"/>
      <c r="G991" s="466"/>
      <c r="H991" s="466"/>
      <c r="I991" s="466"/>
      <c r="J991" s="466"/>
      <c r="K991" s="466"/>
      <c r="R991" s="467"/>
      <c r="S991" s="467"/>
      <c r="T991" s="467"/>
      <c r="U991" s="467"/>
      <c r="V991" s="467"/>
      <c r="W991" s="467"/>
      <c r="AA991" s="467"/>
      <c r="AB991" s="467"/>
      <c r="AC991" s="467"/>
      <c r="AD991" s="467"/>
      <c r="AE991" s="467"/>
      <c r="AF991" s="467"/>
      <c r="AG991" s="467"/>
    </row>
    <row r="992" spans="5:33" ht="15">
      <c r="E992" s="466"/>
      <c r="F992" s="466"/>
      <c r="G992" s="466"/>
      <c r="H992" s="466"/>
      <c r="I992" s="466"/>
      <c r="J992" s="466"/>
      <c r="K992" s="466"/>
      <c r="R992" s="467"/>
      <c r="S992" s="467"/>
      <c r="T992" s="467"/>
      <c r="U992" s="467"/>
      <c r="V992" s="467"/>
      <c r="W992" s="467"/>
      <c r="AA992" s="467"/>
      <c r="AB992" s="467"/>
      <c r="AC992" s="467"/>
      <c r="AD992" s="467"/>
      <c r="AE992" s="467"/>
      <c r="AF992" s="467"/>
      <c r="AG992" s="467"/>
    </row>
    <row r="993" spans="5:33" ht="15">
      <c r="E993" s="466"/>
      <c r="F993" s="466"/>
      <c r="G993" s="466"/>
      <c r="H993" s="466"/>
      <c r="I993" s="466"/>
      <c r="J993" s="466"/>
      <c r="K993" s="466"/>
      <c r="R993" s="467"/>
      <c r="S993" s="467"/>
      <c r="T993" s="467"/>
      <c r="U993" s="467"/>
      <c r="V993" s="467"/>
      <c r="W993" s="467"/>
      <c r="AA993" s="467"/>
      <c r="AB993" s="467"/>
      <c r="AC993" s="467"/>
      <c r="AD993" s="467"/>
      <c r="AE993" s="467"/>
      <c r="AF993" s="467"/>
      <c r="AG993" s="467"/>
    </row>
    <row r="994" spans="5:33" ht="15">
      <c r="E994" s="466"/>
      <c r="F994" s="466"/>
      <c r="G994" s="466"/>
      <c r="H994" s="466"/>
      <c r="I994" s="466"/>
      <c r="J994" s="466"/>
      <c r="K994" s="466"/>
      <c r="R994" s="467"/>
      <c r="S994" s="467"/>
      <c r="T994" s="467"/>
      <c r="U994" s="467"/>
      <c r="V994" s="467"/>
      <c r="W994" s="467"/>
      <c r="AA994" s="467"/>
      <c r="AB994" s="467"/>
      <c r="AC994" s="467"/>
      <c r="AD994" s="467"/>
      <c r="AE994" s="467"/>
      <c r="AF994" s="467"/>
      <c r="AG994" s="467"/>
    </row>
    <row r="995" spans="5:33" ht="15">
      <c r="E995" s="466"/>
      <c r="F995" s="466"/>
      <c r="G995" s="466"/>
      <c r="H995" s="466"/>
      <c r="I995" s="466"/>
      <c r="J995" s="466"/>
      <c r="K995" s="466"/>
      <c r="R995" s="467"/>
      <c r="S995" s="467"/>
      <c r="T995" s="467"/>
      <c r="U995" s="467"/>
      <c r="V995" s="467"/>
      <c r="W995" s="467"/>
      <c r="AA995" s="467"/>
      <c r="AB995" s="467"/>
      <c r="AC995" s="467"/>
      <c r="AD995" s="467"/>
      <c r="AE995" s="467"/>
      <c r="AF995" s="467"/>
      <c r="AG995" s="467"/>
    </row>
    <row r="996" spans="5:33" ht="15">
      <c r="E996" s="466"/>
      <c r="F996" s="466"/>
      <c r="G996" s="466"/>
      <c r="H996" s="466"/>
      <c r="I996" s="466"/>
      <c r="J996" s="466"/>
      <c r="K996" s="466"/>
      <c r="R996" s="467"/>
      <c r="S996" s="467"/>
      <c r="T996" s="467"/>
      <c r="U996" s="467"/>
      <c r="V996" s="467"/>
      <c r="W996" s="467"/>
      <c r="AA996" s="467"/>
      <c r="AB996" s="467"/>
      <c r="AC996" s="467"/>
      <c r="AD996" s="467"/>
      <c r="AE996" s="467"/>
      <c r="AF996" s="467"/>
      <c r="AG996" s="467"/>
    </row>
    <row r="997" spans="5:33" ht="15">
      <c r="E997" s="466"/>
      <c r="F997" s="466"/>
      <c r="G997" s="466"/>
      <c r="H997" s="466"/>
      <c r="I997" s="466"/>
      <c r="J997" s="466"/>
      <c r="K997" s="466"/>
      <c r="R997" s="467"/>
      <c r="S997" s="467"/>
      <c r="T997" s="467"/>
      <c r="U997" s="467"/>
      <c r="V997" s="467"/>
      <c r="W997" s="467"/>
      <c r="AA997" s="467"/>
      <c r="AB997" s="467"/>
      <c r="AC997" s="467"/>
      <c r="AD997" s="467"/>
      <c r="AE997" s="467"/>
      <c r="AF997" s="467"/>
      <c r="AG997" s="467"/>
    </row>
  </sheetData>
  <mergeCells count="10">
    <mergeCell ref="D77:F77"/>
    <mergeCell ref="E78:F78"/>
    <mergeCell ref="D80:L80"/>
    <mergeCell ref="D87:F87"/>
    <mergeCell ref="D2:L2"/>
    <mergeCell ref="D4:L4"/>
    <mergeCell ref="D18:F18"/>
    <mergeCell ref="D21:L21"/>
    <mergeCell ref="D45:F45"/>
    <mergeCell ref="D48:L48"/>
  </mergeCells>
  <pageMargins left="0.7" right="0.7" top="0.75" bottom="0.75" header="0" footer="0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3:AG65"/>
  <sheetViews>
    <sheetView showGridLines="0" zoomScale="60" zoomScaleNormal="60" workbookViewId="0">
      <pane xSplit="2" ySplit="4" topLeftCell="C5" activePane="bottomRight" state="frozen"/>
      <selection pane="bottomRight" activeCell="C5" sqref="C5:F5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5.21875" customWidth="1"/>
    <col min="3" max="3" width="16.21875" customWidth="1"/>
    <col min="4" max="4" width="14.6640625" customWidth="1"/>
    <col min="5" max="5" width="13" customWidth="1"/>
    <col min="6" max="6" width="10.5546875" customWidth="1"/>
    <col min="7" max="9" width="11.6640625" customWidth="1"/>
    <col min="10" max="10" width="12.66406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10.6640625" style="1" customWidth="1"/>
    <col min="16" max="16" width="11.109375" bestFit="1" customWidth="1"/>
    <col min="18" max="18" width="14.6640625" customWidth="1"/>
    <col min="19" max="20" width="14.77734375" customWidth="1"/>
    <col min="21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5" t="s">
        <v>3</v>
      </c>
      <c r="D4" s="126" t="s">
        <v>5</v>
      </c>
      <c r="E4" s="124" t="s">
        <v>2</v>
      </c>
      <c r="F4" s="125" t="s">
        <v>4</v>
      </c>
      <c r="G4" s="128" t="s">
        <v>7</v>
      </c>
      <c r="H4" s="129" t="s">
        <v>9</v>
      </c>
      <c r="I4" s="127" t="s">
        <v>6</v>
      </c>
      <c r="J4" s="128" t="s">
        <v>8</v>
      </c>
      <c r="K4" s="274" t="s">
        <v>182</v>
      </c>
      <c r="L4" s="128" t="s">
        <v>338</v>
      </c>
      <c r="M4" s="129" t="s">
        <v>339</v>
      </c>
      <c r="N4" s="127" t="s">
        <v>340</v>
      </c>
      <c r="O4" s="128" t="s">
        <v>341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1.25" customHeight="1">
      <c r="B5" s="130">
        <v>44256</v>
      </c>
      <c r="C5" s="135">
        <v>22000</v>
      </c>
      <c r="D5" s="136">
        <v>14500</v>
      </c>
      <c r="E5" s="131">
        <v>8800</v>
      </c>
      <c r="F5" s="135">
        <v>4100</v>
      </c>
      <c r="G5" s="132">
        <v>19067</v>
      </c>
      <c r="H5" s="132">
        <v>10006</v>
      </c>
      <c r="I5" s="137">
        <v>3997</v>
      </c>
      <c r="J5" s="137">
        <v>3873</v>
      </c>
      <c r="K5" s="276">
        <f>SUM(Table252346789101110[[#This Row],[Jones Creek Prod (bopd)]:[Egwa Prod (bopd)]])</f>
        <v>36943</v>
      </c>
      <c r="L5" s="131">
        <f>Table252346789101110[[#This Row],[Jones Creek Target (bopd)]]-Table252346789101110[[#This Row],[Jones Creek Prod (bopd)]]</f>
        <v>2933</v>
      </c>
      <c r="M5" s="132">
        <f>Table252346789101110[[#This Row],[Odidi Target (bopd)]]-Table252346789101110[[#This Row],[Odidi prod (bopd)]]</f>
        <v>4494</v>
      </c>
      <c r="N5" s="132">
        <f>Table252346789101110[[#This Row],[Batan Target (bopd)]]-Table252346789101110[[#This Row],[Batan Daily Prod (bopd)]]</f>
        <v>4803</v>
      </c>
      <c r="O5" s="134">
        <f>Table252346789101110[[#This Row],[Egwa Target (bopd)]]-Table252346789101110[[#This Row],[Egwa Prod (bopd)]]</f>
        <v>227</v>
      </c>
      <c r="R5" s="144"/>
      <c r="S5" s="148" t="s">
        <v>148</v>
      </c>
      <c r="T5" s="152">
        <f>B32</f>
        <v>44283</v>
      </c>
      <c r="U5" s="152">
        <f>T5+1</f>
        <v>44284</v>
      </c>
      <c r="V5" s="152">
        <f>U5+1</f>
        <v>44285</v>
      </c>
      <c r="W5" s="152">
        <f>V5+1</f>
        <v>44286</v>
      </c>
      <c r="X5" s="152">
        <f>W5+1</f>
        <v>44287</v>
      </c>
    </row>
    <row r="6" spans="2:33" ht="21.6">
      <c r="B6" s="130">
        <v>44257</v>
      </c>
      <c r="C6" s="135">
        <v>22000</v>
      </c>
      <c r="D6" s="136">
        <v>14500</v>
      </c>
      <c r="E6" s="131">
        <v>8800</v>
      </c>
      <c r="F6" s="135">
        <v>4100</v>
      </c>
      <c r="G6" s="137">
        <v>21832</v>
      </c>
      <c r="H6" s="137">
        <v>8357</v>
      </c>
      <c r="I6" s="137">
        <v>3949</v>
      </c>
      <c r="J6" s="137">
        <v>3877</v>
      </c>
      <c r="K6" s="276">
        <f>SUM(Table252346789101110[[#This Row],[Jones Creek Prod (bopd)]:[Egwa Prod (bopd)]])</f>
        <v>38015</v>
      </c>
      <c r="L6" s="131">
        <f>Table252346789101110[[#This Row],[Jones Creek Target (bopd)]]-Table252346789101110[[#This Row],[Jones Creek Prod (bopd)]]</f>
        <v>168</v>
      </c>
      <c r="M6" s="132">
        <f>Table252346789101110[[#This Row],[Odidi Target (bopd)]]-Table252346789101110[[#This Row],[Odidi prod (bopd)]]</f>
        <v>6143</v>
      </c>
      <c r="N6" s="132">
        <f>Table252346789101110[[#This Row],[Batan Target (bopd)]]-Table252346789101110[[#This Row],[Batan Daily Prod (bopd)]]</f>
        <v>4851</v>
      </c>
      <c r="O6" s="134">
        <f>Table252346789101110[[#This Row],[Egwa Target (bopd)]]-Table252346789101110[[#This Row],[Egwa Prod (bopd)]]</f>
        <v>223</v>
      </c>
      <c r="R6" s="145" t="s">
        <v>17</v>
      </c>
      <c r="S6" s="272">
        <v>22</v>
      </c>
      <c r="T6" s="268">
        <v>21.663</v>
      </c>
      <c r="U6" s="267">
        <v>21.600999999999999</v>
      </c>
      <c r="V6" s="268">
        <v>20.998000000000001</v>
      </c>
      <c r="W6" s="267">
        <v>21.82</v>
      </c>
      <c r="X6" s="268">
        <v>22.187999999999999</v>
      </c>
      <c r="Z6" s="297"/>
      <c r="AA6" s="452"/>
      <c r="AB6" s="452"/>
      <c r="AC6" s="453"/>
      <c r="AD6" s="452"/>
      <c r="AE6" s="452"/>
      <c r="AF6" s="453"/>
      <c r="AG6" s="452"/>
    </row>
    <row r="7" spans="2:33" ht="21.6">
      <c r="B7" s="130">
        <v>44258</v>
      </c>
      <c r="C7" s="135">
        <v>22000</v>
      </c>
      <c r="D7" s="136">
        <v>14500</v>
      </c>
      <c r="E7" s="131">
        <v>8800</v>
      </c>
      <c r="F7" s="135">
        <v>4100</v>
      </c>
      <c r="G7" s="137">
        <v>21324</v>
      </c>
      <c r="H7" s="137">
        <v>8626</v>
      </c>
      <c r="I7" s="137">
        <v>3973.9</v>
      </c>
      <c r="J7" s="137">
        <v>3890.77</v>
      </c>
      <c r="K7" s="276">
        <f>SUM(Table252346789101110[[#This Row],[Jones Creek Prod (bopd)]:[Egwa Prod (bopd)]])</f>
        <v>37814.67</v>
      </c>
      <c r="L7" s="131">
        <f>Table252346789101110[[#This Row],[Jones Creek Target (bopd)]]-Table252346789101110[[#This Row],[Jones Creek Prod (bopd)]]</f>
        <v>676</v>
      </c>
      <c r="M7" s="132">
        <f>Table252346789101110[[#This Row],[Odidi Target (bopd)]]-Table252346789101110[[#This Row],[Odidi prod (bopd)]]</f>
        <v>5874</v>
      </c>
      <c r="N7" s="132">
        <f>Table252346789101110[[#This Row],[Batan Target (bopd)]]-Table252346789101110[[#This Row],[Batan Daily Prod (bopd)]]</f>
        <v>4826.1000000000004</v>
      </c>
      <c r="O7" s="134">
        <f>Table252346789101110[[#This Row],[Egwa Target (bopd)]]-Table252346789101110[[#This Row],[Egwa Prod (bopd)]]</f>
        <v>209.23000000000002</v>
      </c>
      <c r="R7" s="145" t="s">
        <v>19</v>
      </c>
      <c r="S7" s="272">
        <v>15.5</v>
      </c>
      <c r="T7" s="268">
        <v>12.888</v>
      </c>
      <c r="U7" s="267">
        <v>13.172000000000001</v>
      </c>
      <c r="V7" s="268">
        <v>13.436</v>
      </c>
      <c r="W7" s="267">
        <v>13.18</v>
      </c>
      <c r="X7" s="268">
        <v>13.88</v>
      </c>
      <c r="Z7" s="297"/>
      <c r="AA7" s="454"/>
      <c r="AB7" s="454"/>
      <c r="AC7" s="454"/>
      <c r="AD7" s="454"/>
      <c r="AE7" s="454"/>
      <c r="AF7" s="454"/>
      <c r="AG7" s="454"/>
    </row>
    <row r="8" spans="2:33" ht="21.6">
      <c r="B8" s="130">
        <v>44259</v>
      </c>
      <c r="C8" s="135">
        <v>22000</v>
      </c>
      <c r="D8" s="136">
        <v>14500</v>
      </c>
      <c r="E8" s="131">
        <v>8800</v>
      </c>
      <c r="F8" s="135">
        <v>4100</v>
      </c>
      <c r="G8" s="137">
        <v>20751</v>
      </c>
      <c r="H8" s="137">
        <v>8733</v>
      </c>
      <c r="I8" s="137">
        <v>3947</v>
      </c>
      <c r="J8" s="137">
        <v>3892</v>
      </c>
      <c r="K8" s="276">
        <f>SUM(Table252346789101110[[#This Row],[Jones Creek Prod (bopd)]:[Egwa Prod (bopd)]])</f>
        <v>37323</v>
      </c>
      <c r="L8" s="131">
        <f>Table252346789101110[[#This Row],[Jones Creek Target (bopd)]]-Table252346789101110[[#This Row],[Jones Creek Prod (bopd)]]</f>
        <v>1249</v>
      </c>
      <c r="M8" s="132">
        <f>Table252346789101110[[#This Row],[Odidi Target (bopd)]]-Table252346789101110[[#This Row],[Odidi prod (bopd)]]</f>
        <v>5767</v>
      </c>
      <c r="N8" s="132">
        <f>Table252346789101110[[#This Row],[Batan Target (bopd)]]-Table252346789101110[[#This Row],[Batan Daily Prod (bopd)]]</f>
        <v>4853</v>
      </c>
      <c r="O8" s="134">
        <f>Table252346789101110[[#This Row],[Egwa Target (bopd)]]-Table252346789101110[[#This Row],[Egwa Prod (bopd)]]</f>
        <v>208</v>
      </c>
      <c r="R8" s="145" t="s">
        <v>16</v>
      </c>
      <c r="S8" s="272">
        <v>8.8000000000000007</v>
      </c>
      <c r="T8" s="268">
        <v>4.9240000000000004</v>
      </c>
      <c r="U8" s="269">
        <v>4.4080000000000004</v>
      </c>
      <c r="V8" s="268">
        <v>4.843</v>
      </c>
      <c r="W8" s="269">
        <v>4.843</v>
      </c>
      <c r="X8" s="268">
        <v>4.843</v>
      </c>
      <c r="Z8" s="298"/>
      <c r="AA8" s="452"/>
      <c r="AB8" s="452"/>
      <c r="AC8" s="452"/>
      <c r="AD8" s="452"/>
      <c r="AE8" s="452"/>
      <c r="AF8" s="452"/>
      <c r="AG8" s="452"/>
    </row>
    <row r="9" spans="2:33" ht="21.6">
      <c r="B9" s="130">
        <v>44260</v>
      </c>
      <c r="C9" s="135">
        <v>22000</v>
      </c>
      <c r="D9" s="136">
        <v>14500</v>
      </c>
      <c r="E9" s="131">
        <v>8800</v>
      </c>
      <c r="F9" s="135">
        <v>4100</v>
      </c>
      <c r="G9" s="137">
        <v>21966</v>
      </c>
      <c r="H9" s="137">
        <v>9509</v>
      </c>
      <c r="I9" s="137">
        <v>3953</v>
      </c>
      <c r="J9" s="137">
        <v>3914.9</v>
      </c>
      <c r="K9" s="276">
        <f>SUM(Table252346789101110[[#This Row],[Jones Creek Prod (bopd)]:[Egwa Prod (bopd)]])</f>
        <v>39342.9</v>
      </c>
      <c r="L9" s="131">
        <f>Table252346789101110[[#This Row],[Jones Creek Target (bopd)]]-Table252346789101110[[#This Row],[Jones Creek Prod (bopd)]]</f>
        <v>34</v>
      </c>
      <c r="M9" s="132">
        <f>Table252346789101110[[#This Row],[Odidi Target (bopd)]]-Table252346789101110[[#This Row],[Odidi prod (bopd)]]</f>
        <v>4991</v>
      </c>
      <c r="N9" s="132">
        <f>Table252346789101110[[#This Row],[Batan Target (bopd)]]-Table252346789101110[[#This Row],[Batan Daily Prod (bopd)]]</f>
        <v>4847</v>
      </c>
      <c r="O9" s="134">
        <f>Table252346789101110[[#This Row],[Egwa Target (bopd)]]-Table252346789101110[[#This Row],[Egwa Prod (bopd)]]</f>
        <v>185.09999999999991</v>
      </c>
      <c r="R9" s="145" t="s">
        <v>18</v>
      </c>
      <c r="S9" s="273">
        <v>4.0999999999999996</v>
      </c>
      <c r="T9" s="270">
        <v>4.3019999999999996</v>
      </c>
      <c r="U9" s="269">
        <v>4.3099999999999996</v>
      </c>
      <c r="V9" s="270">
        <v>0.36899999999999999</v>
      </c>
      <c r="W9" s="269">
        <v>1.9510000000000001</v>
      </c>
      <c r="X9" s="270">
        <v>4.298</v>
      </c>
      <c r="AA9" s="454"/>
      <c r="AB9" s="454"/>
      <c r="AC9" s="454"/>
      <c r="AD9" s="454"/>
      <c r="AE9" s="454"/>
      <c r="AF9" s="454"/>
      <c r="AG9" s="454"/>
    </row>
    <row r="10" spans="2:33" ht="21.6">
      <c r="B10" s="130">
        <v>44261</v>
      </c>
      <c r="C10" s="135">
        <v>22000</v>
      </c>
      <c r="D10" s="136">
        <v>14500</v>
      </c>
      <c r="E10" s="131">
        <v>8800</v>
      </c>
      <c r="F10" s="135">
        <v>4100</v>
      </c>
      <c r="G10" s="137">
        <v>21850</v>
      </c>
      <c r="H10" s="137">
        <v>8464</v>
      </c>
      <c r="I10" s="137">
        <v>3955</v>
      </c>
      <c r="J10" s="132">
        <v>3914</v>
      </c>
      <c r="K10" s="276">
        <f>SUM(Table252346789101110[[#This Row],[Jones Creek Prod (bopd)]:[Egwa Prod (bopd)]])</f>
        <v>38183</v>
      </c>
      <c r="L10" s="131">
        <f>Table252346789101110[[#This Row],[Jones Creek Target (bopd)]]-Table252346789101110[[#This Row],[Jones Creek Prod (bopd)]]</f>
        <v>150</v>
      </c>
      <c r="M10" s="132">
        <f>Table252346789101110[[#This Row],[Odidi Target (bopd)]]-Table252346789101110[[#This Row],[Odidi prod (bopd)]]</f>
        <v>6036</v>
      </c>
      <c r="N10" s="132">
        <f>Table252346789101110[[#This Row],[Batan Target (bopd)]]-Table252346789101110[[#This Row],[Batan Daily Prod (bopd)]]</f>
        <v>4845</v>
      </c>
      <c r="O10" s="134">
        <f>Table252346789101110[[#This Row],[Egwa Target (bopd)]]-Table252346789101110[[#This Row],[Egwa Prod (bopd)]]</f>
        <v>186</v>
      </c>
      <c r="AA10" s="453"/>
      <c r="AB10" s="453"/>
      <c r="AC10" s="453"/>
      <c r="AD10" s="453"/>
      <c r="AE10" s="452"/>
      <c r="AF10" s="453"/>
      <c r="AG10" s="452"/>
    </row>
    <row r="11" spans="2:33" ht="21.6">
      <c r="B11" s="130">
        <v>44262</v>
      </c>
      <c r="C11" s="135">
        <v>22000</v>
      </c>
      <c r="D11" s="136">
        <v>14500</v>
      </c>
      <c r="E11" s="131">
        <v>8800</v>
      </c>
      <c r="F11" s="135">
        <v>4100</v>
      </c>
      <c r="G11" s="137">
        <v>21751</v>
      </c>
      <c r="H11" s="137">
        <v>10066</v>
      </c>
      <c r="I11" s="137">
        <v>3950</v>
      </c>
      <c r="J11" s="137">
        <v>3898</v>
      </c>
      <c r="K11" s="276">
        <f>SUM(Table252346789101110[[#This Row],[Jones Creek Prod (bopd)]:[Egwa Prod (bopd)]])</f>
        <v>39665</v>
      </c>
      <c r="L11" s="131">
        <f>Table252346789101110[[#This Row],[Jones Creek Target (bopd)]]-Table252346789101110[[#This Row],[Jones Creek Prod (bopd)]]</f>
        <v>249</v>
      </c>
      <c r="M11" s="132">
        <f>Table252346789101110[[#This Row],[Odidi Target (bopd)]]-Table252346789101110[[#This Row],[Odidi prod (bopd)]]</f>
        <v>4434</v>
      </c>
      <c r="N11" s="132">
        <f>Table252346789101110[[#This Row],[Batan Target (bopd)]]-Table252346789101110[[#This Row],[Batan Daily Prod (bopd)]]</f>
        <v>4850</v>
      </c>
      <c r="O11" s="134">
        <f>Table252346789101110[[#This Row],[Egwa Target (bopd)]]-Table252346789101110[[#This Row],[Egwa Prod (bopd)]]</f>
        <v>202</v>
      </c>
    </row>
    <row r="12" spans="2:33" ht="21.6">
      <c r="B12" s="130">
        <v>44263</v>
      </c>
      <c r="C12" s="135">
        <v>22000</v>
      </c>
      <c r="D12" s="136">
        <v>14500</v>
      </c>
      <c r="E12" s="131">
        <v>8800</v>
      </c>
      <c r="F12" s="135">
        <v>4100</v>
      </c>
      <c r="G12" s="132">
        <v>21630</v>
      </c>
      <c r="H12" s="137">
        <v>9346</v>
      </c>
      <c r="I12" s="137">
        <v>853</v>
      </c>
      <c r="J12" s="132">
        <v>3980</v>
      </c>
      <c r="K12" s="276">
        <f>SUM(Table252346789101110[[#This Row],[Jones Creek Prod (bopd)]:[Egwa Prod (bopd)]])</f>
        <v>35809</v>
      </c>
      <c r="L12" s="131">
        <f>Table252346789101110[[#This Row],[Jones Creek Target (bopd)]]-Table252346789101110[[#This Row],[Jones Creek Prod (bopd)]]</f>
        <v>370</v>
      </c>
      <c r="M12" s="132">
        <f>Table252346789101110[[#This Row],[Odidi Target (bopd)]]-Table252346789101110[[#This Row],[Odidi prod (bopd)]]</f>
        <v>5154</v>
      </c>
      <c r="N12" s="132">
        <f>Table252346789101110[[#This Row],[Batan Target (bopd)]]-Table252346789101110[[#This Row],[Batan Daily Prod (bopd)]]</f>
        <v>7947</v>
      </c>
      <c r="O12" s="134">
        <f>Table252346789101110[[#This Row],[Egwa Target (bopd)]]-Table252346789101110[[#This Row],[Egwa Prod (bopd)]]</f>
        <v>120</v>
      </c>
      <c r="P12" s="42"/>
      <c r="Q12" s="42"/>
    </row>
    <row r="13" spans="2:33" ht="21.6">
      <c r="B13" s="130">
        <v>44264</v>
      </c>
      <c r="C13" s="135">
        <v>22000</v>
      </c>
      <c r="D13" s="136">
        <v>14500</v>
      </c>
      <c r="E13" s="131">
        <v>8800</v>
      </c>
      <c r="F13" s="135">
        <v>4100</v>
      </c>
      <c r="G13" s="132">
        <v>21049</v>
      </c>
      <c r="H13" s="137">
        <v>457</v>
      </c>
      <c r="I13" s="132">
        <v>0</v>
      </c>
      <c r="J13" s="132">
        <v>4007</v>
      </c>
      <c r="K13" s="276">
        <f>SUM(Table252346789101110[[#This Row],[Jones Creek Prod (bopd)]:[Egwa Prod (bopd)]])</f>
        <v>25513</v>
      </c>
      <c r="L13" s="131">
        <f>Table252346789101110[[#This Row],[Jones Creek Target (bopd)]]-Table252346789101110[[#This Row],[Jones Creek Prod (bopd)]]</f>
        <v>951</v>
      </c>
      <c r="M13" s="132">
        <f>Table252346789101110[[#This Row],[Odidi Target (bopd)]]-Table252346789101110[[#This Row],[Odidi prod (bopd)]]</f>
        <v>14043</v>
      </c>
      <c r="N13" s="132">
        <f>Table252346789101110[[#This Row],[Batan Target (bopd)]]-Table252346789101110[[#This Row],[Batan Daily Prod (bopd)]]</f>
        <v>8800</v>
      </c>
      <c r="O13" s="134">
        <f>Table252346789101110[[#This Row],[Egwa Target (bopd)]]-Table252346789101110[[#This Row],[Egwa Prod (bopd)]]</f>
        <v>93</v>
      </c>
    </row>
    <row r="14" spans="2:33" ht="21.6">
      <c r="B14" s="130">
        <v>44265</v>
      </c>
      <c r="C14" s="135">
        <v>22000</v>
      </c>
      <c r="D14" s="136">
        <v>14500</v>
      </c>
      <c r="E14" s="131">
        <v>8800</v>
      </c>
      <c r="F14" s="135">
        <v>4100</v>
      </c>
      <c r="G14" s="132">
        <v>21813</v>
      </c>
      <c r="H14" s="132">
        <v>0</v>
      </c>
      <c r="I14" s="132">
        <v>1177</v>
      </c>
      <c r="J14" s="132">
        <v>4005</v>
      </c>
      <c r="K14" s="276">
        <f>SUM(Table252346789101110[[#This Row],[Jones Creek Prod (bopd)]:[Egwa Prod (bopd)]])</f>
        <v>26995</v>
      </c>
      <c r="L14" s="131">
        <f>Table252346789101110[[#This Row],[Jones Creek Target (bopd)]]-Table252346789101110[[#This Row],[Jones Creek Prod (bopd)]]</f>
        <v>187</v>
      </c>
      <c r="M14" s="132">
        <f>Table252346789101110[[#This Row],[Odidi Target (bopd)]]-Table252346789101110[[#This Row],[Odidi prod (bopd)]]</f>
        <v>14500</v>
      </c>
      <c r="N14" s="132">
        <f>Table252346789101110[[#This Row],[Batan Target (bopd)]]-Table252346789101110[[#This Row],[Batan Daily Prod (bopd)]]</f>
        <v>7623</v>
      </c>
      <c r="O14" s="134">
        <f>Table252346789101110[[#This Row],[Egwa Target (bopd)]]-Table252346789101110[[#This Row],[Egwa Prod (bopd)]]</f>
        <v>95</v>
      </c>
    </row>
    <row r="15" spans="2:33" ht="21.6">
      <c r="B15" s="130">
        <v>44266</v>
      </c>
      <c r="C15" s="135">
        <v>22000</v>
      </c>
      <c r="D15" s="136">
        <v>14500</v>
      </c>
      <c r="E15" s="131">
        <v>8800</v>
      </c>
      <c r="F15" s="135">
        <v>4100</v>
      </c>
      <c r="G15" s="137">
        <v>21519</v>
      </c>
      <c r="H15" s="132">
        <v>0</v>
      </c>
      <c r="I15" s="137">
        <v>3750</v>
      </c>
      <c r="J15" s="132">
        <v>4023</v>
      </c>
      <c r="K15" s="276">
        <f>SUM(Table252346789101110[[#This Row],[Jones Creek Prod (bopd)]:[Egwa Prod (bopd)]])</f>
        <v>29292</v>
      </c>
      <c r="L15" s="131">
        <f>Table252346789101110[[#This Row],[Jones Creek Target (bopd)]]-Table252346789101110[[#This Row],[Jones Creek Prod (bopd)]]</f>
        <v>481</v>
      </c>
      <c r="M15" s="132">
        <f>Table252346789101110[[#This Row],[Odidi Target (bopd)]]-Table252346789101110[[#This Row],[Odidi prod (bopd)]]</f>
        <v>14500</v>
      </c>
      <c r="N15" s="132">
        <f>Table252346789101110[[#This Row],[Batan Target (bopd)]]-Table252346789101110[[#This Row],[Batan Daily Prod (bopd)]]</f>
        <v>5050</v>
      </c>
      <c r="O15" s="134">
        <f>Table252346789101110[[#This Row],[Egwa Target (bopd)]]-Table252346789101110[[#This Row],[Egwa Prod (bopd)]]</f>
        <v>77</v>
      </c>
    </row>
    <row r="16" spans="2:33" ht="21.6">
      <c r="B16" s="130">
        <v>44267</v>
      </c>
      <c r="C16" s="135">
        <v>22000</v>
      </c>
      <c r="D16" s="136">
        <v>14500</v>
      </c>
      <c r="E16" s="131">
        <v>8800</v>
      </c>
      <c r="F16" s="135">
        <v>4100</v>
      </c>
      <c r="G16" s="137">
        <v>21706</v>
      </c>
      <c r="H16" s="137">
        <v>1569</v>
      </c>
      <c r="I16" s="577">
        <v>3916</v>
      </c>
      <c r="J16" s="132">
        <v>4039.7</v>
      </c>
      <c r="K16" s="276">
        <f>SUM(Table252346789101110[[#This Row],[Jones Creek Prod (bopd)]:[Egwa Prod (bopd)]])</f>
        <v>31230.7</v>
      </c>
      <c r="L16" s="131">
        <f>Table252346789101110[[#This Row],[Jones Creek Target (bopd)]]-Table252346789101110[[#This Row],[Jones Creek Prod (bopd)]]</f>
        <v>294</v>
      </c>
      <c r="M16" s="132">
        <f>Table252346789101110[[#This Row],[Odidi Target (bopd)]]-Table252346789101110[[#This Row],[Odidi prod (bopd)]]</f>
        <v>12931</v>
      </c>
      <c r="N16" s="132">
        <f>Table252346789101110[[#This Row],[Batan Target (bopd)]]-Table252346789101110[[#This Row],[Batan Daily Prod (bopd)]]</f>
        <v>4884</v>
      </c>
      <c r="O16" s="134">
        <f>Table252346789101110[[#This Row],[Egwa Target (bopd)]]-Table252346789101110[[#This Row],[Egwa Prod (bopd)]]</f>
        <v>60.300000000000182</v>
      </c>
    </row>
    <row r="17" spans="2:15" ht="21.6">
      <c r="B17" s="130">
        <v>44268</v>
      </c>
      <c r="C17" s="135">
        <v>22000</v>
      </c>
      <c r="D17" s="136">
        <v>14500</v>
      </c>
      <c r="E17" s="131">
        <v>8800</v>
      </c>
      <c r="F17" s="135">
        <v>4100</v>
      </c>
      <c r="G17" s="137">
        <v>22071</v>
      </c>
      <c r="H17" s="137">
        <v>1942</v>
      </c>
      <c r="I17" s="577">
        <v>3951</v>
      </c>
      <c r="J17" s="132">
        <v>4041</v>
      </c>
      <c r="K17" s="276">
        <f>SUM(Table252346789101110[[#This Row],[Jones Creek Prod (bopd)]:[Egwa Prod (bopd)]])</f>
        <v>32005</v>
      </c>
      <c r="L17" s="131">
        <f>Table252346789101110[[#This Row],[Jones Creek Target (bopd)]]-Table252346789101110[[#This Row],[Jones Creek Prod (bopd)]]</f>
        <v>-71</v>
      </c>
      <c r="M17" s="132">
        <f>Table252346789101110[[#This Row],[Odidi Target (bopd)]]-Table252346789101110[[#This Row],[Odidi prod (bopd)]]</f>
        <v>12558</v>
      </c>
      <c r="N17" s="132">
        <f>Table252346789101110[[#This Row],[Batan Target (bopd)]]-Table252346789101110[[#This Row],[Batan Daily Prod (bopd)]]</f>
        <v>4849</v>
      </c>
      <c r="O17" s="134">
        <f>Table252346789101110[[#This Row],[Egwa Target (bopd)]]-Table252346789101110[[#This Row],[Egwa Prod (bopd)]]</f>
        <v>59</v>
      </c>
    </row>
    <row r="18" spans="2:15" ht="21.6">
      <c r="B18" s="130">
        <v>44269</v>
      </c>
      <c r="C18" s="135">
        <v>22000</v>
      </c>
      <c r="D18" s="136">
        <v>14500</v>
      </c>
      <c r="E18" s="131">
        <v>8800</v>
      </c>
      <c r="F18" s="135">
        <v>4100</v>
      </c>
      <c r="G18" s="137">
        <v>21568</v>
      </c>
      <c r="H18" s="137">
        <v>8468</v>
      </c>
      <c r="I18" s="578">
        <v>5267</v>
      </c>
      <c r="J18" s="132">
        <v>4066.4</v>
      </c>
      <c r="K18" s="276">
        <f>SUM(Table252346789101110[[#This Row],[Jones Creek Prod (bopd)]:[Egwa Prod (bopd)]])</f>
        <v>39369.4</v>
      </c>
      <c r="L18" s="131">
        <f>Table252346789101110[[#This Row],[Jones Creek Target (bopd)]]-Table252346789101110[[#This Row],[Jones Creek Prod (bopd)]]</f>
        <v>432</v>
      </c>
      <c r="M18" s="132">
        <f>Table252346789101110[[#This Row],[Odidi Target (bopd)]]-Table252346789101110[[#This Row],[Odidi prod (bopd)]]</f>
        <v>6032</v>
      </c>
      <c r="N18" s="132">
        <f>Table252346789101110[[#This Row],[Batan Target (bopd)]]-Table252346789101110[[#This Row],[Batan Daily Prod (bopd)]]</f>
        <v>3533</v>
      </c>
      <c r="O18" s="134">
        <f>Table252346789101110[[#This Row],[Egwa Target (bopd)]]-Table252346789101110[[#This Row],[Egwa Prod (bopd)]]</f>
        <v>33.599999999999909</v>
      </c>
    </row>
    <row r="19" spans="2:15" ht="21.6">
      <c r="B19" s="130">
        <v>44270</v>
      </c>
      <c r="C19" s="135">
        <v>22000</v>
      </c>
      <c r="D19" s="136">
        <v>14500</v>
      </c>
      <c r="E19" s="131">
        <v>8800</v>
      </c>
      <c r="F19" s="135">
        <v>4100</v>
      </c>
      <c r="G19" s="137">
        <v>22024</v>
      </c>
      <c r="H19" s="137">
        <v>7839</v>
      </c>
      <c r="I19" s="577">
        <v>5391</v>
      </c>
      <c r="J19" s="132">
        <v>2950.85</v>
      </c>
      <c r="K19" s="276">
        <f>SUM(Table252346789101110[[#This Row],[Jones Creek Prod (bopd)]:[Egwa Prod (bopd)]])</f>
        <v>38204.85</v>
      </c>
      <c r="L19" s="131">
        <f>Table252346789101110[[#This Row],[Jones Creek Target (bopd)]]-Table252346789101110[[#This Row],[Jones Creek Prod (bopd)]]</f>
        <v>-24</v>
      </c>
      <c r="M19" s="132">
        <f>Table252346789101110[[#This Row],[Odidi Target (bopd)]]-Table252346789101110[[#This Row],[Odidi prod (bopd)]]</f>
        <v>6661</v>
      </c>
      <c r="N19" s="132">
        <f>Table252346789101110[[#This Row],[Batan Target (bopd)]]-Table252346789101110[[#This Row],[Batan Daily Prod (bopd)]]</f>
        <v>3409</v>
      </c>
      <c r="O19" s="134">
        <f>Table252346789101110[[#This Row],[Egwa Target (bopd)]]-Table252346789101110[[#This Row],[Egwa Prod (bopd)]]</f>
        <v>1149.1500000000001</v>
      </c>
    </row>
    <row r="20" spans="2:15" ht="21.6">
      <c r="B20" s="130">
        <v>44271</v>
      </c>
      <c r="C20" s="135">
        <v>22000</v>
      </c>
      <c r="D20" s="136">
        <v>14500</v>
      </c>
      <c r="E20" s="131">
        <v>8800</v>
      </c>
      <c r="F20" s="135">
        <v>4100</v>
      </c>
      <c r="G20" s="137">
        <v>21495</v>
      </c>
      <c r="H20" s="137">
        <v>8560</v>
      </c>
      <c r="I20" s="577">
        <v>4700</v>
      </c>
      <c r="J20" s="137">
        <v>2360.5</v>
      </c>
      <c r="K20" s="276">
        <f>SUM(Table252346789101110[[#This Row],[Jones Creek Prod (bopd)]:[Egwa Prod (bopd)]])</f>
        <v>37115.5</v>
      </c>
      <c r="L20" s="131">
        <f>Table252346789101110[[#This Row],[Jones Creek Target (bopd)]]-Table252346789101110[[#This Row],[Jones Creek Prod (bopd)]]</f>
        <v>505</v>
      </c>
      <c r="M20" s="132">
        <f>Table252346789101110[[#This Row],[Odidi Target (bopd)]]-Table252346789101110[[#This Row],[Odidi prod (bopd)]]</f>
        <v>5940</v>
      </c>
      <c r="N20" s="132">
        <f>Table252346789101110[[#This Row],[Batan Target (bopd)]]-Table252346789101110[[#This Row],[Batan Daily Prod (bopd)]]</f>
        <v>4100</v>
      </c>
      <c r="O20" s="134">
        <f>Table252346789101110[[#This Row],[Egwa Target (bopd)]]-Table252346789101110[[#This Row],[Egwa Prod (bopd)]]</f>
        <v>1739.5</v>
      </c>
    </row>
    <row r="21" spans="2:15" ht="21.6">
      <c r="B21" s="130">
        <v>44272</v>
      </c>
      <c r="C21" s="135">
        <v>22000</v>
      </c>
      <c r="D21" s="136">
        <v>14500</v>
      </c>
      <c r="E21" s="131">
        <v>8800</v>
      </c>
      <c r="F21" s="135">
        <v>4100</v>
      </c>
      <c r="G21" s="137">
        <v>20733</v>
      </c>
      <c r="H21" s="137">
        <v>9432</v>
      </c>
      <c r="I21" s="577">
        <v>5230</v>
      </c>
      <c r="J21" s="132">
        <v>4090</v>
      </c>
      <c r="K21" s="276">
        <f>SUM(Table252346789101110[[#This Row],[Jones Creek Prod (bopd)]:[Egwa Prod (bopd)]])</f>
        <v>39485</v>
      </c>
      <c r="L21" s="131">
        <f>Table252346789101110[[#This Row],[Jones Creek Target (bopd)]]-Table252346789101110[[#This Row],[Jones Creek Prod (bopd)]]</f>
        <v>1267</v>
      </c>
      <c r="M21" s="132">
        <f>Table252346789101110[[#This Row],[Odidi Target (bopd)]]-Table252346789101110[[#This Row],[Odidi prod (bopd)]]</f>
        <v>5068</v>
      </c>
      <c r="N21" s="132">
        <f>Table252346789101110[[#This Row],[Batan Target (bopd)]]-Table252346789101110[[#This Row],[Batan Daily Prod (bopd)]]</f>
        <v>3570</v>
      </c>
      <c r="O21" s="134">
        <f>Table252346789101110[[#This Row],[Egwa Target (bopd)]]-Table252346789101110[[#This Row],[Egwa Prod (bopd)]]</f>
        <v>10</v>
      </c>
    </row>
    <row r="22" spans="2:15" ht="21.6">
      <c r="B22" s="130">
        <v>44273</v>
      </c>
      <c r="C22" s="135">
        <v>22000</v>
      </c>
      <c r="D22" s="136">
        <v>14500</v>
      </c>
      <c r="E22" s="131">
        <v>8800</v>
      </c>
      <c r="F22" s="135">
        <v>4100</v>
      </c>
      <c r="G22" s="137">
        <v>21887</v>
      </c>
      <c r="H22" s="137">
        <v>9179</v>
      </c>
      <c r="I22" s="137">
        <v>4401</v>
      </c>
      <c r="J22" s="137">
        <v>2210</v>
      </c>
      <c r="K22" s="276">
        <f>SUM(Table252346789101110[[#This Row],[Jones Creek Prod (bopd)]:[Egwa Prod (bopd)]])</f>
        <v>37677</v>
      </c>
      <c r="L22" s="131">
        <f>Table252346789101110[[#This Row],[Jones Creek Target (bopd)]]-Table252346789101110[[#This Row],[Jones Creek Prod (bopd)]]</f>
        <v>113</v>
      </c>
      <c r="M22" s="132">
        <f>Table252346789101110[[#This Row],[Odidi Target (bopd)]]-Table252346789101110[[#This Row],[Odidi prod (bopd)]]</f>
        <v>5321</v>
      </c>
      <c r="N22" s="132">
        <f>Table252346789101110[[#This Row],[Batan Target (bopd)]]-Table252346789101110[[#This Row],[Batan Daily Prod (bopd)]]</f>
        <v>4399</v>
      </c>
      <c r="O22" s="134">
        <f>Table252346789101110[[#This Row],[Egwa Target (bopd)]]-Table252346789101110[[#This Row],[Egwa Prod (bopd)]]</f>
        <v>1890</v>
      </c>
    </row>
    <row r="23" spans="2:15" ht="21.6">
      <c r="B23" s="130">
        <v>44274</v>
      </c>
      <c r="C23" s="135">
        <v>22000</v>
      </c>
      <c r="D23" s="136">
        <v>14500</v>
      </c>
      <c r="E23" s="131">
        <v>8800</v>
      </c>
      <c r="F23" s="135">
        <v>4100</v>
      </c>
      <c r="G23" s="137">
        <v>21439</v>
      </c>
      <c r="H23" s="137">
        <v>9539</v>
      </c>
      <c r="I23" s="137">
        <v>5017</v>
      </c>
      <c r="J23" s="137">
        <v>2463.5</v>
      </c>
      <c r="K23" s="276">
        <f>SUM(Table252346789101110[[#This Row],[Jones Creek Prod (bopd)]:[Egwa Prod (bopd)]])</f>
        <v>38458.5</v>
      </c>
      <c r="L23" s="131">
        <f>Table252346789101110[[#This Row],[Jones Creek Target (bopd)]]-Table252346789101110[[#This Row],[Jones Creek Prod (bopd)]]</f>
        <v>561</v>
      </c>
      <c r="M23" s="132">
        <f>Table252346789101110[[#This Row],[Odidi Target (bopd)]]-Table252346789101110[[#This Row],[Odidi prod (bopd)]]</f>
        <v>4961</v>
      </c>
      <c r="N23" s="132">
        <f>Table252346789101110[[#This Row],[Batan Target (bopd)]]-Table252346789101110[[#This Row],[Batan Daily Prod (bopd)]]</f>
        <v>3783</v>
      </c>
      <c r="O23" s="134">
        <f>Table252346789101110[[#This Row],[Egwa Target (bopd)]]-Table252346789101110[[#This Row],[Egwa Prod (bopd)]]</f>
        <v>1636.5</v>
      </c>
    </row>
    <row r="24" spans="2:15" ht="21.6">
      <c r="B24" s="130">
        <v>44275</v>
      </c>
      <c r="C24" s="135">
        <v>22000</v>
      </c>
      <c r="D24" s="136">
        <v>14500</v>
      </c>
      <c r="E24" s="131">
        <v>8800</v>
      </c>
      <c r="F24" s="135">
        <v>4100</v>
      </c>
      <c r="G24" s="132">
        <v>21637</v>
      </c>
      <c r="H24" s="132">
        <v>11539</v>
      </c>
      <c r="I24" s="132">
        <v>3811</v>
      </c>
      <c r="J24" s="137">
        <v>2058</v>
      </c>
      <c r="K24" s="276">
        <f>SUM(Table252346789101110[[#This Row],[Jones Creek Prod (bopd)]:[Egwa Prod (bopd)]])</f>
        <v>39045</v>
      </c>
      <c r="L24" s="131">
        <f>Table252346789101110[[#This Row],[Jones Creek Target (bopd)]]-Table252346789101110[[#This Row],[Jones Creek Prod (bopd)]]</f>
        <v>363</v>
      </c>
      <c r="M24" s="132">
        <f>Table252346789101110[[#This Row],[Odidi Target (bopd)]]-Table252346789101110[[#This Row],[Odidi prod (bopd)]]</f>
        <v>2961</v>
      </c>
      <c r="N24" s="132">
        <f>Table252346789101110[[#This Row],[Batan Target (bopd)]]-Table252346789101110[[#This Row],[Batan Daily Prod (bopd)]]</f>
        <v>4989</v>
      </c>
      <c r="O24" s="134">
        <f>Table252346789101110[[#This Row],[Egwa Target (bopd)]]-Table252346789101110[[#This Row],[Egwa Prod (bopd)]]</f>
        <v>2042</v>
      </c>
    </row>
    <row r="25" spans="2:15" ht="21.6">
      <c r="B25" s="130">
        <v>44276</v>
      </c>
      <c r="C25" s="135">
        <v>22000</v>
      </c>
      <c r="D25" s="136">
        <v>14500</v>
      </c>
      <c r="E25" s="131">
        <v>8800</v>
      </c>
      <c r="F25" s="135">
        <v>4100</v>
      </c>
      <c r="G25" s="137">
        <v>21461</v>
      </c>
      <c r="H25" s="137">
        <v>12094</v>
      </c>
      <c r="I25" s="137">
        <v>4415</v>
      </c>
      <c r="J25" s="137">
        <v>4254</v>
      </c>
      <c r="K25" s="276">
        <f>SUM(Table252346789101110[[#This Row],[Jones Creek Prod (bopd)]:[Egwa Prod (bopd)]])</f>
        <v>42224</v>
      </c>
      <c r="L25" s="131">
        <f>Table252346789101110[[#This Row],[Jones Creek Target (bopd)]]-Table252346789101110[[#This Row],[Jones Creek Prod (bopd)]]</f>
        <v>539</v>
      </c>
      <c r="M25" s="132">
        <f>Table252346789101110[[#This Row],[Odidi Target (bopd)]]-Table252346789101110[[#This Row],[Odidi prod (bopd)]]</f>
        <v>2406</v>
      </c>
      <c r="N25" s="132">
        <f>Table252346789101110[[#This Row],[Batan Target (bopd)]]-Table252346789101110[[#This Row],[Batan Daily Prod (bopd)]]</f>
        <v>4385</v>
      </c>
      <c r="O25" s="134">
        <f>Table252346789101110[[#This Row],[Egwa Target (bopd)]]-Table252346789101110[[#This Row],[Egwa Prod (bopd)]]</f>
        <v>-154</v>
      </c>
    </row>
    <row r="26" spans="2:15" ht="21.6">
      <c r="B26" s="130">
        <v>44277</v>
      </c>
      <c r="C26" s="135">
        <v>22000</v>
      </c>
      <c r="D26" s="136">
        <v>14500</v>
      </c>
      <c r="E26" s="131">
        <v>8800</v>
      </c>
      <c r="F26" s="135">
        <v>4100</v>
      </c>
      <c r="G26" s="137">
        <v>21261</v>
      </c>
      <c r="H26" s="137">
        <v>12335</v>
      </c>
      <c r="I26" s="137">
        <v>4799</v>
      </c>
      <c r="J26" s="132">
        <v>4251</v>
      </c>
      <c r="K26" s="276">
        <f>SUM(Table252346789101110[[#This Row],[Jones Creek Prod (bopd)]:[Egwa Prod (bopd)]])</f>
        <v>42646</v>
      </c>
      <c r="L26" s="131">
        <f>Table252346789101110[[#This Row],[Jones Creek Target (bopd)]]-Table252346789101110[[#This Row],[Jones Creek Prod (bopd)]]</f>
        <v>739</v>
      </c>
      <c r="M26" s="132">
        <f>Table252346789101110[[#This Row],[Odidi Target (bopd)]]-Table252346789101110[[#This Row],[Odidi prod (bopd)]]</f>
        <v>2165</v>
      </c>
      <c r="N26" s="132">
        <f>Table252346789101110[[#This Row],[Batan Target (bopd)]]-Table252346789101110[[#This Row],[Batan Daily Prod (bopd)]]</f>
        <v>4001</v>
      </c>
      <c r="O26" s="134">
        <f>Table252346789101110[[#This Row],[Egwa Target (bopd)]]-Table252346789101110[[#This Row],[Egwa Prod (bopd)]]</f>
        <v>-151</v>
      </c>
    </row>
    <row r="27" spans="2:15" ht="21.6">
      <c r="B27" s="130">
        <v>44278</v>
      </c>
      <c r="C27" s="135">
        <v>22000</v>
      </c>
      <c r="D27" s="136">
        <v>14500</v>
      </c>
      <c r="E27" s="131">
        <v>8800</v>
      </c>
      <c r="F27" s="135">
        <v>4100</v>
      </c>
      <c r="G27" s="137">
        <v>21756</v>
      </c>
      <c r="H27" s="137">
        <v>12977</v>
      </c>
      <c r="I27" s="137">
        <v>4974</v>
      </c>
      <c r="J27" s="132">
        <v>4241</v>
      </c>
      <c r="K27" s="276">
        <f>SUM(Table252346789101110[[#This Row],[Jones Creek Prod (bopd)]:[Egwa Prod (bopd)]])</f>
        <v>43948</v>
      </c>
      <c r="L27" s="131">
        <f>Table252346789101110[[#This Row],[Jones Creek Target (bopd)]]-Table252346789101110[[#This Row],[Jones Creek Prod (bopd)]]</f>
        <v>244</v>
      </c>
      <c r="M27" s="132">
        <f>Table252346789101110[[#This Row],[Odidi Target (bopd)]]-Table252346789101110[[#This Row],[Odidi prod (bopd)]]</f>
        <v>1523</v>
      </c>
      <c r="N27" s="132">
        <f>Table252346789101110[[#This Row],[Batan Target (bopd)]]-Table252346789101110[[#This Row],[Batan Daily Prod (bopd)]]</f>
        <v>3826</v>
      </c>
      <c r="O27" s="134">
        <f>Table252346789101110[[#This Row],[Egwa Target (bopd)]]-Table252346789101110[[#This Row],[Egwa Prod (bopd)]]</f>
        <v>-141</v>
      </c>
    </row>
    <row r="28" spans="2:15" ht="21.6">
      <c r="B28" s="130">
        <v>44279</v>
      </c>
      <c r="C28" s="135">
        <v>22000</v>
      </c>
      <c r="D28" s="136">
        <v>14500</v>
      </c>
      <c r="E28" s="131">
        <v>8800</v>
      </c>
      <c r="F28" s="135">
        <v>4100</v>
      </c>
      <c r="G28" s="137">
        <v>21571</v>
      </c>
      <c r="H28" s="137">
        <v>13124</v>
      </c>
      <c r="I28" s="137">
        <v>4940</v>
      </c>
      <c r="J28" s="132">
        <v>4268.5</v>
      </c>
      <c r="K28" s="276">
        <f>SUM(Table252346789101110[[#This Row],[Jones Creek Prod (bopd)]:[Egwa Prod (bopd)]])</f>
        <v>43903.5</v>
      </c>
      <c r="L28" s="131">
        <f>Table252346789101110[[#This Row],[Jones Creek Target (bopd)]]-Table252346789101110[[#This Row],[Jones Creek Prod (bopd)]]</f>
        <v>429</v>
      </c>
      <c r="M28" s="132">
        <f>Table252346789101110[[#This Row],[Odidi Target (bopd)]]-Table252346789101110[[#This Row],[Odidi prod (bopd)]]</f>
        <v>1376</v>
      </c>
      <c r="N28" s="132">
        <f>Table252346789101110[[#This Row],[Batan Target (bopd)]]-Table252346789101110[[#This Row],[Batan Daily Prod (bopd)]]</f>
        <v>3860</v>
      </c>
      <c r="O28" s="134">
        <f>Table252346789101110[[#This Row],[Egwa Target (bopd)]]-Table252346789101110[[#This Row],[Egwa Prod (bopd)]]</f>
        <v>-168.5</v>
      </c>
    </row>
    <row r="29" spans="2:15" ht="21.6">
      <c r="B29" s="130">
        <v>44280</v>
      </c>
      <c r="C29" s="135">
        <v>22000</v>
      </c>
      <c r="D29" s="136">
        <v>14500</v>
      </c>
      <c r="E29" s="131">
        <v>8800</v>
      </c>
      <c r="F29" s="135">
        <v>4100</v>
      </c>
      <c r="G29" s="137">
        <v>21337</v>
      </c>
      <c r="H29" s="137">
        <v>13414</v>
      </c>
      <c r="I29" s="137">
        <v>3665</v>
      </c>
      <c r="J29" s="132">
        <v>2299</v>
      </c>
      <c r="K29" s="276">
        <f>SUM(Table252346789101110[[#This Row],[Jones Creek Prod (bopd)]:[Egwa Prod (bopd)]])</f>
        <v>40715</v>
      </c>
      <c r="L29" s="131">
        <f>Table252346789101110[[#This Row],[Jones Creek Target (bopd)]]-Table252346789101110[[#This Row],[Jones Creek Prod (bopd)]]</f>
        <v>663</v>
      </c>
      <c r="M29" s="132">
        <f>Table252346789101110[[#This Row],[Odidi Target (bopd)]]-Table252346789101110[[#This Row],[Odidi prod (bopd)]]</f>
        <v>1086</v>
      </c>
      <c r="N29" s="132">
        <f>Table252346789101110[[#This Row],[Batan Target (bopd)]]-Table252346789101110[[#This Row],[Batan Daily Prod (bopd)]]</f>
        <v>5135</v>
      </c>
      <c r="O29" s="134">
        <f>Table252346789101110[[#This Row],[Egwa Target (bopd)]]-Table252346789101110[[#This Row],[Egwa Prod (bopd)]]</f>
        <v>1801</v>
      </c>
    </row>
    <row r="30" spans="2:15" ht="21.6">
      <c r="B30" s="130">
        <v>44281</v>
      </c>
      <c r="C30" s="135">
        <v>22000</v>
      </c>
      <c r="D30" s="136">
        <v>14500</v>
      </c>
      <c r="E30" s="131">
        <v>8800</v>
      </c>
      <c r="F30" s="135">
        <v>4100</v>
      </c>
      <c r="G30" s="137">
        <v>21525</v>
      </c>
      <c r="H30" s="137">
        <v>13602</v>
      </c>
      <c r="I30" s="137">
        <v>4863</v>
      </c>
      <c r="J30" s="137">
        <v>4307.3999999999996</v>
      </c>
      <c r="K30" s="276">
        <f>SUM(Table252346789101110[[#This Row],[Jones Creek Prod (bopd)]:[Egwa Prod (bopd)]])</f>
        <v>44297.4</v>
      </c>
      <c r="L30" s="131">
        <f>Table252346789101110[[#This Row],[Jones Creek Target (bopd)]]-Table252346789101110[[#This Row],[Jones Creek Prod (bopd)]]</f>
        <v>475</v>
      </c>
      <c r="M30" s="132">
        <f>Table252346789101110[[#This Row],[Odidi Target (bopd)]]-Table252346789101110[[#This Row],[Odidi prod (bopd)]]</f>
        <v>898</v>
      </c>
      <c r="N30" s="132">
        <f>Table252346789101110[[#This Row],[Batan Target (bopd)]]-Table252346789101110[[#This Row],[Batan Daily Prod (bopd)]]</f>
        <v>3937</v>
      </c>
      <c r="O30" s="134">
        <f>Table252346789101110[[#This Row],[Egwa Target (bopd)]]-Table252346789101110[[#This Row],[Egwa Prod (bopd)]]</f>
        <v>-207.39999999999964</v>
      </c>
    </row>
    <row r="31" spans="2:15" ht="21.6">
      <c r="B31" s="130">
        <v>44282</v>
      </c>
      <c r="C31" s="135">
        <v>22000</v>
      </c>
      <c r="D31" s="136">
        <v>14500</v>
      </c>
      <c r="E31" s="131">
        <v>8800</v>
      </c>
      <c r="F31" s="135">
        <v>4100</v>
      </c>
      <c r="G31" s="137">
        <v>21183</v>
      </c>
      <c r="H31" s="137">
        <v>12679</v>
      </c>
      <c r="I31" s="137">
        <v>4919</v>
      </c>
      <c r="J31" s="137">
        <v>4275</v>
      </c>
      <c r="K31" s="276">
        <f>SUM(Table252346789101110[[#This Row],[Jones Creek Prod (bopd)]:[Egwa Prod (bopd)]])</f>
        <v>43056</v>
      </c>
      <c r="L31" s="131">
        <f>Table252346789101110[[#This Row],[Jones Creek Target (bopd)]]-Table252346789101110[[#This Row],[Jones Creek Prod (bopd)]]</f>
        <v>817</v>
      </c>
      <c r="M31" s="132">
        <f>Table252346789101110[[#This Row],[Odidi Target (bopd)]]-Table252346789101110[[#This Row],[Odidi prod (bopd)]]</f>
        <v>1821</v>
      </c>
      <c r="N31" s="132">
        <f>Table252346789101110[[#This Row],[Batan Target (bopd)]]-Table252346789101110[[#This Row],[Batan Daily Prod (bopd)]]</f>
        <v>3881</v>
      </c>
      <c r="O31" s="134">
        <f>Table252346789101110[[#This Row],[Egwa Target (bopd)]]-Table252346789101110[[#This Row],[Egwa Prod (bopd)]]</f>
        <v>-175</v>
      </c>
    </row>
    <row r="32" spans="2:15" ht="21.6">
      <c r="B32" s="130">
        <v>44283</v>
      </c>
      <c r="C32" s="135">
        <v>22000</v>
      </c>
      <c r="D32" s="136">
        <v>14500</v>
      </c>
      <c r="E32" s="131">
        <v>8800</v>
      </c>
      <c r="F32" s="135">
        <v>4100</v>
      </c>
      <c r="G32" s="132">
        <v>21663</v>
      </c>
      <c r="H32" s="132">
        <v>12888</v>
      </c>
      <c r="I32" s="132">
        <v>4924</v>
      </c>
      <c r="J32" s="132">
        <v>4302</v>
      </c>
      <c r="K32" s="276">
        <f>SUM(Table252346789101110[[#This Row],[Jones Creek Prod (bopd)]:[Egwa Prod (bopd)]])</f>
        <v>43777</v>
      </c>
      <c r="L32" s="131">
        <f>Table252346789101110[[#This Row],[Jones Creek Target (bopd)]]-Table252346789101110[[#This Row],[Jones Creek Prod (bopd)]]</f>
        <v>337</v>
      </c>
      <c r="M32" s="132">
        <f>Table252346789101110[[#This Row],[Odidi Target (bopd)]]-Table252346789101110[[#This Row],[Odidi prod (bopd)]]</f>
        <v>1612</v>
      </c>
      <c r="N32" s="132">
        <f>Table252346789101110[[#This Row],[Batan Target (bopd)]]-Table252346789101110[[#This Row],[Batan Daily Prod (bopd)]]</f>
        <v>3876</v>
      </c>
      <c r="O32" s="134">
        <f>Table252346789101110[[#This Row],[Egwa Target (bopd)]]-Table252346789101110[[#This Row],[Egwa Prod (bopd)]]</f>
        <v>-202</v>
      </c>
    </row>
    <row r="33" spans="2:18" ht="21.6">
      <c r="B33" s="130">
        <v>44284</v>
      </c>
      <c r="C33" s="135">
        <v>22000</v>
      </c>
      <c r="D33" s="136">
        <v>14500</v>
      </c>
      <c r="E33" s="131">
        <v>8800</v>
      </c>
      <c r="F33" s="135">
        <v>4100</v>
      </c>
      <c r="G33" s="132">
        <v>21601</v>
      </c>
      <c r="H33" s="132">
        <v>13172</v>
      </c>
      <c r="I33" s="137">
        <v>4408</v>
      </c>
      <c r="J33" s="137">
        <v>4310</v>
      </c>
      <c r="K33" s="276">
        <f>SUM(Table252346789101110[[#This Row],[Jones Creek Prod (bopd)]:[Egwa Prod (bopd)]])</f>
        <v>43491</v>
      </c>
      <c r="L33" s="131">
        <f>Table252346789101110[[#This Row],[Jones Creek Target (bopd)]]-Table252346789101110[[#This Row],[Jones Creek Prod (bopd)]]</f>
        <v>399</v>
      </c>
      <c r="M33" s="132">
        <f>Table252346789101110[[#This Row],[Odidi Target (bopd)]]-Table252346789101110[[#This Row],[Odidi prod (bopd)]]</f>
        <v>1328</v>
      </c>
      <c r="N33" s="132">
        <f>Table252346789101110[[#This Row],[Batan Target (bopd)]]-Table252346789101110[[#This Row],[Batan Daily Prod (bopd)]]</f>
        <v>4392</v>
      </c>
      <c r="O33" s="134">
        <f>Table252346789101110[[#This Row],[Egwa Target (bopd)]]-Table252346789101110[[#This Row],[Egwa Prod (bopd)]]</f>
        <v>-210</v>
      </c>
    </row>
    <row r="34" spans="2:18" ht="21.6">
      <c r="B34" s="130">
        <v>44285</v>
      </c>
      <c r="C34" s="135">
        <v>22000</v>
      </c>
      <c r="D34" s="136">
        <v>14500</v>
      </c>
      <c r="E34" s="131">
        <v>8800</v>
      </c>
      <c r="F34" s="135">
        <v>4100</v>
      </c>
      <c r="G34" s="137">
        <v>20998</v>
      </c>
      <c r="H34" s="137">
        <v>13436</v>
      </c>
      <c r="I34" s="137">
        <v>4843</v>
      </c>
      <c r="J34" s="137">
        <v>369</v>
      </c>
      <c r="K34" s="276">
        <f>SUM(Table252346789101110[[#This Row],[Jones Creek Prod (bopd)]:[Egwa Prod (bopd)]])</f>
        <v>39646</v>
      </c>
      <c r="L34" s="131">
        <f>Table252346789101110[[#This Row],[Jones Creek Target (bopd)]]-Table252346789101110[[#This Row],[Jones Creek Prod (bopd)]]</f>
        <v>1002</v>
      </c>
      <c r="M34" s="132">
        <f>Table252346789101110[[#This Row],[Odidi Target (bopd)]]-Table252346789101110[[#This Row],[Odidi prod (bopd)]]</f>
        <v>1064</v>
      </c>
      <c r="N34" s="132">
        <f>Table252346789101110[[#This Row],[Batan Target (bopd)]]-Table252346789101110[[#This Row],[Batan Daily Prod (bopd)]]</f>
        <v>3957</v>
      </c>
      <c r="O34" s="134">
        <f>Table252346789101110[[#This Row],[Egwa Target (bopd)]]-Table252346789101110[[#This Row],[Egwa Prod (bopd)]]</f>
        <v>3731</v>
      </c>
    </row>
    <row r="35" spans="2:18" ht="21.6">
      <c r="B35" s="130">
        <v>44286</v>
      </c>
      <c r="C35" s="135">
        <v>22000</v>
      </c>
      <c r="D35" s="136">
        <v>14500</v>
      </c>
      <c r="E35" s="131">
        <v>8800</v>
      </c>
      <c r="F35" s="135">
        <v>4100</v>
      </c>
      <c r="G35" s="137">
        <v>21823</v>
      </c>
      <c r="H35" s="137">
        <v>13180</v>
      </c>
      <c r="I35" s="137">
        <v>4843</v>
      </c>
      <c r="J35" s="137">
        <v>1951</v>
      </c>
      <c r="K35" s="276">
        <f>SUM(Table252346789101110[[#This Row],[Jones Creek Prod (bopd)]:[Egwa Prod (bopd)]])</f>
        <v>41797</v>
      </c>
      <c r="L35" s="131">
        <f>Table252346789101110[[#This Row],[Jones Creek Target (bopd)]]-Table252346789101110[[#This Row],[Jones Creek Prod (bopd)]]</f>
        <v>177</v>
      </c>
      <c r="M35" s="132">
        <f>Table252346789101110[[#This Row],[Odidi Target (bopd)]]-Table252346789101110[[#This Row],[Odidi prod (bopd)]]</f>
        <v>1320</v>
      </c>
      <c r="N35" s="132">
        <f>Table252346789101110[[#This Row],[Batan Target (bopd)]]-Table252346789101110[[#This Row],[Batan Daily Prod (bopd)]]</f>
        <v>3957</v>
      </c>
      <c r="O35" s="134">
        <f>Table252346789101110[[#This Row],[Egwa Target (bopd)]]-Table252346789101110[[#This Row],[Egwa Prod (bopd)]]</f>
        <v>2149</v>
      </c>
    </row>
    <row r="36" spans="2:18" ht="21.6">
      <c r="B36" s="130">
        <v>44287</v>
      </c>
      <c r="C36" s="135">
        <v>22000</v>
      </c>
      <c r="D36" s="136">
        <v>14500</v>
      </c>
      <c r="E36" s="131">
        <v>8800</v>
      </c>
      <c r="F36" s="135">
        <v>4100</v>
      </c>
      <c r="G36" s="137">
        <v>22188</v>
      </c>
      <c r="H36" s="137">
        <v>13888</v>
      </c>
      <c r="I36" s="137">
        <v>4843</v>
      </c>
      <c r="J36" s="137">
        <v>4298</v>
      </c>
      <c r="K36" s="276">
        <f>SUM(Table252346789101110[[#This Row],[Jones Creek Prod (bopd)]:[Egwa Prod (bopd)]])</f>
        <v>45217</v>
      </c>
      <c r="L36" s="131">
        <f>Table252346789101110[[#This Row],[Jones Creek Target (bopd)]]-Table252346789101110[[#This Row],[Jones Creek Prod (bopd)]]</f>
        <v>-188</v>
      </c>
      <c r="M36" s="132">
        <f>Table252346789101110[[#This Row],[Odidi Target (bopd)]]-Table252346789101110[[#This Row],[Odidi prod (bopd)]]</f>
        <v>612</v>
      </c>
      <c r="N36" s="132">
        <f>Table252346789101110[[#This Row],[Batan Target (bopd)]]-Table252346789101110[[#This Row],[Batan Daily Prod (bopd)]]</f>
        <v>3957</v>
      </c>
      <c r="O36" s="134">
        <f>Table252346789101110[[#This Row],[Egwa Target (bopd)]]-Table252346789101110[[#This Row],[Egwa Prod (bopd)]]</f>
        <v>-198</v>
      </c>
    </row>
    <row r="37" spans="2:18" ht="21.6">
      <c r="B37" s="130">
        <v>44288</v>
      </c>
      <c r="C37" s="135">
        <v>22000</v>
      </c>
      <c r="D37" s="136">
        <v>14500</v>
      </c>
      <c r="E37" s="131">
        <v>8800</v>
      </c>
      <c r="F37" s="135">
        <v>4100</v>
      </c>
      <c r="G37" s="137"/>
      <c r="H37" s="137"/>
      <c r="I37" s="137"/>
      <c r="J37" s="137"/>
      <c r="K37" s="276"/>
      <c r="L37" s="131"/>
      <c r="M37" s="132"/>
      <c r="N37" s="132"/>
      <c r="O37" s="134"/>
    </row>
    <row r="38" spans="2:18" ht="21.6">
      <c r="B38" s="130">
        <v>44289</v>
      </c>
      <c r="C38" s="135">
        <v>22000</v>
      </c>
      <c r="D38" s="136">
        <v>14500</v>
      </c>
      <c r="E38" s="131">
        <v>8800</v>
      </c>
      <c r="F38" s="135">
        <v>4100</v>
      </c>
      <c r="G38" s="137"/>
      <c r="H38" s="137"/>
      <c r="I38" s="137"/>
      <c r="J38" s="132"/>
      <c r="K38" s="276"/>
      <c r="L38" s="131"/>
      <c r="M38" s="132"/>
      <c r="N38" s="132"/>
      <c r="O38" s="134"/>
    </row>
    <row r="39" spans="2:18" ht="21.6">
      <c r="B39" s="130">
        <v>44290</v>
      </c>
      <c r="C39" s="135">
        <v>22000</v>
      </c>
      <c r="D39" s="136">
        <v>14500</v>
      </c>
      <c r="E39" s="131">
        <v>8800</v>
      </c>
      <c r="F39" s="135">
        <v>4100</v>
      </c>
      <c r="G39" s="137"/>
      <c r="H39" s="137"/>
      <c r="I39" s="137"/>
      <c r="J39" s="137"/>
      <c r="K39" s="276"/>
      <c r="L39" s="131"/>
      <c r="M39" s="132"/>
      <c r="N39" s="132"/>
      <c r="O39" s="134"/>
    </row>
    <row r="40" spans="2:18" ht="21.6">
      <c r="B40" s="130">
        <v>44291</v>
      </c>
      <c r="C40" s="135">
        <v>22000</v>
      </c>
      <c r="D40" s="136">
        <v>14500</v>
      </c>
      <c r="E40" s="131">
        <v>8800</v>
      </c>
      <c r="F40" s="135">
        <v>4100</v>
      </c>
      <c r="G40" s="132"/>
      <c r="H40" s="301"/>
      <c r="I40" s="137"/>
      <c r="J40" s="132"/>
      <c r="K40" s="276"/>
      <c r="L40" s="131"/>
      <c r="M40" s="132"/>
      <c r="N40" s="132"/>
      <c r="O40" s="134"/>
    </row>
    <row r="41" spans="2:18" ht="21.6">
      <c r="B41" s="130">
        <v>44292</v>
      </c>
      <c r="C41" s="135">
        <v>22000</v>
      </c>
      <c r="D41" s="136">
        <v>14500</v>
      </c>
      <c r="E41" s="131">
        <v>8800</v>
      </c>
      <c r="F41" s="135">
        <v>4100</v>
      </c>
      <c r="G41" s="132"/>
      <c r="H41" s="132"/>
      <c r="I41" s="132"/>
      <c r="J41" s="132"/>
      <c r="K41" s="276"/>
      <c r="L41" s="131"/>
      <c r="M41" s="132"/>
      <c r="N41" s="132"/>
      <c r="O41" s="134"/>
    </row>
    <row r="42" spans="2:18" ht="21.6">
      <c r="B42" s="130">
        <v>44293</v>
      </c>
      <c r="C42" s="135">
        <v>22000</v>
      </c>
      <c r="D42" s="136">
        <v>14500</v>
      </c>
      <c r="E42" s="131">
        <v>8800</v>
      </c>
      <c r="F42" s="135">
        <v>4100</v>
      </c>
      <c r="G42" s="132"/>
      <c r="H42" s="132"/>
      <c r="I42" s="132"/>
      <c r="J42" s="132"/>
      <c r="K42" s="276"/>
      <c r="L42" s="131"/>
      <c r="M42" s="132"/>
      <c r="N42" s="132"/>
      <c r="O42" s="134"/>
      <c r="Q42" s="42"/>
    </row>
    <row r="43" spans="2:18" ht="21.6">
      <c r="B43" s="130">
        <v>44294</v>
      </c>
      <c r="C43" s="135">
        <v>22000</v>
      </c>
      <c r="D43" s="136">
        <v>14500</v>
      </c>
      <c r="E43" s="131">
        <v>8800</v>
      </c>
      <c r="F43" s="135">
        <v>4100</v>
      </c>
      <c r="G43" s="137"/>
      <c r="H43" s="137"/>
      <c r="I43" s="137"/>
      <c r="J43" s="132"/>
      <c r="K43" s="276"/>
      <c r="L43" s="131"/>
      <c r="M43" s="132"/>
      <c r="N43" s="132"/>
      <c r="O43" s="134"/>
    </row>
    <row r="44" spans="2:18" ht="21.6">
      <c r="B44" s="130">
        <v>44295</v>
      </c>
      <c r="C44" s="135">
        <v>22000</v>
      </c>
      <c r="D44" s="136">
        <v>14500</v>
      </c>
      <c r="E44" s="131">
        <v>8800</v>
      </c>
      <c r="F44" s="135">
        <v>4100</v>
      </c>
      <c r="G44" s="137"/>
      <c r="H44" s="137"/>
      <c r="I44" s="137"/>
      <c r="J44" s="132"/>
      <c r="K44" s="276"/>
      <c r="L44" s="131"/>
      <c r="M44" s="132"/>
      <c r="N44" s="132"/>
      <c r="O44" s="134"/>
    </row>
    <row r="46" spans="2:18" ht="15.6" thickBot="1"/>
    <row r="47" spans="2:18" ht="33.950000000000003" customHeight="1" thickBot="1">
      <c r="B47" s="1303" t="s">
        <v>149</v>
      </c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5"/>
      <c r="N47" s="1"/>
      <c r="O47"/>
      <c r="Q47" s="23"/>
      <c r="R47" s="117"/>
    </row>
    <row r="48" spans="2:18" ht="41.45" customHeight="1">
      <c r="B48" s="575" t="s">
        <v>22</v>
      </c>
      <c r="C48" s="576" t="s">
        <v>358</v>
      </c>
      <c r="D48" s="1306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8"/>
      <c r="N48" s="1"/>
      <c r="O48"/>
      <c r="Q48" s="118"/>
      <c r="R48" s="119"/>
    </row>
    <row r="49" spans="2:18" ht="29.45" customHeight="1">
      <c r="B49" s="249" t="s">
        <v>17</v>
      </c>
      <c r="C49" s="277">
        <v>-0.17699999999999999</v>
      </c>
      <c r="D49" s="1280" t="s">
        <v>359</v>
      </c>
      <c r="E49" s="1309"/>
      <c r="F49" s="1309"/>
      <c r="G49" s="1309"/>
      <c r="H49" s="1309"/>
      <c r="I49" s="1309"/>
      <c r="J49" s="1309"/>
      <c r="K49" s="1309"/>
      <c r="L49" s="1309"/>
      <c r="M49" s="1310"/>
      <c r="N49" s="1"/>
      <c r="O49"/>
      <c r="Q49" s="118"/>
      <c r="R49" s="119"/>
    </row>
    <row r="50" spans="2:18" ht="27" customHeight="1">
      <c r="B50" s="249" t="s">
        <v>19</v>
      </c>
      <c r="C50" s="250">
        <v>0.61199999999999999</v>
      </c>
      <c r="D50" s="1274" t="s">
        <v>360</v>
      </c>
      <c r="E50" s="1285"/>
      <c r="F50" s="1285"/>
      <c r="G50" s="1285"/>
      <c r="H50" s="1285"/>
      <c r="I50" s="1285"/>
      <c r="J50" s="1285"/>
      <c r="K50" s="1285"/>
      <c r="L50" s="1285"/>
      <c r="M50" s="1286"/>
      <c r="N50" s="1"/>
      <c r="O50"/>
      <c r="Q50" s="23"/>
    </row>
    <row r="51" spans="2:18" ht="26.25" customHeight="1">
      <c r="B51" s="249" t="s">
        <v>16</v>
      </c>
      <c r="C51" s="250">
        <v>3.9569999999999999</v>
      </c>
      <c r="D51" s="1274" t="s">
        <v>361</v>
      </c>
      <c r="E51" s="1285"/>
      <c r="F51" s="1285"/>
      <c r="G51" s="1285"/>
      <c r="H51" s="1285"/>
      <c r="I51" s="1285"/>
      <c r="J51" s="1285"/>
      <c r="K51" s="1285"/>
      <c r="L51" s="1285"/>
      <c r="M51" s="1286"/>
      <c r="N51" s="1"/>
      <c r="O51" s="30"/>
      <c r="Q51" s="118"/>
      <c r="R51" s="119"/>
    </row>
    <row r="52" spans="2:18" ht="23.45" customHeight="1">
      <c r="B52" s="249" t="s">
        <v>18</v>
      </c>
      <c r="C52" s="277">
        <v>-0.19800000000000001</v>
      </c>
      <c r="D52" s="1274" t="s">
        <v>362</v>
      </c>
      <c r="E52" s="1285"/>
      <c r="F52" s="1285"/>
      <c r="G52" s="1285"/>
      <c r="H52" s="1285"/>
      <c r="I52" s="1285"/>
      <c r="J52" s="1285"/>
      <c r="K52" s="1285"/>
      <c r="L52" s="1285"/>
      <c r="M52" s="1286"/>
      <c r="N52" s="1"/>
      <c r="O52"/>
      <c r="Q52" s="118"/>
      <c r="R52" s="119"/>
    </row>
    <row r="53" spans="2:18" ht="27" customHeight="1" thickBot="1">
      <c r="B53" s="251" t="s">
        <v>187</v>
      </c>
      <c r="C53" s="252">
        <f>SUM(C49:C52)</f>
        <v>4.1939999999999991</v>
      </c>
      <c r="D53" s="1277" t="s">
        <v>363</v>
      </c>
      <c r="E53" s="1278"/>
      <c r="F53" s="1278"/>
      <c r="G53" s="1278"/>
      <c r="H53" s="1278"/>
      <c r="I53" s="1278"/>
      <c r="J53" s="1278"/>
      <c r="K53" s="1278"/>
      <c r="L53" s="1278"/>
      <c r="M53" s="1279"/>
      <c r="N53" s="1"/>
      <c r="O53"/>
      <c r="P53" s="402"/>
    </row>
    <row r="56" spans="2:18" ht="21" thickBot="1">
      <c r="F56" s="30"/>
    </row>
    <row r="57" spans="2:18" ht="35.450000000000003" customHeight="1" thickBot="1">
      <c r="C57" s="573"/>
      <c r="D57" s="172">
        <f>1.57+1.9+4.78</f>
        <v>8.25</v>
      </c>
      <c r="F57" s="271"/>
      <c r="G57" s="31"/>
      <c r="H57" s="31"/>
      <c r="I57" s="31"/>
    </row>
    <row r="58" spans="2:18" ht="24.75" customHeight="1">
      <c r="D58" s="30"/>
      <c r="G58" s="36"/>
      <c r="H58" s="36"/>
      <c r="I58" s="36"/>
    </row>
    <row r="59" spans="2:18" ht="20.25" customHeight="1">
      <c r="G59" s="23"/>
      <c r="H59" s="23"/>
      <c r="I59" s="23"/>
      <c r="J59" s="23"/>
      <c r="K59" s="23"/>
      <c r="L59" s="23"/>
    </row>
    <row r="60" spans="2:18" ht="17.45">
      <c r="C60" s="147"/>
      <c r="G60" s="23"/>
      <c r="H60" s="23"/>
      <c r="I60" s="23"/>
      <c r="J60" s="23"/>
      <c r="K60" s="23"/>
      <c r="L60" s="23"/>
    </row>
    <row r="61" spans="2:18" ht="22.9">
      <c r="C61" s="325"/>
      <c r="G61" s="23"/>
      <c r="H61" s="23"/>
      <c r="I61" s="23"/>
      <c r="J61" s="23"/>
      <c r="K61" s="23"/>
      <c r="L61" s="23"/>
    </row>
    <row r="62" spans="2:18" ht="17.45">
      <c r="C62" s="444"/>
      <c r="D62" s="444"/>
      <c r="F62" s="444"/>
      <c r="G62" s="23"/>
      <c r="H62" s="23"/>
      <c r="I62" s="23"/>
      <c r="J62" s="23"/>
      <c r="K62" s="23"/>
      <c r="L62" s="23"/>
    </row>
    <row r="63" spans="2:18">
      <c r="C63" s="444"/>
      <c r="D63" s="444"/>
      <c r="F63" s="444"/>
    </row>
    <row r="64" spans="2:18">
      <c r="C64" s="444"/>
      <c r="D64" s="444"/>
      <c r="F64" s="444"/>
    </row>
    <row r="65" spans="3:6">
      <c r="C65" s="444"/>
      <c r="D65" s="444"/>
      <c r="F65" s="444"/>
    </row>
  </sheetData>
  <mergeCells count="8">
    <mergeCell ref="D52:M52"/>
    <mergeCell ref="D53:M53"/>
    <mergeCell ref="B47:M47"/>
    <mergeCell ref="T3:X3"/>
    <mergeCell ref="D48:M48"/>
    <mergeCell ref="D49:M49"/>
    <mergeCell ref="D50:M50"/>
    <mergeCell ref="D51:M51"/>
  </mergeCells>
  <pageMargins left="0.7" right="0.7" top="0.75" bottom="0.75" header="0.3" footer="0.3"/>
  <pageSetup orientation="portrait" r:id="rId1"/>
  <ignoredErrors>
    <ignoredError sqref="K5:O13 K14:O15 K16:O16 K17:O18 K19 L19:O19 K20:O20 K21:O21 K22:O23 K24:O26 K27:O27 K28:O28 K29:O29 K30:O30 K31:O33 K34:O34 K35:O35 K36:O36" calculatedColumn="1"/>
  </ignoredErrors>
  <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V1001"/>
  <sheetViews>
    <sheetView topLeftCell="A52" workbookViewId="0">
      <selection activeCell="J66" sqref="J66"/>
    </sheetView>
  </sheetViews>
  <sheetFormatPr defaultColWidth="9.21875" defaultRowHeight="19.149999999999999"/>
  <cols>
    <col min="1" max="2" width="9.21875" style="580"/>
    <col min="3" max="3" width="10.33203125" style="580" customWidth="1"/>
    <col min="4" max="4" width="10" style="580" customWidth="1"/>
    <col min="5" max="5" width="9.21875" style="580"/>
    <col min="6" max="6" width="9.77734375" style="580" bestFit="1" customWidth="1"/>
    <col min="7" max="7" width="9.21875" style="580"/>
    <col min="8" max="8" width="7.77734375" style="580" customWidth="1"/>
    <col min="9" max="10" width="9.21875" style="580"/>
    <col min="11" max="11" width="26.44140625" style="580" customWidth="1"/>
    <col min="12" max="16384" width="9.21875" style="580"/>
  </cols>
  <sheetData>
    <row r="1" spans="1:48" ht="19.899999999999999" thickBot="1">
      <c r="A1" s="579"/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579"/>
      <c r="AP1" s="579"/>
      <c r="AQ1" s="579"/>
      <c r="AR1" s="579"/>
      <c r="AS1" s="579"/>
      <c r="AT1" s="579"/>
      <c r="AU1" s="579"/>
      <c r="AV1" s="579"/>
    </row>
    <row r="2" spans="1:48" ht="25.15" thickBot="1">
      <c r="A2" s="579"/>
      <c r="B2" s="579"/>
      <c r="C2" s="1320" t="s">
        <v>364</v>
      </c>
      <c r="D2" s="1321"/>
      <c r="E2" s="1321"/>
      <c r="F2" s="1321"/>
      <c r="G2" s="1321"/>
      <c r="H2" s="1321"/>
      <c r="I2" s="1321"/>
      <c r="J2" s="1321"/>
      <c r="K2" s="132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  <c r="AF2" s="579"/>
      <c r="AG2" s="579"/>
      <c r="AH2" s="579"/>
      <c r="AI2" s="579"/>
      <c r="AJ2" s="579"/>
      <c r="AK2" s="579"/>
      <c r="AL2" s="579"/>
      <c r="AM2" s="579"/>
      <c r="AN2" s="579"/>
      <c r="AO2" s="579"/>
      <c r="AP2" s="579"/>
      <c r="AQ2" s="579"/>
      <c r="AR2" s="579"/>
      <c r="AS2" s="579"/>
      <c r="AT2" s="579"/>
      <c r="AU2" s="579"/>
      <c r="AV2" s="579"/>
    </row>
    <row r="3" spans="1:48" ht="19.899999999999999" thickBot="1">
      <c r="A3" s="579"/>
      <c r="B3" s="579"/>
      <c r="C3" s="581"/>
      <c r="D3" s="581"/>
      <c r="E3" s="581"/>
      <c r="F3" s="581"/>
      <c r="G3" s="581"/>
      <c r="H3" s="581"/>
      <c r="I3" s="581"/>
      <c r="J3" s="581"/>
      <c r="K3" s="581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  <c r="AF3" s="579"/>
      <c r="AG3" s="579"/>
      <c r="AH3" s="579"/>
      <c r="AI3" s="579"/>
      <c r="AJ3" s="579"/>
      <c r="AK3" s="579"/>
      <c r="AL3" s="579"/>
      <c r="AM3" s="579"/>
      <c r="AN3" s="579"/>
      <c r="AO3" s="579"/>
      <c r="AP3" s="579"/>
      <c r="AQ3" s="579"/>
      <c r="AR3" s="579"/>
      <c r="AS3" s="579"/>
      <c r="AT3" s="579"/>
      <c r="AU3" s="579"/>
      <c r="AV3" s="579"/>
    </row>
    <row r="4" spans="1:48" ht="36" customHeight="1" thickBot="1">
      <c r="A4" s="579"/>
      <c r="B4" s="582"/>
      <c r="C4" s="1314" t="s">
        <v>365</v>
      </c>
      <c r="D4" s="1315"/>
      <c r="E4" s="1315"/>
      <c r="F4" s="1315"/>
      <c r="G4" s="1315"/>
      <c r="H4" s="1315"/>
      <c r="I4" s="1315"/>
      <c r="J4" s="1315"/>
      <c r="K4" s="1316"/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79"/>
      <c r="AK4" s="579"/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</row>
    <row r="5" spans="1:48" ht="51" thickBot="1">
      <c r="A5" s="583"/>
      <c r="B5" s="584" t="s">
        <v>156</v>
      </c>
      <c r="C5" s="584" t="s">
        <v>31</v>
      </c>
      <c r="D5" s="584" t="s">
        <v>32</v>
      </c>
      <c r="E5" s="584" t="s">
        <v>33</v>
      </c>
      <c r="F5" s="584" t="s">
        <v>34</v>
      </c>
      <c r="G5" s="584" t="s">
        <v>35</v>
      </c>
      <c r="H5" s="584" t="s">
        <v>37</v>
      </c>
      <c r="I5" s="584" t="s">
        <v>38</v>
      </c>
      <c r="J5" s="584" t="s">
        <v>39</v>
      </c>
      <c r="K5" s="585" t="s">
        <v>40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81"/>
      <c r="AA5" s="581"/>
      <c r="AB5" s="581"/>
      <c r="AC5" s="581"/>
      <c r="AD5" s="579"/>
      <c r="AE5" s="579"/>
      <c r="AF5" s="579"/>
      <c r="AG5" s="579"/>
      <c r="AH5" s="579"/>
      <c r="AI5" s="579"/>
      <c r="AJ5" s="579"/>
      <c r="AK5" s="579"/>
      <c r="AL5" s="579"/>
      <c r="AM5" s="579"/>
      <c r="AN5" s="579"/>
      <c r="AO5" s="579"/>
      <c r="AP5" s="579"/>
      <c r="AQ5" s="579"/>
      <c r="AR5" s="579"/>
      <c r="AS5" s="579"/>
      <c r="AT5" s="579"/>
      <c r="AU5" s="579"/>
      <c r="AV5" s="579"/>
    </row>
    <row r="6" spans="1:48" ht="19.899999999999999" thickBot="1">
      <c r="A6" s="583"/>
      <c r="B6" s="587">
        <v>1</v>
      </c>
      <c r="C6" s="587" t="s">
        <v>41</v>
      </c>
      <c r="D6" s="587" t="s">
        <v>42</v>
      </c>
      <c r="E6" s="588">
        <v>28</v>
      </c>
      <c r="F6" s="588">
        <v>2051</v>
      </c>
      <c r="G6" s="588">
        <v>533</v>
      </c>
      <c r="H6" s="588">
        <v>74</v>
      </c>
      <c r="I6" s="588">
        <v>521</v>
      </c>
      <c r="J6" s="588">
        <v>435</v>
      </c>
      <c r="K6" s="648" t="s">
        <v>235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89"/>
      <c r="Z6" s="590" t="s">
        <v>366</v>
      </c>
      <c r="AA6" s="590">
        <v>36</v>
      </c>
      <c r="AB6" s="591">
        <v>2779</v>
      </c>
      <c r="AC6" s="591">
        <v>2672</v>
      </c>
      <c r="AD6" s="579"/>
      <c r="AE6" s="579"/>
      <c r="AF6" s="579"/>
      <c r="AG6" s="579"/>
      <c r="AH6" s="579"/>
      <c r="AI6" s="579"/>
      <c r="AJ6" s="579"/>
      <c r="AK6" s="579"/>
      <c r="AL6" s="579"/>
      <c r="AM6" s="579"/>
      <c r="AN6" s="579"/>
      <c r="AO6" s="579"/>
      <c r="AP6" s="579"/>
      <c r="AQ6" s="579"/>
      <c r="AR6" s="579"/>
      <c r="AS6" s="579"/>
      <c r="AT6" s="579"/>
      <c r="AU6" s="579"/>
      <c r="AV6" s="579"/>
    </row>
    <row r="7" spans="1:48" ht="19.899999999999999" thickBot="1">
      <c r="A7" s="583"/>
      <c r="B7" s="587">
        <v>2</v>
      </c>
      <c r="C7" s="587" t="s">
        <v>43</v>
      </c>
      <c r="D7" s="587" t="s">
        <v>44</v>
      </c>
      <c r="E7" s="588">
        <v>28</v>
      </c>
      <c r="F7" s="588">
        <v>1232</v>
      </c>
      <c r="G7" s="588">
        <v>628</v>
      </c>
      <c r="H7" s="588">
        <v>49</v>
      </c>
      <c r="I7" s="588">
        <v>606</v>
      </c>
      <c r="J7" s="588">
        <v>132</v>
      </c>
      <c r="K7" s="648" t="s">
        <v>235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  <c r="AF7" s="579"/>
      <c r="AG7" s="579"/>
      <c r="AH7" s="579"/>
      <c r="AI7" s="579"/>
      <c r="AJ7" s="579"/>
      <c r="AK7" s="579"/>
      <c r="AL7" s="579"/>
      <c r="AM7" s="579"/>
      <c r="AN7" s="579"/>
      <c r="AO7" s="579"/>
      <c r="AP7" s="579"/>
      <c r="AQ7" s="579"/>
      <c r="AR7" s="579"/>
      <c r="AS7" s="579"/>
      <c r="AT7" s="579"/>
      <c r="AU7" s="579"/>
      <c r="AV7" s="579"/>
    </row>
    <row r="8" spans="1:48" ht="19.899999999999999" thickBot="1">
      <c r="A8" s="583"/>
      <c r="B8" s="587">
        <v>3</v>
      </c>
      <c r="C8" s="587" t="s">
        <v>45</v>
      </c>
      <c r="D8" s="587" t="s">
        <v>44</v>
      </c>
      <c r="E8" s="588">
        <v>32</v>
      </c>
      <c r="F8" s="588">
        <v>2224</v>
      </c>
      <c r="G8" s="588">
        <v>1027</v>
      </c>
      <c r="H8" s="588">
        <v>54</v>
      </c>
      <c r="I8" s="588">
        <v>336</v>
      </c>
      <c r="J8" s="588">
        <v>261</v>
      </c>
      <c r="K8" s="648" t="s">
        <v>235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81"/>
      <c r="AA8" s="581"/>
      <c r="AB8" s="581"/>
      <c r="AC8" s="581"/>
      <c r="AD8" s="581"/>
      <c r="AE8" s="579"/>
      <c r="AF8" s="579"/>
      <c r="AG8" s="579"/>
      <c r="AH8" s="579"/>
      <c r="AI8" s="579"/>
      <c r="AJ8" s="579"/>
      <c r="AK8" s="579"/>
      <c r="AL8" s="579"/>
      <c r="AM8" s="579"/>
      <c r="AN8" s="579"/>
      <c r="AO8" s="579"/>
      <c r="AP8" s="579"/>
      <c r="AQ8" s="579"/>
      <c r="AR8" s="579"/>
      <c r="AS8" s="579"/>
      <c r="AT8" s="579"/>
      <c r="AU8" s="579"/>
      <c r="AV8" s="579"/>
    </row>
    <row r="9" spans="1:48" ht="21.75" customHeight="1" thickBot="1">
      <c r="A9" s="583"/>
      <c r="B9" s="586">
        <v>4</v>
      </c>
      <c r="C9" s="586" t="s">
        <v>46</v>
      </c>
      <c r="D9" s="592" t="s">
        <v>47</v>
      </c>
      <c r="E9" s="593">
        <v>40</v>
      </c>
      <c r="F9" s="593">
        <v>1783</v>
      </c>
      <c r="G9" s="593">
        <v>1141</v>
      </c>
      <c r="H9" s="593">
        <v>36</v>
      </c>
      <c r="I9" s="593">
        <v>310</v>
      </c>
      <c r="J9" s="593">
        <v>159</v>
      </c>
      <c r="K9" s="64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89"/>
      <c r="Z9" s="590"/>
      <c r="AA9" s="590" t="s">
        <v>367</v>
      </c>
      <c r="AB9" s="594" t="s">
        <v>368</v>
      </c>
      <c r="AC9" s="594" t="s">
        <v>369</v>
      </c>
      <c r="AD9" s="594" t="s">
        <v>370</v>
      </c>
      <c r="AE9" s="579"/>
      <c r="AF9" s="579"/>
      <c r="AG9" s="579"/>
      <c r="AH9" s="579"/>
      <c r="AI9" s="579"/>
      <c r="AJ9" s="579"/>
      <c r="AK9" s="579"/>
      <c r="AL9" s="579"/>
      <c r="AM9" s="579"/>
      <c r="AN9" s="579"/>
      <c r="AO9" s="579"/>
      <c r="AP9" s="579"/>
      <c r="AQ9" s="579"/>
      <c r="AR9" s="579"/>
      <c r="AS9" s="579"/>
      <c r="AT9" s="579"/>
      <c r="AU9" s="579"/>
      <c r="AV9" s="579"/>
    </row>
    <row r="10" spans="1:48" ht="19.899999999999999" thickBot="1">
      <c r="A10" s="583"/>
      <c r="B10" s="587">
        <v>5</v>
      </c>
      <c r="C10" s="587" t="s">
        <v>48</v>
      </c>
      <c r="D10" s="587" t="s">
        <v>47</v>
      </c>
      <c r="E10" s="588" t="s">
        <v>49</v>
      </c>
      <c r="F10" s="588">
        <v>1817</v>
      </c>
      <c r="G10" s="588">
        <v>1145</v>
      </c>
      <c r="H10" s="588">
        <v>37</v>
      </c>
      <c r="I10" s="588">
        <v>311</v>
      </c>
      <c r="J10" s="588">
        <v>174</v>
      </c>
      <c r="K10" s="659" t="s">
        <v>371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89"/>
      <c r="Z10" s="590" t="s">
        <v>372</v>
      </c>
      <c r="AA10" s="590">
        <v>48</v>
      </c>
      <c r="AB10" s="591">
        <v>2043</v>
      </c>
      <c r="AC10" s="591">
        <v>1964</v>
      </c>
      <c r="AD10" s="591">
        <v>1723</v>
      </c>
      <c r="AE10" s="595">
        <v>0.17150000000000001</v>
      </c>
      <c r="AF10" s="595">
        <v>240.53</v>
      </c>
      <c r="AG10" s="579"/>
      <c r="AH10" s="579"/>
      <c r="AI10" s="579"/>
      <c r="AJ10" s="579"/>
      <c r="AK10" s="579"/>
      <c r="AL10" s="579"/>
      <c r="AM10" s="579"/>
      <c r="AN10" s="579"/>
      <c r="AO10" s="579"/>
      <c r="AP10" s="579"/>
      <c r="AQ10" s="579"/>
      <c r="AR10" s="579"/>
      <c r="AS10" s="579"/>
      <c r="AT10" s="579"/>
      <c r="AU10" s="579"/>
      <c r="AV10" s="579"/>
    </row>
    <row r="11" spans="1:48" ht="19.899999999999999" thickBot="1">
      <c r="A11" s="583"/>
      <c r="B11" s="587">
        <v>6</v>
      </c>
      <c r="C11" s="587" t="s">
        <v>373</v>
      </c>
      <c r="D11" s="587" t="s">
        <v>47</v>
      </c>
      <c r="E11" s="588">
        <v>24</v>
      </c>
      <c r="F11" s="588">
        <v>1643</v>
      </c>
      <c r="G11" s="588">
        <v>690</v>
      </c>
      <c r="H11" s="588">
        <v>58</v>
      </c>
      <c r="I11" s="588">
        <v>300</v>
      </c>
      <c r="J11" s="588">
        <v>287</v>
      </c>
      <c r="K11" s="659" t="s">
        <v>68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89"/>
      <c r="Z11" s="590"/>
      <c r="AA11" s="590"/>
      <c r="AB11" s="590"/>
      <c r="AC11" s="590"/>
      <c r="AD11" s="590"/>
      <c r="AE11" s="595"/>
      <c r="AF11" s="595"/>
      <c r="AG11" s="579"/>
      <c r="AH11" s="579"/>
      <c r="AI11" s="579"/>
      <c r="AJ11" s="579"/>
      <c r="AK11" s="579"/>
      <c r="AL11" s="579"/>
      <c r="AM11" s="579"/>
      <c r="AN11" s="579"/>
      <c r="AO11" s="579"/>
      <c r="AP11" s="579"/>
      <c r="AQ11" s="579"/>
      <c r="AR11" s="579"/>
      <c r="AS11" s="579"/>
      <c r="AT11" s="579"/>
      <c r="AU11" s="579"/>
      <c r="AV11" s="579"/>
    </row>
    <row r="12" spans="1:48" ht="19.899999999999999" thickBot="1">
      <c r="A12" s="583"/>
      <c r="B12" s="587">
        <v>7</v>
      </c>
      <c r="C12" s="587" t="s">
        <v>50</v>
      </c>
      <c r="D12" s="587" t="s">
        <v>47</v>
      </c>
      <c r="E12" s="588" t="s">
        <v>51</v>
      </c>
      <c r="F12" s="588">
        <v>1469</v>
      </c>
      <c r="G12" s="588">
        <v>441</v>
      </c>
      <c r="H12" s="588">
        <v>70</v>
      </c>
      <c r="I12" s="588">
        <v>761</v>
      </c>
      <c r="J12" s="588">
        <v>145</v>
      </c>
      <c r="K12" s="648" t="s">
        <v>235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89"/>
      <c r="Z12" s="590" t="s">
        <v>279</v>
      </c>
      <c r="AA12" s="590">
        <v>24</v>
      </c>
      <c r="AB12" s="591">
        <v>2063</v>
      </c>
      <c r="AC12" s="591">
        <v>1984</v>
      </c>
      <c r="AD12" s="591">
        <v>1741</v>
      </c>
      <c r="AE12" s="595">
        <v>0.17319999999999999</v>
      </c>
      <c r="AF12" s="595">
        <v>242.98</v>
      </c>
      <c r="AG12" s="579"/>
      <c r="AH12" s="579"/>
      <c r="AI12" s="579"/>
      <c r="AJ12" s="579"/>
      <c r="AK12" s="579"/>
      <c r="AL12" s="579"/>
      <c r="AM12" s="579"/>
      <c r="AN12" s="579"/>
      <c r="AO12" s="579"/>
      <c r="AP12" s="579"/>
      <c r="AQ12" s="579"/>
      <c r="AR12" s="579"/>
      <c r="AS12" s="579"/>
      <c r="AT12" s="579"/>
      <c r="AU12" s="579"/>
      <c r="AV12" s="579"/>
    </row>
    <row r="13" spans="1:48" ht="19.899999999999999" thickBot="1">
      <c r="A13" s="583"/>
      <c r="B13" s="587">
        <v>8</v>
      </c>
      <c r="C13" s="587" t="s">
        <v>52</v>
      </c>
      <c r="D13" s="587" t="s">
        <v>47</v>
      </c>
      <c r="E13" s="588">
        <v>40</v>
      </c>
      <c r="F13" s="588">
        <v>1617</v>
      </c>
      <c r="G13" s="588">
        <v>631</v>
      </c>
      <c r="H13" s="588">
        <v>61</v>
      </c>
      <c r="I13" s="588">
        <v>448</v>
      </c>
      <c r="J13" s="588">
        <v>205</v>
      </c>
      <c r="K13" s="648" t="s">
        <v>235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89"/>
      <c r="Z13" s="590" t="s">
        <v>366</v>
      </c>
      <c r="AA13" s="590">
        <v>40</v>
      </c>
      <c r="AB13" s="591">
        <v>2163</v>
      </c>
      <c r="AC13" s="591">
        <v>2080</v>
      </c>
      <c r="AD13" s="591">
        <v>1825</v>
      </c>
      <c r="AE13" s="595">
        <v>0.18160000000000001</v>
      </c>
      <c r="AF13" s="595">
        <v>254.74</v>
      </c>
      <c r="AG13" s="579"/>
      <c r="AH13" s="579"/>
      <c r="AI13" s="579"/>
      <c r="AJ13" s="579"/>
      <c r="AK13" s="579"/>
      <c r="AL13" s="579"/>
      <c r="AM13" s="579"/>
      <c r="AN13" s="579"/>
      <c r="AO13" s="579"/>
      <c r="AP13" s="579"/>
      <c r="AQ13" s="579"/>
      <c r="AR13" s="579"/>
      <c r="AS13" s="579"/>
      <c r="AT13" s="579"/>
      <c r="AU13" s="579"/>
      <c r="AV13" s="579"/>
    </row>
    <row r="14" spans="1:48" ht="19.899999999999999" thickBot="1">
      <c r="A14" s="583"/>
      <c r="B14" s="587">
        <v>9</v>
      </c>
      <c r="C14" s="587" t="s">
        <v>53</v>
      </c>
      <c r="D14" s="587" t="s">
        <v>47</v>
      </c>
      <c r="E14" s="588" t="s">
        <v>51</v>
      </c>
      <c r="F14" s="588">
        <v>1460</v>
      </c>
      <c r="G14" s="588">
        <v>681</v>
      </c>
      <c r="H14" s="588">
        <v>53</v>
      </c>
      <c r="I14" s="588">
        <v>447</v>
      </c>
      <c r="J14" s="588">
        <v>348</v>
      </c>
      <c r="K14" s="648" t="s">
        <v>235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89"/>
      <c r="Z14" s="596" t="s">
        <v>282</v>
      </c>
      <c r="AA14" s="597">
        <v>36</v>
      </c>
      <c r="AB14" s="598">
        <v>1642</v>
      </c>
      <c r="AC14" s="596">
        <v>762</v>
      </c>
      <c r="AD14" s="596">
        <v>668</v>
      </c>
      <c r="AE14" s="595">
        <v>6.6500000000000004E-2</v>
      </c>
      <c r="AF14" s="595">
        <v>93.29</v>
      </c>
      <c r="AG14" s="579"/>
      <c r="AH14" s="579"/>
      <c r="AI14" s="579"/>
      <c r="AJ14" s="579"/>
      <c r="AK14" s="579"/>
      <c r="AL14" s="579"/>
      <c r="AM14" s="579"/>
      <c r="AN14" s="579"/>
      <c r="AO14" s="579"/>
      <c r="AP14" s="579"/>
      <c r="AQ14" s="579"/>
      <c r="AR14" s="579"/>
      <c r="AS14" s="579"/>
      <c r="AT14" s="579"/>
      <c r="AU14" s="579"/>
      <c r="AV14" s="579"/>
    </row>
    <row r="15" spans="1:48" ht="19.899999999999999" thickBot="1">
      <c r="A15" s="583"/>
      <c r="B15" s="587">
        <v>10</v>
      </c>
      <c r="C15" s="587" t="s">
        <v>54</v>
      </c>
      <c r="D15" s="587" t="s">
        <v>47</v>
      </c>
      <c r="E15" s="588" t="s">
        <v>55</v>
      </c>
      <c r="F15" s="588">
        <v>1642</v>
      </c>
      <c r="G15" s="588">
        <v>762</v>
      </c>
      <c r="H15" s="588">
        <v>54</v>
      </c>
      <c r="I15" s="588">
        <v>495</v>
      </c>
      <c r="J15" s="588">
        <v>324</v>
      </c>
      <c r="K15" s="648" t="s">
        <v>235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89"/>
      <c r="Z15" s="590" t="s">
        <v>311</v>
      </c>
      <c r="AA15" s="590">
        <v>28</v>
      </c>
      <c r="AB15" s="591">
        <v>2246</v>
      </c>
      <c r="AC15" s="591">
        <v>2160</v>
      </c>
      <c r="AD15" s="591">
        <v>1895</v>
      </c>
      <c r="AE15" s="595">
        <v>0.18859999999999999</v>
      </c>
      <c r="AF15" s="595">
        <v>264.54000000000002</v>
      </c>
      <c r="AG15" s="579"/>
      <c r="AH15" s="579"/>
      <c r="AI15" s="579"/>
      <c r="AJ15" s="579"/>
      <c r="AK15" s="579"/>
      <c r="AL15" s="579"/>
      <c r="AM15" s="579"/>
      <c r="AN15" s="579"/>
      <c r="AO15" s="579"/>
      <c r="AP15" s="579"/>
      <c r="AQ15" s="579"/>
      <c r="AR15" s="579"/>
      <c r="AS15" s="579"/>
      <c r="AT15" s="579"/>
      <c r="AU15" s="579"/>
      <c r="AV15" s="579"/>
    </row>
    <row r="16" spans="1:48" s="669" customFormat="1" ht="19.899999999999999" thickBot="1">
      <c r="A16" s="663"/>
      <c r="B16" s="639">
        <v>11</v>
      </c>
      <c r="C16" s="639" t="s">
        <v>56</v>
      </c>
      <c r="D16" s="639" t="s">
        <v>47</v>
      </c>
      <c r="E16" s="641">
        <v>44</v>
      </c>
      <c r="F16" s="641">
        <v>3811</v>
      </c>
      <c r="G16" s="641">
        <v>1524</v>
      </c>
      <c r="H16" s="641">
        <v>60</v>
      </c>
      <c r="I16" s="641">
        <v>281</v>
      </c>
      <c r="J16" s="641">
        <v>363</v>
      </c>
      <c r="K16" s="661"/>
      <c r="L16" s="664"/>
      <c r="M16" s="664"/>
      <c r="N16" s="664"/>
      <c r="O16" s="664"/>
      <c r="P16" s="664"/>
      <c r="Q16" s="664"/>
      <c r="R16" s="664"/>
      <c r="S16" s="664"/>
      <c r="T16" s="664"/>
      <c r="U16" s="664"/>
      <c r="V16" s="664"/>
      <c r="W16" s="664"/>
      <c r="X16" s="664"/>
      <c r="Y16" s="665"/>
      <c r="Z16" s="666" t="s">
        <v>374</v>
      </c>
      <c r="AA16" s="666">
        <v>24</v>
      </c>
      <c r="AB16" s="667">
        <v>2604</v>
      </c>
      <c r="AC16" s="667">
        <v>2504</v>
      </c>
      <c r="AD16" s="667">
        <v>2197</v>
      </c>
      <c r="AE16" s="668">
        <v>0.21859999999999999</v>
      </c>
      <c r="AF16" s="668">
        <v>306.67</v>
      </c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</row>
    <row r="17" spans="1:48" ht="19.899999999999999" thickBot="1">
      <c r="A17" s="583"/>
      <c r="B17" s="586">
        <v>12</v>
      </c>
      <c r="C17" s="586" t="s">
        <v>57</v>
      </c>
      <c r="D17" s="592" t="s">
        <v>47</v>
      </c>
      <c r="E17" s="593" t="s">
        <v>55</v>
      </c>
      <c r="F17" s="593">
        <v>1796</v>
      </c>
      <c r="G17" s="593">
        <v>299</v>
      </c>
      <c r="H17" s="593">
        <v>83</v>
      </c>
      <c r="I17" s="593">
        <v>350</v>
      </c>
      <c r="J17" s="593">
        <v>261</v>
      </c>
      <c r="K17" s="649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99">
        <v>12760.69</v>
      </c>
      <c r="AC17" s="600">
        <v>11453.74</v>
      </c>
      <c r="AD17" s="601">
        <v>10051</v>
      </c>
      <c r="AE17" s="579"/>
      <c r="AF17" s="579"/>
      <c r="AG17" s="579"/>
      <c r="AH17" s="579"/>
      <c r="AI17" s="579"/>
      <c r="AJ17" s="579"/>
      <c r="AK17" s="579"/>
      <c r="AL17" s="579"/>
      <c r="AM17" s="579"/>
      <c r="AN17" s="579"/>
      <c r="AO17" s="579"/>
      <c r="AP17" s="579"/>
      <c r="AQ17" s="579"/>
      <c r="AR17" s="579"/>
      <c r="AS17" s="579"/>
      <c r="AT17" s="579"/>
      <c r="AU17" s="579"/>
      <c r="AV17" s="579"/>
    </row>
    <row r="18" spans="1:48" ht="19.899999999999999" thickBot="1">
      <c r="A18" s="579"/>
      <c r="B18" s="579"/>
      <c r="C18" s="602"/>
      <c r="D18" s="602"/>
      <c r="E18" s="603"/>
      <c r="F18" s="604">
        <v>22543</v>
      </c>
      <c r="G18" s="604">
        <v>9502</v>
      </c>
      <c r="H18" s="605"/>
      <c r="I18" s="579"/>
      <c r="J18" s="605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  <c r="AF18" s="579"/>
      <c r="AG18" s="579"/>
      <c r="AH18" s="579"/>
      <c r="AI18" s="579"/>
      <c r="AJ18" s="579"/>
      <c r="AK18" s="579"/>
      <c r="AL18" s="579"/>
      <c r="AM18" s="579"/>
      <c r="AN18" s="579"/>
      <c r="AO18" s="579"/>
      <c r="AP18" s="579"/>
      <c r="AQ18" s="579"/>
      <c r="AR18" s="579"/>
      <c r="AS18" s="579"/>
      <c r="AT18" s="579"/>
      <c r="AU18" s="579"/>
      <c r="AV18" s="579"/>
    </row>
    <row r="19" spans="1:48">
      <c r="A19" s="579"/>
      <c r="B19" s="579"/>
      <c r="C19" s="579"/>
      <c r="D19" s="1323" t="s">
        <v>168</v>
      </c>
      <c r="E19" s="1324"/>
      <c r="F19" s="589"/>
      <c r="G19" s="606">
        <v>9500</v>
      </c>
      <c r="H19" s="579"/>
      <c r="I19" s="579"/>
      <c r="J19" s="579"/>
      <c r="K19" s="579"/>
      <c r="L19" s="579"/>
      <c r="M19" s="579"/>
      <c r="N19" s="579"/>
      <c r="O19" s="607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608">
        <v>10051</v>
      </c>
      <c r="AC19" s="579"/>
      <c r="AD19" s="579"/>
      <c r="AE19" s="579"/>
      <c r="AF19" s="579"/>
      <c r="AG19" s="579"/>
      <c r="AH19" s="579"/>
      <c r="AI19" s="579"/>
      <c r="AJ19" s="579"/>
      <c r="AK19" s="579"/>
      <c r="AL19" s="579"/>
      <c r="AM19" s="579"/>
      <c r="AN19" s="579"/>
      <c r="AO19" s="579"/>
      <c r="AP19" s="579"/>
      <c r="AQ19" s="579"/>
      <c r="AR19" s="579"/>
      <c r="AS19" s="579"/>
      <c r="AT19" s="579"/>
      <c r="AU19" s="579"/>
      <c r="AV19" s="579"/>
    </row>
    <row r="20" spans="1:48" ht="19.899999999999999" thickBot="1">
      <c r="A20" s="579"/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  <c r="AF20" s="579"/>
      <c r="AG20" s="579"/>
      <c r="AH20" s="579"/>
      <c r="AI20" s="579"/>
      <c r="AJ20" s="579"/>
      <c r="AK20" s="579"/>
      <c r="AL20" s="579"/>
      <c r="AM20" s="579"/>
      <c r="AN20" s="579"/>
      <c r="AO20" s="579"/>
      <c r="AP20" s="579"/>
      <c r="AQ20" s="579"/>
      <c r="AR20" s="579"/>
      <c r="AS20" s="579"/>
      <c r="AT20" s="579"/>
      <c r="AU20" s="579"/>
      <c r="AV20" s="579"/>
    </row>
    <row r="21" spans="1:48" ht="19.899999999999999" thickBot="1">
      <c r="A21" s="579"/>
      <c r="B21" s="579"/>
      <c r="C21" s="581"/>
      <c r="D21" s="581"/>
      <c r="E21" s="581"/>
      <c r="F21" s="581"/>
      <c r="G21" s="581"/>
      <c r="H21" s="581"/>
      <c r="I21" s="581"/>
      <c r="J21" s="581"/>
      <c r="K21" s="581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  <c r="AF21" s="579"/>
      <c r="AG21" s="579"/>
      <c r="AH21" s="579"/>
      <c r="AI21" s="579"/>
      <c r="AJ21" s="579"/>
      <c r="AK21" s="579"/>
      <c r="AL21" s="579"/>
      <c r="AM21" s="579"/>
      <c r="AN21" s="579"/>
      <c r="AO21" s="579"/>
      <c r="AP21" s="579"/>
      <c r="AQ21" s="579"/>
      <c r="AR21" s="579"/>
      <c r="AS21" s="579"/>
      <c r="AT21" s="579"/>
      <c r="AU21" s="579"/>
      <c r="AV21" s="579"/>
    </row>
    <row r="22" spans="1:48" ht="22.15" thickBot="1">
      <c r="A22" s="579"/>
      <c r="B22" s="582"/>
      <c r="C22" s="1314" t="s">
        <v>375</v>
      </c>
      <c r="D22" s="1315"/>
      <c r="E22" s="1315"/>
      <c r="F22" s="1315"/>
      <c r="G22" s="1315"/>
      <c r="H22" s="1315"/>
      <c r="I22" s="1315"/>
      <c r="J22" s="1315"/>
      <c r="K22" s="1316"/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  <c r="AF22" s="579"/>
      <c r="AG22" s="579"/>
      <c r="AH22" s="579"/>
      <c r="AI22" s="579"/>
      <c r="AJ22" s="579"/>
      <c r="AK22" s="579"/>
      <c r="AL22" s="579"/>
      <c r="AM22" s="579"/>
      <c r="AN22" s="579"/>
      <c r="AO22" s="579"/>
      <c r="AP22" s="579"/>
      <c r="AQ22" s="579"/>
      <c r="AR22" s="579"/>
      <c r="AS22" s="579"/>
      <c r="AT22" s="579"/>
      <c r="AU22" s="579"/>
      <c r="AV22" s="579"/>
    </row>
    <row r="23" spans="1:48" ht="51" thickBot="1">
      <c r="A23" s="583"/>
      <c r="B23" s="609" t="s">
        <v>156</v>
      </c>
      <c r="C23" s="584" t="s">
        <v>31</v>
      </c>
      <c r="D23" s="584" t="s">
        <v>32</v>
      </c>
      <c r="E23" s="584" t="s">
        <v>33</v>
      </c>
      <c r="F23" s="584" t="s">
        <v>34</v>
      </c>
      <c r="G23" s="584" t="s">
        <v>35</v>
      </c>
      <c r="H23" s="584" t="s">
        <v>37</v>
      </c>
      <c r="I23" s="584" t="s">
        <v>38</v>
      </c>
      <c r="J23" s="584" t="s">
        <v>39</v>
      </c>
      <c r="K23" s="584" t="s">
        <v>40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81"/>
      <c r="W23" s="579"/>
      <c r="X23" s="579"/>
      <c r="Y23" s="579"/>
      <c r="Z23" s="579"/>
      <c r="AA23" s="579"/>
      <c r="AB23" s="579"/>
      <c r="AC23" s="579"/>
      <c r="AD23" s="579"/>
      <c r="AE23" s="579"/>
      <c r="AF23" s="579"/>
      <c r="AG23" s="579"/>
      <c r="AH23" s="579"/>
      <c r="AI23" s="579"/>
      <c r="AJ23" s="579"/>
      <c r="AK23" s="579"/>
      <c r="AL23" s="579"/>
      <c r="AM23" s="579"/>
      <c r="AN23" s="579"/>
      <c r="AO23" s="579"/>
      <c r="AP23" s="579"/>
      <c r="AQ23" s="579"/>
      <c r="AR23" s="579"/>
      <c r="AS23" s="579"/>
      <c r="AT23" s="579"/>
      <c r="AU23" s="579"/>
      <c r="AV23" s="579"/>
    </row>
    <row r="24" spans="1:48" ht="19.899999999999999" thickBot="1">
      <c r="A24" s="583"/>
      <c r="B24" s="610">
        <v>1</v>
      </c>
      <c r="C24" s="610" t="s">
        <v>376</v>
      </c>
      <c r="D24" s="610" t="s">
        <v>89</v>
      </c>
      <c r="E24" s="611">
        <v>24</v>
      </c>
      <c r="F24" s="611">
        <v>1240</v>
      </c>
      <c r="G24" s="611">
        <v>409</v>
      </c>
      <c r="H24" s="611">
        <v>66</v>
      </c>
      <c r="I24" s="611">
        <v>1724</v>
      </c>
      <c r="J24" s="611">
        <v>1320</v>
      </c>
      <c r="K24" s="612" t="s">
        <v>377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89"/>
      <c r="V24" s="613"/>
      <c r="W24" s="579"/>
      <c r="X24" s="579"/>
      <c r="Y24" s="579"/>
      <c r="Z24" s="579"/>
      <c r="AA24" s="579"/>
      <c r="AB24" s="579"/>
      <c r="AC24" s="579"/>
      <c r="AD24" s="579"/>
      <c r="AE24" s="579"/>
      <c r="AF24" s="579"/>
      <c r="AG24" s="579"/>
      <c r="AH24" s="579"/>
      <c r="AI24" s="579"/>
      <c r="AJ24" s="579"/>
      <c r="AK24" s="579"/>
      <c r="AL24" s="579"/>
      <c r="AM24" s="579"/>
      <c r="AN24" s="579"/>
      <c r="AO24" s="579"/>
      <c r="AP24" s="579"/>
      <c r="AQ24" s="579"/>
      <c r="AR24" s="579"/>
      <c r="AS24" s="579"/>
      <c r="AT24" s="579"/>
      <c r="AU24" s="579"/>
      <c r="AV24" s="579"/>
    </row>
    <row r="25" spans="1:48" ht="19.899999999999999" thickBot="1">
      <c r="A25" s="583"/>
      <c r="B25" s="610">
        <v>2</v>
      </c>
      <c r="C25" s="610" t="s">
        <v>61</v>
      </c>
      <c r="D25" s="610" t="s">
        <v>62</v>
      </c>
      <c r="E25" s="611">
        <v>28</v>
      </c>
      <c r="F25" s="611">
        <v>888</v>
      </c>
      <c r="G25" s="611">
        <v>355</v>
      </c>
      <c r="H25" s="611">
        <v>60</v>
      </c>
      <c r="I25" s="611">
        <v>782</v>
      </c>
      <c r="J25" s="611">
        <v>377</v>
      </c>
      <c r="K25" s="582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  <c r="AF25" s="579"/>
      <c r="AG25" s="579"/>
      <c r="AH25" s="579"/>
      <c r="AI25" s="579"/>
      <c r="AJ25" s="579"/>
      <c r="AK25" s="579"/>
      <c r="AL25" s="579"/>
      <c r="AM25" s="579"/>
      <c r="AN25" s="579"/>
      <c r="AO25" s="579"/>
      <c r="AP25" s="579"/>
      <c r="AQ25" s="579"/>
      <c r="AR25" s="579"/>
      <c r="AS25" s="579"/>
      <c r="AT25" s="579"/>
      <c r="AU25" s="579"/>
      <c r="AV25" s="579"/>
    </row>
    <row r="26" spans="1:48" ht="19.899999999999999" thickBot="1">
      <c r="A26" s="583"/>
      <c r="B26" s="610">
        <v>3</v>
      </c>
      <c r="C26" s="631" t="s">
        <v>64</v>
      </c>
      <c r="D26" s="631" t="s">
        <v>65</v>
      </c>
      <c r="E26" s="632">
        <v>32</v>
      </c>
      <c r="F26" s="632">
        <v>2161</v>
      </c>
      <c r="G26" s="632">
        <v>1404</v>
      </c>
      <c r="H26" s="632">
        <v>35</v>
      </c>
      <c r="I26" s="632">
        <v>430</v>
      </c>
      <c r="J26" s="632">
        <v>435</v>
      </c>
      <c r="K26" s="633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  <c r="AF26" s="579"/>
      <c r="AG26" s="579"/>
      <c r="AH26" s="579"/>
      <c r="AI26" s="579"/>
      <c r="AJ26" s="579"/>
      <c r="AK26" s="579"/>
      <c r="AL26" s="579"/>
      <c r="AM26" s="579"/>
      <c r="AN26" s="579"/>
      <c r="AO26" s="579"/>
      <c r="AP26" s="579"/>
      <c r="AQ26" s="579"/>
      <c r="AR26" s="579"/>
      <c r="AS26" s="579"/>
      <c r="AT26" s="579"/>
      <c r="AU26" s="579"/>
      <c r="AV26" s="579"/>
    </row>
    <row r="27" spans="1:48" ht="19.899999999999999" thickBot="1">
      <c r="A27" s="583"/>
      <c r="B27" s="610">
        <v>4</v>
      </c>
      <c r="C27" s="610" t="s">
        <v>69</v>
      </c>
      <c r="D27" s="610" t="s">
        <v>70</v>
      </c>
      <c r="E27" s="611">
        <v>24</v>
      </c>
      <c r="F27" s="611">
        <v>963</v>
      </c>
      <c r="G27" s="611">
        <v>347</v>
      </c>
      <c r="H27" s="611">
        <v>64</v>
      </c>
      <c r="I27" s="611">
        <v>2411</v>
      </c>
      <c r="J27" s="611">
        <v>841</v>
      </c>
      <c r="K27" s="582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  <c r="AF27" s="579"/>
      <c r="AG27" s="579"/>
      <c r="AH27" s="579"/>
      <c r="AI27" s="579"/>
      <c r="AJ27" s="579"/>
      <c r="AK27" s="579"/>
      <c r="AL27" s="579"/>
      <c r="AM27" s="579"/>
      <c r="AN27" s="579"/>
      <c r="AO27" s="579"/>
      <c r="AP27" s="579"/>
      <c r="AQ27" s="579"/>
      <c r="AR27" s="579"/>
      <c r="AS27" s="579"/>
      <c r="AT27" s="579"/>
      <c r="AU27" s="579"/>
      <c r="AV27" s="579"/>
    </row>
    <row r="28" spans="1:48" ht="19.899999999999999" thickBot="1">
      <c r="A28" s="583"/>
      <c r="B28" s="610">
        <v>5</v>
      </c>
      <c r="C28" s="610" t="s">
        <v>71</v>
      </c>
      <c r="D28" s="610" t="s">
        <v>72</v>
      </c>
      <c r="E28" s="611">
        <v>28</v>
      </c>
      <c r="F28" s="611">
        <v>859</v>
      </c>
      <c r="G28" s="611">
        <v>326</v>
      </c>
      <c r="H28" s="611">
        <v>62</v>
      </c>
      <c r="I28" s="611">
        <v>3000</v>
      </c>
      <c r="J28" s="611">
        <v>841</v>
      </c>
      <c r="K28" s="582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  <c r="AF28" s="579"/>
      <c r="AG28" s="579"/>
      <c r="AH28" s="579"/>
      <c r="AI28" s="579"/>
      <c r="AJ28" s="579"/>
      <c r="AK28" s="579"/>
      <c r="AL28" s="579"/>
      <c r="AM28" s="579"/>
      <c r="AN28" s="579"/>
      <c r="AO28" s="579"/>
      <c r="AP28" s="579"/>
      <c r="AQ28" s="579"/>
      <c r="AR28" s="579"/>
      <c r="AS28" s="579"/>
      <c r="AT28" s="579"/>
      <c r="AU28" s="579"/>
      <c r="AV28" s="579"/>
    </row>
    <row r="29" spans="1:48" ht="19.899999999999999" thickBot="1">
      <c r="A29" s="583"/>
      <c r="B29" s="610">
        <v>6</v>
      </c>
      <c r="C29" s="610" t="s">
        <v>73</v>
      </c>
      <c r="D29" s="610" t="s">
        <v>72</v>
      </c>
      <c r="E29" s="611">
        <v>44</v>
      </c>
      <c r="F29" s="611">
        <v>1099</v>
      </c>
      <c r="G29" s="611">
        <v>659</v>
      </c>
      <c r="H29" s="611">
        <v>40</v>
      </c>
      <c r="I29" s="611">
        <v>3206</v>
      </c>
      <c r="J29" s="611">
        <v>493</v>
      </c>
      <c r="K29" s="582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  <c r="AF29" s="579"/>
      <c r="AG29" s="579"/>
      <c r="AH29" s="579"/>
      <c r="AI29" s="579"/>
      <c r="AJ29" s="579"/>
      <c r="AK29" s="579"/>
      <c r="AL29" s="579"/>
      <c r="AM29" s="579"/>
      <c r="AN29" s="579"/>
      <c r="AO29" s="579"/>
      <c r="AP29" s="579"/>
      <c r="AQ29" s="579"/>
      <c r="AR29" s="579"/>
      <c r="AS29" s="579"/>
      <c r="AT29" s="579"/>
      <c r="AU29" s="579"/>
      <c r="AV29" s="579"/>
    </row>
    <row r="30" spans="1:48" ht="19.899999999999999" thickBot="1">
      <c r="A30" s="583"/>
      <c r="B30" s="614">
        <v>7</v>
      </c>
      <c r="C30" s="614" t="s">
        <v>74</v>
      </c>
      <c r="D30" s="614" t="s">
        <v>75</v>
      </c>
      <c r="E30" s="615">
        <v>36</v>
      </c>
      <c r="F30" s="615">
        <v>3196</v>
      </c>
      <c r="G30" s="615">
        <v>1406</v>
      </c>
      <c r="H30" s="615">
        <v>56</v>
      </c>
      <c r="I30" s="615">
        <v>1306</v>
      </c>
      <c r="J30" s="615">
        <v>812</v>
      </c>
      <c r="K30" s="616" t="s">
        <v>235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  <c r="AF30" s="579"/>
      <c r="AG30" s="579"/>
      <c r="AH30" s="579"/>
      <c r="AI30" s="579"/>
      <c r="AJ30" s="579"/>
      <c r="AK30" s="579"/>
      <c r="AL30" s="579"/>
      <c r="AM30" s="579"/>
      <c r="AN30" s="579"/>
      <c r="AO30" s="579"/>
      <c r="AP30" s="579"/>
      <c r="AQ30" s="579"/>
      <c r="AR30" s="579"/>
      <c r="AS30" s="579"/>
      <c r="AT30" s="579"/>
      <c r="AU30" s="579"/>
      <c r="AV30" s="579"/>
    </row>
    <row r="31" spans="1:48" ht="19.899999999999999" thickBot="1">
      <c r="A31" s="583"/>
      <c r="B31" s="631">
        <v>8</v>
      </c>
      <c r="C31" s="631" t="s">
        <v>76</v>
      </c>
      <c r="D31" s="631" t="s">
        <v>77</v>
      </c>
      <c r="E31" s="632">
        <v>20</v>
      </c>
      <c r="F31" s="632">
        <v>717</v>
      </c>
      <c r="G31" s="632">
        <v>323</v>
      </c>
      <c r="H31" s="632">
        <v>55</v>
      </c>
      <c r="I31" s="632">
        <v>264</v>
      </c>
      <c r="J31" s="632">
        <v>203</v>
      </c>
      <c r="K31" s="633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  <c r="AF31" s="579"/>
      <c r="AG31" s="579"/>
      <c r="AH31" s="579"/>
      <c r="AI31" s="579"/>
      <c r="AJ31" s="579"/>
      <c r="AK31" s="579"/>
      <c r="AL31" s="579"/>
      <c r="AM31" s="579"/>
      <c r="AN31" s="579"/>
      <c r="AO31" s="579"/>
      <c r="AP31" s="579"/>
      <c r="AQ31" s="579"/>
      <c r="AR31" s="579"/>
      <c r="AS31" s="579"/>
      <c r="AT31" s="579"/>
      <c r="AU31" s="579"/>
      <c r="AV31" s="579"/>
    </row>
    <row r="32" spans="1:48" ht="19.899999999999999" thickBot="1">
      <c r="A32" s="583"/>
      <c r="B32" s="610">
        <v>9</v>
      </c>
      <c r="C32" s="610" t="s">
        <v>78</v>
      </c>
      <c r="D32" s="610" t="s">
        <v>79</v>
      </c>
      <c r="E32" s="611">
        <v>52</v>
      </c>
      <c r="F32" s="611">
        <v>1046</v>
      </c>
      <c r="G32" s="611">
        <v>1025</v>
      </c>
      <c r="H32" s="611">
        <v>2</v>
      </c>
      <c r="I32" s="611">
        <v>553</v>
      </c>
      <c r="J32" s="611">
        <v>218</v>
      </c>
      <c r="K32" s="582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  <c r="AF32" s="579"/>
      <c r="AG32" s="579"/>
      <c r="AH32" s="579"/>
      <c r="AI32" s="579"/>
      <c r="AJ32" s="579"/>
      <c r="AK32" s="579"/>
      <c r="AL32" s="579"/>
      <c r="AM32" s="579"/>
      <c r="AN32" s="579"/>
      <c r="AO32" s="579"/>
      <c r="AP32" s="579"/>
      <c r="AQ32" s="579"/>
      <c r="AR32" s="579"/>
      <c r="AS32" s="579"/>
      <c r="AT32" s="579"/>
      <c r="AU32" s="579"/>
      <c r="AV32" s="579"/>
    </row>
    <row r="33" spans="1:48" ht="19.899999999999999" thickBot="1">
      <c r="A33" s="583"/>
      <c r="B33" s="614">
        <v>10</v>
      </c>
      <c r="C33" s="614" t="s">
        <v>80</v>
      </c>
      <c r="D33" s="614" t="s">
        <v>81</v>
      </c>
      <c r="E33" s="615">
        <v>32</v>
      </c>
      <c r="F33" s="615">
        <v>1639</v>
      </c>
      <c r="G33" s="615">
        <v>492</v>
      </c>
      <c r="H33" s="615">
        <v>70</v>
      </c>
      <c r="I33" s="615">
        <v>1849</v>
      </c>
      <c r="J33" s="615">
        <v>609</v>
      </c>
      <c r="K33" s="616" t="s">
        <v>378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82"/>
      <c r="Z33" s="579"/>
      <c r="AA33" s="579"/>
      <c r="AB33" s="579"/>
      <c r="AC33" s="579"/>
      <c r="AD33" s="579"/>
      <c r="AE33" s="579"/>
      <c r="AF33" s="579"/>
      <c r="AG33" s="579"/>
      <c r="AH33" s="579"/>
      <c r="AI33" s="579"/>
      <c r="AJ33" s="579"/>
      <c r="AK33" s="579"/>
      <c r="AL33" s="579"/>
      <c r="AM33" s="579"/>
      <c r="AN33" s="579"/>
      <c r="AO33" s="579"/>
      <c r="AP33" s="579"/>
      <c r="AQ33" s="579"/>
      <c r="AR33" s="579"/>
      <c r="AS33" s="579"/>
      <c r="AT33" s="579"/>
      <c r="AU33" s="579"/>
      <c r="AV33" s="579"/>
    </row>
    <row r="34" spans="1:48" ht="19.899999999999999" thickBot="1">
      <c r="A34" s="583"/>
      <c r="B34" s="614">
        <v>11</v>
      </c>
      <c r="C34" s="614" t="s">
        <v>82</v>
      </c>
      <c r="D34" s="614" t="s">
        <v>65</v>
      </c>
      <c r="E34" s="615">
        <v>28</v>
      </c>
      <c r="F34" s="615">
        <v>1023</v>
      </c>
      <c r="G34" s="615">
        <v>1003</v>
      </c>
      <c r="H34" s="615">
        <v>13</v>
      </c>
      <c r="I34" s="615">
        <v>587</v>
      </c>
      <c r="J34" s="615">
        <v>464</v>
      </c>
      <c r="K34" s="616" t="s">
        <v>235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  <c r="AF34" s="579"/>
      <c r="AG34" s="579"/>
      <c r="AH34" s="579"/>
      <c r="AI34" s="579"/>
      <c r="AJ34" s="579"/>
      <c r="AK34" s="579"/>
      <c r="AL34" s="579"/>
      <c r="AM34" s="579"/>
      <c r="AN34" s="579"/>
      <c r="AO34" s="579"/>
      <c r="AP34" s="579"/>
      <c r="AQ34" s="579"/>
      <c r="AR34" s="579"/>
      <c r="AS34" s="579"/>
      <c r="AT34" s="579"/>
      <c r="AU34" s="579"/>
      <c r="AV34" s="579"/>
    </row>
    <row r="35" spans="1:48" ht="19.899999999999999" thickBot="1">
      <c r="A35" s="583"/>
      <c r="B35" s="614">
        <v>12</v>
      </c>
      <c r="C35" s="614" t="s">
        <v>379</v>
      </c>
      <c r="D35" s="614" t="s">
        <v>380</v>
      </c>
      <c r="E35" s="615">
        <v>20</v>
      </c>
      <c r="F35" s="615">
        <v>758</v>
      </c>
      <c r="G35" s="615">
        <v>286</v>
      </c>
      <c r="H35" s="615">
        <v>63</v>
      </c>
      <c r="I35" s="615">
        <v>2273</v>
      </c>
      <c r="J35" s="615">
        <v>762</v>
      </c>
      <c r="K35" s="616" t="s">
        <v>68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  <c r="AF35" s="579"/>
      <c r="AG35" s="579"/>
      <c r="AH35" s="579"/>
      <c r="AI35" s="579"/>
      <c r="AJ35" s="579"/>
      <c r="AK35" s="579"/>
      <c r="AL35" s="579"/>
      <c r="AM35" s="579"/>
      <c r="AN35" s="579"/>
      <c r="AO35" s="579"/>
      <c r="AP35" s="579"/>
      <c r="AQ35" s="579"/>
      <c r="AR35" s="579"/>
      <c r="AS35" s="579"/>
      <c r="AT35" s="579"/>
      <c r="AU35" s="579"/>
      <c r="AV35" s="579"/>
    </row>
    <row r="36" spans="1:48" ht="19.899999999999999" thickBot="1">
      <c r="A36" s="583"/>
      <c r="B36" s="614">
        <v>13</v>
      </c>
      <c r="C36" s="614" t="s">
        <v>351</v>
      </c>
      <c r="D36" s="614" t="s">
        <v>352</v>
      </c>
      <c r="E36" s="615">
        <v>24</v>
      </c>
      <c r="F36" s="615">
        <v>750</v>
      </c>
      <c r="G36" s="615">
        <v>300</v>
      </c>
      <c r="H36" s="615">
        <v>60</v>
      </c>
      <c r="I36" s="615" t="s">
        <v>164</v>
      </c>
      <c r="J36" s="615">
        <v>1000</v>
      </c>
      <c r="K36" s="616" t="s">
        <v>68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  <c r="AF36" s="579"/>
      <c r="AG36" s="579"/>
      <c r="AH36" s="579"/>
      <c r="AI36" s="579"/>
      <c r="AJ36" s="579"/>
      <c r="AK36" s="579"/>
      <c r="AL36" s="579"/>
      <c r="AM36" s="579"/>
      <c r="AN36" s="579"/>
      <c r="AO36" s="579"/>
      <c r="AP36" s="579"/>
      <c r="AQ36" s="579"/>
      <c r="AR36" s="579"/>
      <c r="AS36" s="579"/>
      <c r="AT36" s="579"/>
      <c r="AU36" s="579"/>
      <c r="AV36" s="579"/>
    </row>
    <row r="37" spans="1:48" ht="19.899999999999999" thickBot="1">
      <c r="A37" s="583"/>
      <c r="B37" s="631">
        <v>14</v>
      </c>
      <c r="C37" s="631" t="s">
        <v>83</v>
      </c>
      <c r="D37" s="631" t="s">
        <v>84</v>
      </c>
      <c r="E37" s="632">
        <v>44</v>
      </c>
      <c r="F37" s="632">
        <v>3273</v>
      </c>
      <c r="G37" s="632">
        <v>1047</v>
      </c>
      <c r="H37" s="632">
        <v>68</v>
      </c>
      <c r="I37" s="632">
        <v>4131</v>
      </c>
      <c r="J37" s="632">
        <v>1218</v>
      </c>
      <c r="K37" s="633"/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  <c r="AF37" s="579"/>
      <c r="AG37" s="579"/>
      <c r="AH37" s="579"/>
      <c r="AI37" s="579"/>
      <c r="AJ37" s="579"/>
      <c r="AK37" s="579"/>
      <c r="AL37" s="579"/>
      <c r="AM37" s="579"/>
      <c r="AN37" s="579"/>
      <c r="AO37" s="579"/>
      <c r="AP37" s="579"/>
      <c r="AQ37" s="579"/>
      <c r="AR37" s="579"/>
      <c r="AS37" s="579"/>
      <c r="AT37" s="579"/>
      <c r="AU37" s="579"/>
      <c r="AV37" s="579"/>
    </row>
    <row r="38" spans="1:48" ht="19.899999999999999" thickBot="1">
      <c r="A38" s="583"/>
      <c r="B38" s="614">
        <v>15</v>
      </c>
      <c r="C38" s="614" t="s">
        <v>85</v>
      </c>
      <c r="D38" s="614" t="s">
        <v>72</v>
      </c>
      <c r="E38" s="615">
        <v>32</v>
      </c>
      <c r="F38" s="615">
        <v>1427</v>
      </c>
      <c r="G38" s="615">
        <v>899</v>
      </c>
      <c r="H38" s="615">
        <v>37</v>
      </c>
      <c r="I38" s="615">
        <v>1058</v>
      </c>
      <c r="J38" s="615">
        <v>522</v>
      </c>
      <c r="K38" s="616" t="s">
        <v>235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  <c r="AF38" s="579"/>
      <c r="AG38" s="579"/>
      <c r="AH38" s="579"/>
      <c r="AI38" s="579"/>
      <c r="AJ38" s="579"/>
      <c r="AK38" s="579"/>
      <c r="AL38" s="579"/>
      <c r="AM38" s="579"/>
      <c r="AN38" s="579"/>
      <c r="AO38" s="579"/>
      <c r="AP38" s="579"/>
      <c r="AQ38" s="579"/>
      <c r="AR38" s="579"/>
      <c r="AS38" s="579"/>
      <c r="AT38" s="579"/>
      <c r="AU38" s="579"/>
      <c r="AV38" s="579"/>
    </row>
    <row r="39" spans="1:48" s="647" customFormat="1" ht="19.899999999999999" thickBot="1">
      <c r="A39" s="645"/>
      <c r="B39" s="631">
        <v>16</v>
      </c>
      <c r="C39" s="631" t="s">
        <v>86</v>
      </c>
      <c r="D39" s="631" t="s">
        <v>87</v>
      </c>
      <c r="E39" s="632">
        <v>28</v>
      </c>
      <c r="F39" s="632">
        <v>901</v>
      </c>
      <c r="G39" s="632">
        <v>405</v>
      </c>
      <c r="H39" s="632">
        <v>55</v>
      </c>
      <c r="I39" s="632">
        <v>5513</v>
      </c>
      <c r="J39" s="632">
        <v>2030</v>
      </c>
      <c r="K39" s="633"/>
      <c r="L39" s="646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6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</row>
    <row r="40" spans="1:48" ht="19.899999999999999" thickBot="1">
      <c r="A40" s="583"/>
      <c r="B40" s="614">
        <v>17</v>
      </c>
      <c r="C40" s="614" t="s">
        <v>88</v>
      </c>
      <c r="D40" s="614" t="s">
        <v>89</v>
      </c>
      <c r="E40" s="615">
        <v>28</v>
      </c>
      <c r="F40" s="615">
        <v>1172</v>
      </c>
      <c r="G40" s="615">
        <v>527</v>
      </c>
      <c r="H40" s="615">
        <v>55</v>
      </c>
      <c r="I40" s="615">
        <v>2051</v>
      </c>
      <c r="J40" s="615">
        <v>522</v>
      </c>
      <c r="K40" s="616" t="s">
        <v>235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  <c r="AF40" s="579"/>
      <c r="AG40" s="579"/>
      <c r="AH40" s="579"/>
      <c r="AI40" s="579"/>
      <c r="AJ40" s="579"/>
      <c r="AK40" s="579"/>
      <c r="AL40" s="579"/>
      <c r="AM40" s="579"/>
      <c r="AN40" s="579"/>
      <c r="AO40" s="579"/>
      <c r="AP40" s="579"/>
      <c r="AQ40" s="579"/>
      <c r="AR40" s="579"/>
      <c r="AS40" s="579"/>
      <c r="AT40" s="579"/>
      <c r="AU40" s="579"/>
      <c r="AV40" s="579"/>
    </row>
    <row r="41" spans="1:48" ht="19.899999999999999" thickBot="1">
      <c r="A41" s="583"/>
      <c r="B41" s="631">
        <v>18</v>
      </c>
      <c r="C41" s="631" t="s">
        <v>90</v>
      </c>
      <c r="D41" s="631" t="s">
        <v>84</v>
      </c>
      <c r="E41" s="632">
        <v>48</v>
      </c>
      <c r="F41" s="632">
        <v>547</v>
      </c>
      <c r="G41" s="632">
        <v>509</v>
      </c>
      <c r="H41" s="632">
        <v>7</v>
      </c>
      <c r="I41" s="632">
        <v>6498</v>
      </c>
      <c r="J41" s="632">
        <v>550</v>
      </c>
      <c r="K41" s="633"/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  <c r="AF41" s="579"/>
      <c r="AG41" s="579"/>
      <c r="AH41" s="579"/>
      <c r="AI41" s="579"/>
      <c r="AJ41" s="579"/>
      <c r="AK41" s="579"/>
      <c r="AL41" s="579"/>
      <c r="AM41" s="579"/>
      <c r="AN41" s="579"/>
      <c r="AO41" s="579"/>
      <c r="AP41" s="579"/>
      <c r="AQ41" s="579"/>
      <c r="AR41" s="579"/>
      <c r="AS41" s="579"/>
      <c r="AT41" s="579"/>
      <c r="AU41" s="579"/>
      <c r="AV41" s="579"/>
    </row>
    <row r="42" spans="1:48" ht="19.899999999999999" thickBot="1">
      <c r="A42" s="583"/>
      <c r="B42" s="610">
        <v>19</v>
      </c>
      <c r="C42" s="610" t="s">
        <v>91</v>
      </c>
      <c r="D42" s="610" t="s">
        <v>89</v>
      </c>
      <c r="E42" s="611">
        <v>36</v>
      </c>
      <c r="F42" s="611">
        <v>497</v>
      </c>
      <c r="G42" s="611">
        <v>496</v>
      </c>
      <c r="H42" s="611">
        <v>0</v>
      </c>
      <c r="I42" s="611">
        <v>1297</v>
      </c>
      <c r="J42" s="611">
        <v>200</v>
      </c>
      <c r="K42" s="582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  <c r="AF42" s="579"/>
      <c r="AG42" s="579"/>
      <c r="AH42" s="579"/>
      <c r="AI42" s="579"/>
      <c r="AJ42" s="579"/>
      <c r="AK42" s="579"/>
      <c r="AL42" s="579"/>
      <c r="AM42" s="579"/>
      <c r="AN42" s="579"/>
      <c r="AO42" s="579"/>
      <c r="AP42" s="579"/>
      <c r="AQ42" s="579"/>
      <c r="AR42" s="579"/>
      <c r="AS42" s="579"/>
      <c r="AT42" s="579"/>
      <c r="AU42" s="579"/>
      <c r="AV42" s="579"/>
    </row>
    <row r="43" spans="1:48" ht="19.899999999999999" thickBot="1">
      <c r="A43" s="583"/>
      <c r="B43" s="610">
        <v>20</v>
      </c>
      <c r="C43" s="610" t="s">
        <v>92</v>
      </c>
      <c r="D43" s="610" t="s">
        <v>93</v>
      </c>
      <c r="E43" s="611">
        <v>24</v>
      </c>
      <c r="F43" s="611">
        <v>651</v>
      </c>
      <c r="G43" s="611">
        <v>378</v>
      </c>
      <c r="H43" s="611">
        <v>42</v>
      </c>
      <c r="I43" s="611">
        <v>373</v>
      </c>
      <c r="J43" s="611">
        <v>174</v>
      </c>
      <c r="K43" s="582"/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  <c r="AF43" s="579"/>
      <c r="AG43" s="579"/>
      <c r="AH43" s="579"/>
      <c r="AI43" s="579"/>
      <c r="AJ43" s="579"/>
      <c r="AK43" s="579"/>
      <c r="AL43" s="579"/>
      <c r="AM43" s="579"/>
      <c r="AN43" s="579"/>
      <c r="AO43" s="579"/>
      <c r="AP43" s="579"/>
      <c r="AQ43" s="579"/>
      <c r="AR43" s="579"/>
      <c r="AS43" s="579"/>
      <c r="AT43" s="579"/>
      <c r="AU43" s="579"/>
      <c r="AV43" s="579"/>
    </row>
    <row r="44" spans="1:48" ht="19.899999999999999" thickBot="1">
      <c r="A44" s="583"/>
      <c r="B44" s="614">
        <v>21</v>
      </c>
      <c r="C44" s="614" t="s">
        <v>94</v>
      </c>
      <c r="D44" s="614" t="s">
        <v>67</v>
      </c>
      <c r="E44" s="615">
        <v>24</v>
      </c>
      <c r="F44" s="615">
        <v>1600</v>
      </c>
      <c r="G44" s="615">
        <v>912</v>
      </c>
      <c r="H44" s="615">
        <v>43</v>
      </c>
      <c r="I44" s="615">
        <v>258</v>
      </c>
      <c r="J44" s="615">
        <v>450</v>
      </c>
      <c r="K44" s="616" t="s">
        <v>235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  <c r="AF44" s="579"/>
      <c r="AG44" s="579"/>
      <c r="AH44" s="579"/>
      <c r="AI44" s="579"/>
      <c r="AJ44" s="579"/>
      <c r="AK44" s="579"/>
      <c r="AL44" s="579"/>
      <c r="AM44" s="579"/>
      <c r="AN44" s="579"/>
      <c r="AO44" s="579"/>
      <c r="AP44" s="579"/>
      <c r="AQ44" s="579"/>
      <c r="AR44" s="579"/>
      <c r="AS44" s="579"/>
      <c r="AT44" s="579"/>
      <c r="AU44" s="579"/>
      <c r="AV44" s="579"/>
    </row>
    <row r="45" spans="1:48" ht="19.899999999999999" thickBot="1">
      <c r="A45" s="589"/>
      <c r="B45" s="610">
        <v>22</v>
      </c>
      <c r="C45" s="610" t="s">
        <v>95</v>
      </c>
      <c r="D45" s="610" t="s">
        <v>65</v>
      </c>
      <c r="E45" s="611">
        <v>20</v>
      </c>
      <c r="F45" s="611">
        <v>576</v>
      </c>
      <c r="G45" s="611">
        <v>426</v>
      </c>
      <c r="H45" s="611">
        <v>26</v>
      </c>
      <c r="I45" s="611">
        <v>415</v>
      </c>
      <c r="J45" s="611">
        <v>348</v>
      </c>
      <c r="K45" s="582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9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</row>
    <row r="46" spans="1:48" ht="19.899999999999999" thickBot="1">
      <c r="A46" s="589"/>
      <c r="B46" s="631">
        <v>23</v>
      </c>
      <c r="C46" s="631" t="s">
        <v>96</v>
      </c>
      <c r="D46" s="631" t="s">
        <v>67</v>
      </c>
      <c r="E46" s="632">
        <v>36</v>
      </c>
      <c r="F46" s="632">
        <v>2120</v>
      </c>
      <c r="G46" s="632">
        <v>954</v>
      </c>
      <c r="H46" s="632">
        <v>55</v>
      </c>
      <c r="I46" s="632">
        <v>450</v>
      </c>
      <c r="J46" s="632">
        <v>406</v>
      </c>
      <c r="K46" s="633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  <c r="AF46" s="579"/>
      <c r="AG46" s="579"/>
      <c r="AH46" s="579"/>
      <c r="AI46" s="579"/>
      <c r="AJ46" s="579"/>
      <c r="AK46" s="579"/>
      <c r="AL46" s="579"/>
      <c r="AM46" s="579"/>
      <c r="AN46" s="579"/>
      <c r="AO46" s="579"/>
      <c r="AP46" s="579"/>
      <c r="AQ46" s="579"/>
      <c r="AR46" s="579"/>
      <c r="AS46" s="579"/>
      <c r="AT46" s="579"/>
      <c r="AU46" s="579"/>
      <c r="AV46" s="579"/>
    </row>
    <row r="47" spans="1:48" ht="19.899999999999999" thickBot="1">
      <c r="A47" s="579"/>
      <c r="B47" s="579"/>
      <c r="C47" s="605"/>
      <c r="D47" s="605"/>
      <c r="E47" s="617"/>
      <c r="F47" s="611">
        <v>27863</v>
      </c>
      <c r="G47" s="611">
        <v>14888</v>
      </c>
      <c r="H47" s="618"/>
      <c r="I47" s="618"/>
      <c r="J47" s="618"/>
      <c r="K47" s="57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  <c r="AF47" s="579"/>
      <c r="AG47" s="579"/>
      <c r="AH47" s="579"/>
      <c r="AI47" s="579"/>
      <c r="AJ47" s="579"/>
      <c r="AK47" s="579"/>
      <c r="AL47" s="579"/>
      <c r="AM47" s="579"/>
      <c r="AN47" s="579"/>
      <c r="AO47" s="579"/>
      <c r="AP47" s="579"/>
      <c r="AQ47" s="579"/>
      <c r="AR47" s="579"/>
      <c r="AS47" s="579"/>
      <c r="AT47" s="579"/>
      <c r="AU47" s="579"/>
      <c r="AV47" s="579"/>
    </row>
    <row r="48" spans="1:48" ht="19.899999999999999" thickBot="1">
      <c r="A48" s="579"/>
      <c r="B48" s="579"/>
      <c r="C48" s="1325" t="s">
        <v>168</v>
      </c>
      <c r="D48" s="1326"/>
      <c r="E48" s="1327"/>
      <c r="F48" s="589"/>
      <c r="G48" s="619">
        <v>14888</v>
      </c>
      <c r="H48" s="579"/>
      <c r="I48" s="579"/>
      <c r="J48" s="579"/>
      <c r="K48" s="57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  <c r="AF48" s="579"/>
      <c r="AG48" s="579"/>
      <c r="AH48" s="579"/>
      <c r="AI48" s="579"/>
      <c r="AJ48" s="579"/>
      <c r="AK48" s="579"/>
      <c r="AL48" s="579"/>
      <c r="AM48" s="579"/>
      <c r="AN48" s="579"/>
      <c r="AO48" s="579"/>
      <c r="AP48" s="579"/>
      <c r="AQ48" s="579"/>
      <c r="AR48" s="579"/>
      <c r="AS48" s="579"/>
      <c r="AT48" s="579"/>
      <c r="AU48" s="579"/>
      <c r="AV48" s="579"/>
    </row>
    <row r="49" spans="1:48" ht="19.899999999999999" thickBot="1">
      <c r="A49" s="579"/>
      <c r="B49" s="579"/>
      <c r="C49" s="579"/>
      <c r="D49" s="579"/>
      <c r="E49" s="579"/>
      <c r="F49" s="589"/>
      <c r="G49" s="620">
        <v>14890</v>
      </c>
      <c r="H49" s="579"/>
      <c r="I49" s="579"/>
      <c r="J49" s="579"/>
      <c r="K49" s="57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  <c r="AF49" s="579"/>
      <c r="AG49" s="579"/>
      <c r="AH49" s="579"/>
      <c r="AI49" s="579"/>
      <c r="AJ49" s="579"/>
      <c r="AK49" s="579"/>
      <c r="AL49" s="579"/>
      <c r="AM49" s="579"/>
      <c r="AN49" s="579"/>
      <c r="AO49" s="579"/>
      <c r="AP49" s="579"/>
      <c r="AQ49" s="579"/>
      <c r="AR49" s="579"/>
      <c r="AS49" s="579"/>
      <c r="AT49" s="579"/>
      <c r="AU49" s="579"/>
      <c r="AV49" s="579"/>
    </row>
    <row r="50" spans="1:48" ht="19.899999999999999" thickBot="1">
      <c r="A50" s="621"/>
      <c r="B50" s="602"/>
      <c r="C50" s="602"/>
      <c r="D50" s="602"/>
      <c r="E50" s="602"/>
      <c r="F50" s="636"/>
      <c r="G50" s="638"/>
      <c r="H50" s="637"/>
      <c r="I50" s="602"/>
      <c r="J50" s="602"/>
      <c r="K50" s="602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  <c r="AF50" s="579"/>
      <c r="AG50" s="579"/>
      <c r="AH50" s="579"/>
      <c r="AI50" s="579"/>
      <c r="AJ50" s="579"/>
      <c r="AK50" s="579"/>
      <c r="AL50" s="579"/>
      <c r="AM50" s="579"/>
      <c r="AN50" s="579"/>
      <c r="AO50" s="579"/>
      <c r="AP50" s="579"/>
      <c r="AQ50" s="579"/>
      <c r="AR50" s="579"/>
      <c r="AS50" s="579"/>
      <c r="AT50" s="579"/>
      <c r="AU50" s="579"/>
      <c r="AV50" s="579"/>
    </row>
    <row r="51" spans="1:48" ht="19.899999999999999" thickBot="1">
      <c r="A51" s="621"/>
      <c r="B51" s="602"/>
      <c r="C51" s="622"/>
      <c r="D51" s="622"/>
      <c r="E51" s="622"/>
      <c r="F51" s="634"/>
      <c r="G51" s="635"/>
      <c r="H51" s="622"/>
      <c r="I51" s="622"/>
      <c r="J51" s="622"/>
      <c r="K51" s="622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  <c r="AF51" s="579"/>
      <c r="AG51" s="579"/>
      <c r="AH51" s="579"/>
      <c r="AI51" s="579"/>
      <c r="AJ51" s="579"/>
      <c r="AK51" s="579"/>
      <c r="AL51" s="579"/>
      <c r="AM51" s="579"/>
      <c r="AN51" s="579"/>
      <c r="AO51" s="579"/>
      <c r="AP51" s="579"/>
      <c r="AQ51" s="579"/>
      <c r="AR51" s="579"/>
      <c r="AS51" s="579"/>
      <c r="AT51" s="579"/>
      <c r="AU51" s="579"/>
      <c r="AV51" s="579"/>
    </row>
    <row r="52" spans="1:48" ht="22.15" thickBot="1">
      <c r="A52" s="621"/>
      <c r="B52" s="613"/>
      <c r="C52" s="1314" t="s">
        <v>381</v>
      </c>
      <c r="D52" s="1315"/>
      <c r="E52" s="1315"/>
      <c r="F52" s="1315"/>
      <c r="G52" s="1315"/>
      <c r="H52" s="1315"/>
      <c r="I52" s="1315"/>
      <c r="J52" s="1315"/>
      <c r="K52" s="1316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  <c r="AF52" s="579"/>
      <c r="AG52" s="579"/>
      <c r="AH52" s="579"/>
      <c r="AI52" s="579"/>
      <c r="AJ52" s="579"/>
      <c r="AK52" s="579"/>
      <c r="AL52" s="579"/>
      <c r="AM52" s="579"/>
      <c r="AN52" s="579"/>
      <c r="AO52" s="579"/>
      <c r="AP52" s="579"/>
      <c r="AQ52" s="579"/>
      <c r="AR52" s="579"/>
      <c r="AS52" s="579"/>
      <c r="AT52" s="579"/>
      <c r="AU52" s="579"/>
      <c r="AV52" s="579"/>
    </row>
    <row r="53" spans="1:48" ht="51" thickBot="1">
      <c r="A53" s="583"/>
      <c r="B53" s="584" t="s">
        <v>156</v>
      </c>
      <c r="C53" s="584" t="s">
        <v>31</v>
      </c>
      <c r="D53" s="584" t="s">
        <v>32</v>
      </c>
      <c r="E53" s="584" t="s">
        <v>33</v>
      </c>
      <c r="F53" s="584" t="s">
        <v>34</v>
      </c>
      <c r="G53" s="584" t="s">
        <v>35</v>
      </c>
      <c r="H53" s="584" t="s">
        <v>37</v>
      </c>
      <c r="I53" s="584" t="s">
        <v>38</v>
      </c>
      <c r="J53" s="584" t="s">
        <v>39</v>
      </c>
      <c r="K53" s="585" t="s">
        <v>40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  <c r="AF53" s="579"/>
      <c r="AG53" s="579"/>
      <c r="AH53" s="579"/>
      <c r="AI53" s="579"/>
      <c r="AJ53" s="579"/>
      <c r="AK53" s="579"/>
      <c r="AL53" s="579"/>
      <c r="AM53" s="579"/>
      <c r="AN53" s="579"/>
      <c r="AO53" s="579"/>
      <c r="AP53" s="579"/>
      <c r="AQ53" s="579"/>
      <c r="AR53" s="579"/>
      <c r="AS53" s="579"/>
      <c r="AT53" s="579"/>
      <c r="AU53" s="579"/>
      <c r="AV53" s="579"/>
    </row>
    <row r="54" spans="1:48" ht="19.899999999999999" thickBot="1">
      <c r="A54" s="583"/>
      <c r="B54" s="592">
        <v>1</v>
      </c>
      <c r="C54" s="623" t="s">
        <v>98</v>
      </c>
      <c r="D54" s="592" t="s">
        <v>99</v>
      </c>
      <c r="E54" s="593">
        <v>36</v>
      </c>
      <c r="F54" s="593">
        <v>1864</v>
      </c>
      <c r="G54" s="593">
        <v>1491</v>
      </c>
      <c r="H54" s="593">
        <v>20</v>
      </c>
      <c r="I54" s="593">
        <v>413</v>
      </c>
      <c r="J54" s="593">
        <v>345</v>
      </c>
      <c r="K54" s="582"/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95">
        <v>1422</v>
      </c>
      <c r="AA54" s="579"/>
      <c r="AB54" s="579"/>
      <c r="AC54" s="579"/>
      <c r="AD54" s="579"/>
      <c r="AE54" s="579"/>
      <c r="AF54" s="579"/>
      <c r="AG54" s="579"/>
      <c r="AH54" s="579"/>
      <c r="AI54" s="579"/>
      <c r="AJ54" s="579"/>
      <c r="AK54" s="579"/>
      <c r="AL54" s="579"/>
      <c r="AM54" s="579"/>
      <c r="AN54" s="579"/>
      <c r="AO54" s="579"/>
      <c r="AP54" s="579"/>
      <c r="AQ54" s="579"/>
      <c r="AR54" s="579"/>
      <c r="AS54" s="579"/>
      <c r="AT54" s="579"/>
      <c r="AU54" s="579"/>
      <c r="AV54" s="579"/>
    </row>
    <row r="55" spans="1:48" ht="19.899999999999999" thickBot="1">
      <c r="A55" s="583"/>
      <c r="B55" s="592">
        <v>2</v>
      </c>
      <c r="C55" s="623" t="s">
        <v>100</v>
      </c>
      <c r="D55" s="592" t="s">
        <v>101</v>
      </c>
      <c r="E55" s="593">
        <v>36</v>
      </c>
      <c r="F55" s="593">
        <v>949</v>
      </c>
      <c r="G55" s="593">
        <v>949</v>
      </c>
      <c r="H55" s="593">
        <v>0</v>
      </c>
      <c r="I55" s="593">
        <v>307</v>
      </c>
      <c r="J55" s="593">
        <v>140</v>
      </c>
      <c r="K55" s="582"/>
      <c r="L55" s="602"/>
      <c r="M55" s="602"/>
      <c r="N55" s="602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95">
        <v>905</v>
      </c>
      <c r="AA55" s="579"/>
      <c r="AB55" s="579"/>
      <c r="AC55" s="579"/>
      <c r="AD55" s="579"/>
      <c r="AE55" s="579"/>
      <c r="AF55" s="579"/>
      <c r="AG55" s="579"/>
      <c r="AH55" s="579"/>
      <c r="AI55" s="579"/>
      <c r="AJ55" s="579"/>
      <c r="AK55" s="579"/>
      <c r="AL55" s="579"/>
      <c r="AM55" s="579"/>
      <c r="AN55" s="579"/>
      <c r="AO55" s="579"/>
      <c r="AP55" s="579"/>
      <c r="AQ55" s="579"/>
      <c r="AR55" s="579"/>
      <c r="AS55" s="579"/>
      <c r="AT55" s="579"/>
      <c r="AU55" s="579"/>
      <c r="AV55" s="579"/>
    </row>
    <row r="56" spans="1:48" ht="19.899999999999999" thickBot="1">
      <c r="A56" s="583"/>
      <c r="B56" s="592">
        <v>3</v>
      </c>
      <c r="C56" s="623" t="s">
        <v>104</v>
      </c>
      <c r="D56" s="592" t="s">
        <v>99</v>
      </c>
      <c r="E56" s="593">
        <v>24</v>
      </c>
      <c r="F56" s="593">
        <v>949</v>
      </c>
      <c r="G56" s="593">
        <v>408</v>
      </c>
      <c r="H56" s="593">
        <v>57</v>
      </c>
      <c r="I56" s="593">
        <v>367</v>
      </c>
      <c r="J56" s="593">
        <v>260</v>
      </c>
      <c r="K56" s="582"/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95">
        <v>389</v>
      </c>
      <c r="AA56" s="579"/>
      <c r="AB56" s="579"/>
      <c r="AC56" s="579"/>
      <c r="AD56" s="579"/>
      <c r="AE56" s="579"/>
      <c r="AF56" s="579"/>
      <c r="AG56" s="579"/>
      <c r="AH56" s="579"/>
      <c r="AI56" s="579"/>
      <c r="AJ56" s="579"/>
      <c r="AK56" s="579"/>
      <c r="AL56" s="579"/>
      <c r="AM56" s="579"/>
      <c r="AN56" s="579"/>
      <c r="AO56" s="579"/>
      <c r="AP56" s="579"/>
      <c r="AQ56" s="579"/>
      <c r="AR56" s="579"/>
      <c r="AS56" s="579"/>
      <c r="AT56" s="579"/>
      <c r="AU56" s="579"/>
      <c r="AV56" s="579"/>
    </row>
    <row r="57" spans="1:48" ht="19.899999999999999" thickBot="1">
      <c r="A57" s="583"/>
      <c r="B57" s="592">
        <v>4</v>
      </c>
      <c r="C57" s="623" t="s">
        <v>106</v>
      </c>
      <c r="D57" s="592" t="s">
        <v>103</v>
      </c>
      <c r="E57" s="593">
        <v>28</v>
      </c>
      <c r="F57" s="593">
        <v>928</v>
      </c>
      <c r="G57" s="593">
        <v>696</v>
      </c>
      <c r="H57" s="593">
        <v>25</v>
      </c>
      <c r="I57" s="593">
        <v>915</v>
      </c>
      <c r="J57" s="593">
        <v>310</v>
      </c>
      <c r="K57" s="582"/>
      <c r="L57" s="579"/>
      <c r="M57" s="579"/>
      <c r="N57" s="579"/>
      <c r="O57" s="581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95">
        <v>664</v>
      </c>
      <c r="AA57" s="579"/>
      <c r="AB57" s="579"/>
      <c r="AC57" s="579"/>
      <c r="AD57" s="579"/>
      <c r="AE57" s="579"/>
      <c r="AF57" s="579"/>
      <c r="AG57" s="579"/>
      <c r="AH57" s="579"/>
      <c r="AI57" s="579"/>
      <c r="AJ57" s="579"/>
      <c r="AK57" s="579"/>
      <c r="AL57" s="579"/>
      <c r="AM57" s="579"/>
      <c r="AN57" s="579"/>
      <c r="AO57" s="579"/>
      <c r="AP57" s="579"/>
      <c r="AQ57" s="579"/>
      <c r="AR57" s="579"/>
      <c r="AS57" s="579"/>
      <c r="AT57" s="579"/>
      <c r="AU57" s="579"/>
      <c r="AV57" s="579"/>
    </row>
    <row r="58" spans="1:48" ht="19.899999999999999" thickBot="1">
      <c r="A58" s="583"/>
      <c r="B58" s="587">
        <v>5</v>
      </c>
      <c r="C58" s="624" t="s">
        <v>107</v>
      </c>
      <c r="D58" s="587" t="s">
        <v>103</v>
      </c>
      <c r="E58" s="588">
        <v>28</v>
      </c>
      <c r="F58" s="588">
        <v>767</v>
      </c>
      <c r="G58" s="588">
        <v>353</v>
      </c>
      <c r="H58" s="588">
        <v>54</v>
      </c>
      <c r="I58" s="588">
        <v>412</v>
      </c>
      <c r="J58" s="588">
        <v>145</v>
      </c>
      <c r="K58" s="616" t="s">
        <v>382</v>
      </c>
      <c r="L58" s="579"/>
      <c r="M58" s="579"/>
      <c r="N58" s="589"/>
      <c r="O58" s="588">
        <v>353</v>
      </c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95"/>
      <c r="AA58" s="579"/>
      <c r="AB58" s="579"/>
      <c r="AC58" s="579"/>
      <c r="AD58" s="579"/>
      <c r="AE58" s="579"/>
      <c r="AF58" s="579"/>
      <c r="AG58" s="579"/>
      <c r="AH58" s="579"/>
      <c r="AI58" s="579"/>
      <c r="AJ58" s="579"/>
      <c r="AK58" s="579"/>
      <c r="AL58" s="579"/>
      <c r="AM58" s="579"/>
      <c r="AN58" s="579"/>
      <c r="AO58" s="579"/>
      <c r="AP58" s="579"/>
      <c r="AQ58" s="579"/>
      <c r="AR58" s="579"/>
      <c r="AS58" s="579"/>
      <c r="AT58" s="579"/>
      <c r="AU58" s="579"/>
      <c r="AV58" s="579"/>
    </row>
    <row r="59" spans="1:48" ht="19.899999999999999" thickBot="1">
      <c r="A59" s="583"/>
      <c r="B59" s="592">
        <v>6</v>
      </c>
      <c r="C59" s="623" t="s">
        <v>109</v>
      </c>
      <c r="D59" s="592" t="s">
        <v>110</v>
      </c>
      <c r="E59" s="593">
        <v>32</v>
      </c>
      <c r="F59" s="593">
        <v>1271</v>
      </c>
      <c r="G59" s="593">
        <v>648</v>
      </c>
      <c r="H59" s="593">
        <v>49</v>
      </c>
      <c r="I59" s="593">
        <v>369</v>
      </c>
      <c r="J59" s="593">
        <v>260</v>
      </c>
      <c r="K59" s="582"/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95">
        <v>618</v>
      </c>
      <c r="AA59" s="579"/>
      <c r="AB59" s="579"/>
      <c r="AC59" s="579"/>
      <c r="AD59" s="579"/>
      <c r="AE59" s="579"/>
      <c r="AF59" s="579"/>
      <c r="AG59" s="579"/>
      <c r="AH59" s="579"/>
      <c r="AI59" s="579"/>
      <c r="AJ59" s="579"/>
      <c r="AK59" s="579"/>
      <c r="AL59" s="579"/>
      <c r="AM59" s="579"/>
      <c r="AN59" s="579"/>
      <c r="AO59" s="579"/>
      <c r="AP59" s="579"/>
      <c r="AQ59" s="579"/>
      <c r="AR59" s="579"/>
      <c r="AS59" s="579"/>
      <c r="AT59" s="579"/>
      <c r="AU59" s="579"/>
      <c r="AV59" s="579"/>
    </row>
    <row r="60" spans="1:48" ht="19.899999999999999" thickBot="1">
      <c r="A60" s="583"/>
      <c r="B60" s="592">
        <v>7</v>
      </c>
      <c r="C60" s="623" t="s">
        <v>111</v>
      </c>
      <c r="D60" s="592" t="s">
        <v>99</v>
      </c>
      <c r="E60" s="593">
        <v>36</v>
      </c>
      <c r="F60" s="593">
        <v>3025</v>
      </c>
      <c r="G60" s="593">
        <v>1361</v>
      </c>
      <c r="H60" s="593">
        <v>55</v>
      </c>
      <c r="I60" s="593">
        <v>416</v>
      </c>
      <c r="J60" s="593">
        <v>385</v>
      </c>
      <c r="K60" s="582"/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95">
        <v>1298</v>
      </c>
      <c r="AA60" s="579"/>
      <c r="AB60" s="579"/>
      <c r="AC60" s="579"/>
      <c r="AD60" s="579"/>
      <c r="AE60" s="579"/>
      <c r="AF60" s="579"/>
      <c r="AG60" s="579"/>
      <c r="AH60" s="579"/>
      <c r="AI60" s="579"/>
      <c r="AJ60" s="579"/>
      <c r="AK60" s="579"/>
      <c r="AL60" s="579"/>
      <c r="AM60" s="579"/>
      <c r="AN60" s="579"/>
      <c r="AO60" s="579"/>
      <c r="AP60" s="579"/>
      <c r="AQ60" s="579"/>
      <c r="AR60" s="579"/>
      <c r="AS60" s="579"/>
      <c r="AT60" s="579"/>
      <c r="AU60" s="579"/>
      <c r="AV60" s="579"/>
    </row>
    <row r="61" spans="1:48" ht="19.899999999999999" thickBot="1">
      <c r="A61" s="583"/>
      <c r="B61" s="639">
        <v>8</v>
      </c>
      <c r="C61" s="640" t="s">
        <v>112</v>
      </c>
      <c r="D61" s="639" t="s">
        <v>103</v>
      </c>
      <c r="E61" s="641">
        <v>56</v>
      </c>
      <c r="F61" s="641">
        <v>6240</v>
      </c>
      <c r="G61" s="641">
        <v>6240</v>
      </c>
      <c r="H61" s="641">
        <v>0</v>
      </c>
      <c r="I61" s="641">
        <v>439</v>
      </c>
      <c r="J61" s="641">
        <v>602</v>
      </c>
      <c r="K61" s="633"/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95">
        <v>5950</v>
      </c>
      <c r="AA61" s="579"/>
      <c r="AB61" s="579"/>
      <c r="AC61" s="579"/>
      <c r="AD61" s="579"/>
      <c r="AE61" s="579"/>
      <c r="AF61" s="579"/>
      <c r="AG61" s="579"/>
      <c r="AH61" s="579"/>
      <c r="AI61" s="579"/>
      <c r="AJ61" s="579"/>
      <c r="AK61" s="579"/>
      <c r="AL61" s="579"/>
      <c r="AM61" s="579"/>
      <c r="AN61" s="579"/>
      <c r="AO61" s="579"/>
      <c r="AP61" s="579"/>
      <c r="AQ61" s="579"/>
      <c r="AR61" s="579"/>
      <c r="AS61" s="579"/>
      <c r="AT61" s="579"/>
      <c r="AU61" s="579"/>
      <c r="AV61" s="579"/>
    </row>
    <row r="62" spans="1:48" ht="19.899999999999999" thickBot="1">
      <c r="A62" s="583"/>
      <c r="B62" s="592">
        <v>9</v>
      </c>
      <c r="C62" s="623" t="s">
        <v>113</v>
      </c>
      <c r="D62" s="592" t="s">
        <v>103</v>
      </c>
      <c r="E62" s="593">
        <v>36</v>
      </c>
      <c r="F62" s="593">
        <v>2195</v>
      </c>
      <c r="G62" s="593">
        <v>1997</v>
      </c>
      <c r="H62" s="593">
        <v>9</v>
      </c>
      <c r="I62" s="593">
        <v>417</v>
      </c>
      <c r="J62" s="593">
        <v>408</v>
      </c>
      <c r="K62" s="582"/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95">
        <v>1904</v>
      </c>
      <c r="AA62" s="579"/>
      <c r="AB62" s="579"/>
      <c r="AC62" s="579"/>
      <c r="AD62" s="579"/>
      <c r="AE62" s="579"/>
      <c r="AF62" s="579"/>
      <c r="AG62" s="579"/>
      <c r="AH62" s="579"/>
      <c r="AI62" s="579"/>
      <c r="AJ62" s="579"/>
      <c r="AK62" s="579"/>
      <c r="AL62" s="579"/>
      <c r="AM62" s="579"/>
      <c r="AN62" s="579"/>
      <c r="AO62" s="579"/>
      <c r="AP62" s="579"/>
      <c r="AQ62" s="579"/>
      <c r="AR62" s="579"/>
      <c r="AS62" s="579"/>
      <c r="AT62" s="579"/>
      <c r="AU62" s="579"/>
      <c r="AV62" s="579"/>
    </row>
    <row r="63" spans="1:48" ht="19.899999999999999" thickBot="1">
      <c r="A63" s="583"/>
      <c r="B63" s="592">
        <v>11</v>
      </c>
      <c r="C63" s="623" t="s">
        <v>114</v>
      </c>
      <c r="D63" s="592" t="s">
        <v>99</v>
      </c>
      <c r="E63" s="593">
        <v>40</v>
      </c>
      <c r="F63" s="593">
        <v>2500</v>
      </c>
      <c r="G63" s="593">
        <v>1475</v>
      </c>
      <c r="H63" s="593">
        <v>41</v>
      </c>
      <c r="I63" s="593">
        <v>298</v>
      </c>
      <c r="J63" s="593">
        <v>330</v>
      </c>
      <c r="K63" s="582"/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95">
        <v>1407</v>
      </c>
      <c r="AA63" s="579"/>
      <c r="AB63" s="579"/>
      <c r="AC63" s="579"/>
      <c r="AD63" s="579"/>
      <c r="AE63" s="579"/>
      <c r="AF63" s="579"/>
      <c r="AG63" s="579"/>
      <c r="AH63" s="579"/>
      <c r="AI63" s="579"/>
      <c r="AJ63" s="579"/>
      <c r="AK63" s="579"/>
      <c r="AL63" s="579"/>
      <c r="AM63" s="579"/>
      <c r="AN63" s="579"/>
      <c r="AO63" s="579"/>
      <c r="AP63" s="579"/>
      <c r="AQ63" s="579"/>
      <c r="AR63" s="579"/>
      <c r="AS63" s="579"/>
      <c r="AT63" s="579"/>
      <c r="AU63" s="579"/>
      <c r="AV63" s="579"/>
    </row>
    <row r="64" spans="1:48" ht="19.899999999999999" thickBot="1">
      <c r="A64" s="583"/>
      <c r="B64" s="592">
        <v>10</v>
      </c>
      <c r="C64" s="623" t="s">
        <v>115</v>
      </c>
      <c r="D64" s="592" t="s">
        <v>105</v>
      </c>
      <c r="E64" s="593">
        <v>20</v>
      </c>
      <c r="F64" s="593">
        <v>771</v>
      </c>
      <c r="G64" s="593">
        <v>647</v>
      </c>
      <c r="H64" s="593">
        <v>16</v>
      </c>
      <c r="I64" s="593">
        <v>305</v>
      </c>
      <c r="J64" s="593">
        <v>530</v>
      </c>
      <c r="K64" s="582"/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95">
        <v>617</v>
      </c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79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</row>
    <row r="65" spans="1:48" ht="19.899999999999999" thickBot="1">
      <c r="A65" s="583"/>
      <c r="B65" s="592">
        <v>12</v>
      </c>
      <c r="C65" s="623" t="s">
        <v>116</v>
      </c>
      <c r="D65" s="592" t="s">
        <v>117</v>
      </c>
      <c r="E65" s="593">
        <v>28</v>
      </c>
      <c r="F65" s="593">
        <v>773</v>
      </c>
      <c r="G65" s="593">
        <v>278</v>
      </c>
      <c r="H65" s="593">
        <v>64</v>
      </c>
      <c r="I65" s="593">
        <v>481</v>
      </c>
      <c r="J65" s="593">
        <v>160</v>
      </c>
      <c r="K65" s="582"/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95">
        <v>266</v>
      </c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9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</row>
    <row r="66" spans="1:48" ht="19.899999999999999" thickBot="1">
      <c r="A66" s="583"/>
      <c r="B66" s="592">
        <v>13</v>
      </c>
      <c r="C66" s="623" t="s">
        <v>118</v>
      </c>
      <c r="D66" s="592" t="s">
        <v>99</v>
      </c>
      <c r="E66" s="593">
        <v>24</v>
      </c>
      <c r="F66" s="593">
        <v>935</v>
      </c>
      <c r="G66" s="593">
        <v>374</v>
      </c>
      <c r="H66" s="593">
        <v>60</v>
      </c>
      <c r="I66" s="593">
        <v>347</v>
      </c>
      <c r="J66" s="593">
        <v>315</v>
      </c>
      <c r="K66" s="582"/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95">
        <v>357</v>
      </c>
      <c r="AA66" s="579"/>
      <c r="AB66" s="579"/>
      <c r="AC66" s="579"/>
      <c r="AD66" s="579"/>
      <c r="AE66" s="579"/>
      <c r="AF66" s="579"/>
      <c r="AG66" s="579"/>
      <c r="AH66" s="579"/>
      <c r="AI66" s="579"/>
      <c r="AJ66" s="579"/>
      <c r="AK66" s="579"/>
      <c r="AL66" s="579"/>
      <c r="AM66" s="579"/>
      <c r="AN66" s="579"/>
      <c r="AO66" s="579"/>
      <c r="AP66" s="579"/>
      <c r="AQ66" s="579"/>
      <c r="AR66" s="579"/>
      <c r="AS66" s="579"/>
      <c r="AT66" s="579"/>
      <c r="AU66" s="579"/>
      <c r="AV66" s="579"/>
    </row>
    <row r="67" spans="1:48" ht="19.899999999999999" thickBot="1">
      <c r="A67" s="583"/>
      <c r="B67" s="592">
        <v>14</v>
      </c>
      <c r="C67" s="623" t="s">
        <v>119</v>
      </c>
      <c r="D67" s="592" t="s">
        <v>103</v>
      </c>
      <c r="E67" s="593">
        <v>28</v>
      </c>
      <c r="F67" s="593">
        <v>753</v>
      </c>
      <c r="G67" s="593">
        <v>369</v>
      </c>
      <c r="H67" s="593">
        <v>51</v>
      </c>
      <c r="I67" s="593">
        <v>429</v>
      </c>
      <c r="J67" s="593">
        <v>140</v>
      </c>
      <c r="K67" s="582"/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95">
        <v>352</v>
      </c>
      <c r="AA67" s="579"/>
      <c r="AB67" s="579"/>
      <c r="AC67" s="579"/>
      <c r="AD67" s="579"/>
      <c r="AE67" s="579"/>
      <c r="AF67" s="579"/>
      <c r="AG67" s="579"/>
      <c r="AH67" s="579"/>
      <c r="AI67" s="579"/>
      <c r="AJ67" s="579"/>
      <c r="AK67" s="579"/>
      <c r="AL67" s="579"/>
      <c r="AM67" s="579"/>
      <c r="AN67" s="579"/>
      <c r="AO67" s="579"/>
      <c r="AP67" s="579"/>
      <c r="AQ67" s="579"/>
      <c r="AR67" s="579"/>
      <c r="AS67" s="579"/>
      <c r="AT67" s="579"/>
      <c r="AU67" s="579"/>
      <c r="AV67" s="579"/>
    </row>
    <row r="68" spans="1:48" ht="19.899999999999999" thickBot="1">
      <c r="A68" s="583"/>
      <c r="B68" s="592">
        <v>15</v>
      </c>
      <c r="C68" s="623" t="s">
        <v>120</v>
      </c>
      <c r="D68" s="592" t="s">
        <v>101</v>
      </c>
      <c r="E68" s="593">
        <v>20</v>
      </c>
      <c r="F68" s="593">
        <v>309</v>
      </c>
      <c r="G68" s="593">
        <v>139</v>
      </c>
      <c r="H68" s="593">
        <v>55</v>
      </c>
      <c r="I68" s="593">
        <v>347</v>
      </c>
      <c r="J68" s="593">
        <v>90</v>
      </c>
      <c r="K68" s="582"/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95">
        <v>133</v>
      </c>
      <c r="AA68" s="579"/>
      <c r="AB68" s="579"/>
      <c r="AC68" s="579"/>
      <c r="AD68" s="579"/>
      <c r="AE68" s="579"/>
      <c r="AF68" s="579"/>
      <c r="AG68" s="579"/>
      <c r="AH68" s="579"/>
      <c r="AI68" s="579"/>
      <c r="AJ68" s="579"/>
      <c r="AK68" s="579"/>
      <c r="AL68" s="579"/>
      <c r="AM68" s="579"/>
      <c r="AN68" s="579"/>
      <c r="AO68" s="579"/>
      <c r="AP68" s="579"/>
      <c r="AQ68" s="579"/>
      <c r="AR68" s="579"/>
      <c r="AS68" s="579"/>
      <c r="AT68" s="579"/>
      <c r="AU68" s="579"/>
      <c r="AV68" s="579"/>
    </row>
    <row r="69" spans="1:48" ht="19.899999999999999" thickBot="1">
      <c r="A69" s="583"/>
      <c r="B69" s="592">
        <v>16</v>
      </c>
      <c r="C69" s="623" t="s">
        <v>121</v>
      </c>
      <c r="D69" s="592" t="s">
        <v>105</v>
      </c>
      <c r="E69" s="593">
        <v>24</v>
      </c>
      <c r="F69" s="593">
        <v>384</v>
      </c>
      <c r="G69" s="593">
        <v>231</v>
      </c>
      <c r="H69" s="593">
        <v>40</v>
      </c>
      <c r="I69" s="593">
        <v>339</v>
      </c>
      <c r="J69" s="593">
        <v>130</v>
      </c>
      <c r="K69" s="582"/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95">
        <v>220</v>
      </c>
      <c r="AA69" s="579"/>
      <c r="AB69" s="579"/>
      <c r="AC69" s="579"/>
      <c r="AD69" s="579"/>
      <c r="AE69" s="579"/>
      <c r="AF69" s="579"/>
      <c r="AG69" s="579"/>
      <c r="AH69" s="579"/>
      <c r="AI69" s="595"/>
      <c r="AJ69" s="595"/>
      <c r="AK69" s="579"/>
      <c r="AL69" s="579"/>
      <c r="AM69" s="579"/>
      <c r="AN69" s="579"/>
      <c r="AO69" s="579"/>
      <c r="AP69" s="579"/>
      <c r="AQ69" s="579"/>
      <c r="AR69" s="579"/>
      <c r="AS69" s="579"/>
      <c r="AT69" s="579"/>
      <c r="AU69" s="579"/>
      <c r="AV69" s="579"/>
    </row>
    <row r="70" spans="1:48" ht="19.899999999999999" thickBot="1">
      <c r="A70" s="583"/>
      <c r="B70" s="587">
        <v>17</v>
      </c>
      <c r="C70" s="624" t="s">
        <v>122</v>
      </c>
      <c r="D70" s="587" t="s">
        <v>110</v>
      </c>
      <c r="E70" s="588">
        <v>24</v>
      </c>
      <c r="F70" s="588">
        <v>918</v>
      </c>
      <c r="G70" s="588">
        <v>835</v>
      </c>
      <c r="H70" s="588">
        <v>9</v>
      </c>
      <c r="I70" s="588">
        <v>322</v>
      </c>
      <c r="J70" s="588">
        <v>550</v>
      </c>
      <c r="K70" s="650" t="s">
        <v>235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95">
        <v>797</v>
      </c>
      <c r="AA70" s="579"/>
      <c r="AB70" s="579"/>
      <c r="AC70" s="579"/>
      <c r="AD70" s="579"/>
      <c r="AE70" s="579"/>
      <c r="AF70" s="579"/>
      <c r="AG70" s="579"/>
      <c r="AH70" s="579"/>
      <c r="AI70" s="579"/>
      <c r="AJ70" s="579"/>
      <c r="AK70" s="579"/>
      <c r="AL70" s="579"/>
      <c r="AM70" s="579"/>
      <c r="AN70" s="579"/>
      <c r="AO70" s="579"/>
      <c r="AP70" s="579"/>
      <c r="AQ70" s="579"/>
      <c r="AR70" s="579"/>
      <c r="AS70" s="579"/>
      <c r="AT70" s="579"/>
      <c r="AU70" s="579"/>
      <c r="AV70" s="579"/>
    </row>
    <row r="71" spans="1:48" ht="19.899999999999999" thickBot="1">
      <c r="A71" s="583"/>
      <c r="B71" s="592">
        <v>18</v>
      </c>
      <c r="C71" s="623" t="s">
        <v>123</v>
      </c>
      <c r="D71" s="592" t="s">
        <v>124</v>
      </c>
      <c r="E71" s="593">
        <v>24</v>
      </c>
      <c r="F71" s="593">
        <v>1176</v>
      </c>
      <c r="G71" s="593">
        <v>341</v>
      </c>
      <c r="H71" s="593">
        <v>71</v>
      </c>
      <c r="I71" s="593">
        <v>779</v>
      </c>
      <c r="J71" s="593">
        <v>330</v>
      </c>
      <c r="K71" s="582"/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95">
        <v>325</v>
      </c>
      <c r="AA71" s="579"/>
      <c r="AB71" s="579"/>
      <c r="AC71" s="579"/>
      <c r="AD71" s="579"/>
      <c r="AE71" s="579"/>
      <c r="AF71" s="579"/>
      <c r="AG71" s="579"/>
      <c r="AH71" s="579"/>
      <c r="AI71" s="579"/>
      <c r="AJ71" s="579"/>
      <c r="AK71" s="579"/>
      <c r="AL71" s="579"/>
      <c r="AM71" s="579"/>
      <c r="AN71" s="579"/>
      <c r="AO71" s="579"/>
      <c r="AP71" s="579"/>
      <c r="AQ71" s="579"/>
      <c r="AR71" s="579"/>
      <c r="AS71" s="579"/>
      <c r="AT71" s="579"/>
      <c r="AU71" s="579"/>
      <c r="AV71" s="579"/>
    </row>
    <row r="72" spans="1:48" ht="19.899999999999999" thickBot="1">
      <c r="A72" s="583"/>
      <c r="B72" s="592">
        <v>19</v>
      </c>
      <c r="C72" s="623" t="s">
        <v>127</v>
      </c>
      <c r="D72" s="592" t="s">
        <v>101</v>
      </c>
      <c r="E72" s="593">
        <v>36</v>
      </c>
      <c r="F72" s="593">
        <v>3153</v>
      </c>
      <c r="G72" s="593">
        <v>946</v>
      </c>
      <c r="H72" s="593">
        <v>70</v>
      </c>
      <c r="I72" s="593">
        <v>330</v>
      </c>
      <c r="J72" s="593">
        <v>230</v>
      </c>
      <c r="K72" s="582"/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95">
        <v>902</v>
      </c>
      <c r="AA72" s="579"/>
      <c r="AB72" s="579"/>
      <c r="AC72" s="579"/>
      <c r="AD72" s="579"/>
      <c r="AE72" s="579"/>
      <c r="AF72" s="579"/>
      <c r="AG72" s="579"/>
      <c r="AH72" s="579"/>
      <c r="AI72" s="579"/>
      <c r="AJ72" s="579"/>
      <c r="AK72" s="579"/>
      <c r="AL72" s="579"/>
      <c r="AM72" s="579"/>
      <c r="AN72" s="579"/>
      <c r="AO72" s="579"/>
      <c r="AP72" s="579"/>
      <c r="AQ72" s="579"/>
      <c r="AR72" s="579"/>
      <c r="AS72" s="579"/>
      <c r="AT72" s="579"/>
      <c r="AU72" s="579"/>
      <c r="AV72" s="579"/>
    </row>
    <row r="73" spans="1:48" ht="19.899999999999999" thickBot="1">
      <c r="A73" s="583"/>
      <c r="B73" s="592">
        <v>20</v>
      </c>
      <c r="C73" s="623" t="s">
        <v>128</v>
      </c>
      <c r="D73" s="592" t="s">
        <v>105</v>
      </c>
      <c r="E73" s="593">
        <v>24</v>
      </c>
      <c r="F73" s="593">
        <v>850</v>
      </c>
      <c r="G73" s="593">
        <v>213</v>
      </c>
      <c r="H73" s="593">
        <v>75</v>
      </c>
      <c r="I73" s="593">
        <v>286</v>
      </c>
      <c r="J73" s="593">
        <v>200</v>
      </c>
      <c r="K73" s="582" t="s">
        <v>355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95">
        <v>203</v>
      </c>
      <c r="AA73" s="579"/>
      <c r="AB73" s="579"/>
      <c r="AC73" s="579"/>
      <c r="AD73" s="579"/>
      <c r="AE73" s="579"/>
      <c r="AF73" s="579"/>
      <c r="AG73" s="579"/>
      <c r="AH73" s="579"/>
      <c r="AI73" s="579"/>
      <c r="AJ73" s="579"/>
      <c r="AK73" s="579"/>
      <c r="AL73" s="579"/>
      <c r="AM73" s="579"/>
      <c r="AN73" s="579"/>
      <c r="AO73" s="579"/>
      <c r="AP73" s="579"/>
      <c r="AQ73" s="579"/>
      <c r="AR73" s="579"/>
      <c r="AS73" s="579"/>
      <c r="AT73" s="579"/>
      <c r="AU73" s="579"/>
      <c r="AV73" s="579"/>
    </row>
    <row r="74" spans="1:48" ht="19.899999999999999" thickBot="1">
      <c r="A74" s="583"/>
      <c r="B74" s="592">
        <v>21</v>
      </c>
      <c r="C74" s="623" t="s">
        <v>129</v>
      </c>
      <c r="D74" s="592" t="s">
        <v>99</v>
      </c>
      <c r="E74" s="593">
        <v>20</v>
      </c>
      <c r="F74" s="593">
        <v>783</v>
      </c>
      <c r="G74" s="593">
        <v>360</v>
      </c>
      <c r="H74" s="593">
        <v>54</v>
      </c>
      <c r="I74" s="593"/>
      <c r="J74" s="593">
        <v>160</v>
      </c>
      <c r="K74" s="582" t="s">
        <v>355</v>
      </c>
      <c r="L74" s="579"/>
      <c r="M74" s="579"/>
      <c r="N74" s="579"/>
      <c r="O74" s="581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95">
        <v>344</v>
      </c>
      <c r="AA74" s="579"/>
      <c r="AB74" s="579"/>
      <c r="AC74" s="579"/>
      <c r="AD74" s="579"/>
      <c r="AE74" s="579"/>
      <c r="AF74" s="579"/>
      <c r="AG74" s="579"/>
      <c r="AH74" s="579"/>
      <c r="AI74" s="579"/>
      <c r="AJ74" s="579"/>
      <c r="AK74" s="579"/>
      <c r="AL74" s="579"/>
      <c r="AM74" s="579"/>
      <c r="AN74" s="579"/>
      <c r="AO74" s="579"/>
      <c r="AP74" s="579"/>
      <c r="AQ74" s="579"/>
      <c r="AR74" s="579"/>
      <c r="AS74" s="579"/>
      <c r="AT74" s="579"/>
      <c r="AU74" s="579"/>
      <c r="AV74" s="579"/>
    </row>
    <row r="75" spans="1:48" ht="19.899999999999999" thickBot="1">
      <c r="A75" s="583"/>
      <c r="B75" s="587">
        <v>22</v>
      </c>
      <c r="C75" s="624" t="s">
        <v>130</v>
      </c>
      <c r="D75" s="587" t="s">
        <v>105</v>
      </c>
      <c r="E75" s="588">
        <v>16</v>
      </c>
      <c r="F75" s="588">
        <v>750</v>
      </c>
      <c r="G75" s="588">
        <v>300</v>
      </c>
      <c r="H75" s="588">
        <v>60</v>
      </c>
      <c r="I75" s="588">
        <v>302</v>
      </c>
      <c r="J75" s="588">
        <v>180</v>
      </c>
      <c r="K75" s="616" t="s">
        <v>68</v>
      </c>
      <c r="L75" s="579"/>
      <c r="M75" s="579"/>
      <c r="N75" s="589"/>
      <c r="O75" s="588">
        <v>300</v>
      </c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95"/>
      <c r="AA75" s="579"/>
      <c r="AB75" s="579"/>
      <c r="AC75" s="579"/>
      <c r="AD75" s="579"/>
      <c r="AE75" s="579"/>
      <c r="AF75" s="579"/>
      <c r="AG75" s="579"/>
      <c r="AH75" s="579"/>
      <c r="AI75" s="579"/>
      <c r="AJ75" s="579"/>
      <c r="AK75" s="579"/>
      <c r="AL75" s="579"/>
      <c r="AM75" s="579"/>
      <c r="AN75" s="579"/>
      <c r="AO75" s="579"/>
      <c r="AP75" s="579"/>
      <c r="AQ75" s="579"/>
      <c r="AR75" s="579"/>
      <c r="AS75" s="579"/>
      <c r="AT75" s="579"/>
      <c r="AU75" s="579"/>
      <c r="AV75" s="579"/>
    </row>
    <row r="76" spans="1:48" ht="21.75" customHeight="1" thickBot="1">
      <c r="A76" s="583"/>
      <c r="B76" s="639">
        <v>23</v>
      </c>
      <c r="C76" s="640" t="s">
        <v>131</v>
      </c>
      <c r="D76" s="639" t="s">
        <v>110</v>
      </c>
      <c r="E76" s="641">
        <v>24</v>
      </c>
      <c r="F76" s="641">
        <v>821</v>
      </c>
      <c r="G76" s="641">
        <v>394</v>
      </c>
      <c r="H76" s="641">
        <v>52</v>
      </c>
      <c r="I76" s="641">
        <v>476</v>
      </c>
      <c r="J76" s="641">
        <v>375</v>
      </c>
      <c r="K76" s="633"/>
      <c r="L76" s="579"/>
      <c r="M76" s="579"/>
      <c r="N76" s="589"/>
      <c r="O76" s="588">
        <v>394</v>
      </c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95"/>
      <c r="AA76" s="579"/>
      <c r="AB76" s="579"/>
      <c r="AC76" s="579"/>
      <c r="AD76" s="579"/>
      <c r="AE76" s="579"/>
      <c r="AF76" s="579"/>
      <c r="AG76" s="579"/>
      <c r="AH76" s="579"/>
      <c r="AI76" s="579"/>
      <c r="AJ76" s="579"/>
      <c r="AK76" s="579"/>
      <c r="AL76" s="579"/>
      <c r="AM76" s="579"/>
      <c r="AN76" s="579"/>
      <c r="AO76" s="579"/>
      <c r="AP76" s="579"/>
      <c r="AQ76" s="579"/>
      <c r="AR76" s="579"/>
      <c r="AS76" s="579"/>
      <c r="AT76" s="579"/>
      <c r="AU76" s="579"/>
      <c r="AV76" s="579"/>
    </row>
    <row r="77" spans="1:48" ht="28.5" customHeight="1" thickBot="1">
      <c r="A77" s="583"/>
      <c r="B77" s="592">
        <v>24</v>
      </c>
      <c r="C77" s="623" t="s">
        <v>132</v>
      </c>
      <c r="D77" s="592" t="s">
        <v>133</v>
      </c>
      <c r="E77" s="593">
        <v>24</v>
      </c>
      <c r="F77" s="593">
        <v>953</v>
      </c>
      <c r="G77" s="593">
        <v>295</v>
      </c>
      <c r="H77" s="593">
        <v>69</v>
      </c>
      <c r="I77" s="593">
        <v>328</v>
      </c>
      <c r="J77" s="593">
        <v>175</v>
      </c>
      <c r="K77" s="582" t="s">
        <v>355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95">
        <v>282</v>
      </c>
      <c r="AA77" s="579"/>
      <c r="AB77" s="579"/>
      <c r="AC77" s="579"/>
      <c r="AD77" s="579"/>
      <c r="AE77" s="579"/>
      <c r="AF77" s="579"/>
      <c r="AG77" s="579"/>
      <c r="AH77" s="579"/>
      <c r="AI77" s="579"/>
      <c r="AJ77" s="579"/>
      <c r="AK77" s="579"/>
      <c r="AL77" s="579"/>
      <c r="AM77" s="579"/>
      <c r="AN77" s="579"/>
      <c r="AO77" s="579"/>
      <c r="AP77" s="579"/>
      <c r="AQ77" s="579"/>
      <c r="AR77" s="579"/>
      <c r="AS77" s="579"/>
      <c r="AT77" s="579"/>
      <c r="AU77" s="579"/>
      <c r="AV77" s="579"/>
    </row>
    <row r="78" spans="1:48" ht="19.899999999999999" thickBot="1">
      <c r="A78" s="583"/>
      <c r="B78" s="592">
        <v>25</v>
      </c>
      <c r="C78" s="623" t="s">
        <v>134</v>
      </c>
      <c r="D78" s="592" t="s">
        <v>135</v>
      </c>
      <c r="E78" s="593">
        <v>20</v>
      </c>
      <c r="F78" s="593">
        <v>428</v>
      </c>
      <c r="G78" s="593">
        <v>175</v>
      </c>
      <c r="H78" s="593">
        <v>59</v>
      </c>
      <c r="I78" s="593">
        <v>1836</v>
      </c>
      <c r="J78" s="593">
        <v>560</v>
      </c>
      <c r="K78" s="582"/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95">
        <v>167</v>
      </c>
      <c r="AA78" s="579"/>
      <c r="AB78" s="579"/>
      <c r="AC78" s="579"/>
      <c r="AD78" s="579"/>
      <c r="AE78" s="579"/>
      <c r="AF78" s="579"/>
      <c r="AG78" s="579"/>
      <c r="AH78" s="579"/>
      <c r="AI78" s="579"/>
      <c r="AJ78" s="579"/>
      <c r="AK78" s="579"/>
      <c r="AL78" s="579"/>
      <c r="AM78" s="579"/>
      <c r="AN78" s="579"/>
      <c r="AO78" s="579"/>
      <c r="AP78" s="579"/>
      <c r="AQ78" s="579"/>
      <c r="AR78" s="579"/>
      <c r="AS78" s="579"/>
      <c r="AT78" s="579"/>
      <c r="AU78" s="579"/>
      <c r="AV78" s="579"/>
    </row>
    <row r="79" spans="1:48" ht="19.899999999999999" thickBot="1">
      <c r="A79" s="583"/>
      <c r="B79" s="587">
        <v>26</v>
      </c>
      <c r="C79" s="624" t="s">
        <v>136</v>
      </c>
      <c r="D79" s="587" t="s">
        <v>105</v>
      </c>
      <c r="E79" s="588">
        <v>40</v>
      </c>
      <c r="F79" s="588">
        <v>2572</v>
      </c>
      <c r="G79" s="588">
        <v>1029</v>
      </c>
      <c r="H79" s="588">
        <v>60</v>
      </c>
      <c r="I79" s="588">
        <v>309</v>
      </c>
      <c r="J79" s="588">
        <v>300</v>
      </c>
      <c r="K79" s="650" t="s">
        <v>235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95">
        <v>981</v>
      </c>
      <c r="AA79" s="579"/>
      <c r="AB79" s="579"/>
      <c r="AC79" s="579"/>
      <c r="AD79" s="579"/>
      <c r="AE79" s="579"/>
      <c r="AF79" s="579"/>
      <c r="AG79" s="579"/>
      <c r="AH79" s="579"/>
      <c r="AI79" s="579"/>
      <c r="AJ79" s="579"/>
      <c r="AK79" s="579"/>
      <c r="AL79" s="579"/>
      <c r="AM79" s="579"/>
      <c r="AN79" s="579"/>
      <c r="AO79" s="579"/>
      <c r="AP79" s="579"/>
      <c r="AQ79" s="579"/>
      <c r="AR79" s="579"/>
      <c r="AS79" s="579"/>
      <c r="AT79" s="579"/>
      <c r="AU79" s="579"/>
      <c r="AV79" s="579"/>
    </row>
    <row r="80" spans="1:48" ht="34.9" thickBot="1">
      <c r="A80" s="583"/>
      <c r="B80" s="587">
        <v>27</v>
      </c>
      <c r="C80" s="624" t="s">
        <v>137</v>
      </c>
      <c r="D80" s="587" t="s">
        <v>110</v>
      </c>
      <c r="E80" s="588">
        <v>40</v>
      </c>
      <c r="F80" s="588">
        <v>2222</v>
      </c>
      <c r="G80" s="588">
        <v>822</v>
      </c>
      <c r="H80" s="588">
        <v>63</v>
      </c>
      <c r="I80" s="588">
        <v>348</v>
      </c>
      <c r="J80" s="588">
        <v>260</v>
      </c>
      <c r="K80" s="616" t="s">
        <v>383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625"/>
      <c r="AA80" s="579"/>
      <c r="AB80" s="579"/>
      <c r="AC80" s="579"/>
      <c r="AD80" s="579"/>
      <c r="AE80" s="579"/>
      <c r="AF80" s="579"/>
      <c r="AG80" s="579"/>
      <c r="AH80" s="579"/>
      <c r="AI80" s="579"/>
      <c r="AJ80" s="579"/>
      <c r="AK80" s="579"/>
      <c r="AL80" s="579"/>
      <c r="AM80" s="579"/>
      <c r="AN80" s="579"/>
      <c r="AO80" s="579"/>
      <c r="AP80" s="579"/>
      <c r="AQ80" s="579"/>
      <c r="AR80" s="579"/>
      <c r="AS80" s="579"/>
      <c r="AT80" s="579"/>
      <c r="AU80" s="579"/>
      <c r="AV80" s="579"/>
    </row>
    <row r="81" spans="1:48" ht="19.899999999999999" thickBot="1">
      <c r="A81" s="579"/>
      <c r="B81" s="579"/>
      <c r="C81" s="1311" t="s">
        <v>168</v>
      </c>
      <c r="D81" s="1312"/>
      <c r="E81" s="1313"/>
      <c r="F81" s="604">
        <v>37020</v>
      </c>
      <c r="G81" s="604">
        <v>22547</v>
      </c>
      <c r="H81" s="605"/>
      <c r="I81" s="579"/>
      <c r="J81" s="605"/>
      <c r="K81" s="579"/>
      <c r="L81" s="579"/>
      <c r="M81" s="579"/>
      <c r="N81" s="579"/>
      <c r="O81" s="626">
        <v>21500</v>
      </c>
      <c r="P81" s="579"/>
      <c r="Q81" s="579"/>
      <c r="R81" s="579"/>
      <c r="S81" s="579"/>
      <c r="T81" s="579"/>
      <c r="U81" s="579"/>
      <c r="V81" s="579"/>
      <c r="W81" s="579"/>
      <c r="X81" s="579"/>
      <c r="Y81" s="589"/>
      <c r="Z81" s="604">
        <v>20502</v>
      </c>
      <c r="AA81" s="579"/>
      <c r="AB81" s="579"/>
      <c r="AC81" s="579"/>
      <c r="AD81" s="579"/>
      <c r="AE81" s="579"/>
      <c r="AF81" s="579"/>
      <c r="AG81" s="579"/>
      <c r="AH81" s="579"/>
      <c r="AI81" s="579"/>
      <c r="AJ81" s="579"/>
      <c r="AK81" s="579"/>
      <c r="AL81" s="579"/>
      <c r="AM81" s="579"/>
      <c r="AN81" s="579"/>
      <c r="AO81" s="579"/>
      <c r="AP81" s="579"/>
      <c r="AQ81" s="579"/>
      <c r="AR81" s="579"/>
      <c r="AS81" s="579"/>
      <c r="AT81" s="579"/>
      <c r="AU81" s="579"/>
      <c r="AV81" s="579"/>
    </row>
    <row r="82" spans="1:48" ht="19.899999999999999" thickBot="1">
      <c r="A82" s="579"/>
      <c r="B82" s="579"/>
      <c r="C82" s="579"/>
      <c r="D82" s="579"/>
      <c r="E82" s="579"/>
      <c r="F82" s="589"/>
      <c r="G82" s="606">
        <v>22550</v>
      </c>
      <c r="H82" s="579"/>
      <c r="I82" s="579"/>
      <c r="J82" s="605"/>
      <c r="K82" s="579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  <c r="AF82" s="579"/>
      <c r="AG82" s="579"/>
      <c r="AH82" s="579"/>
      <c r="AI82" s="579"/>
      <c r="AJ82" s="579"/>
      <c r="AK82" s="579"/>
      <c r="AL82" s="579"/>
      <c r="AM82" s="579"/>
      <c r="AN82" s="579"/>
      <c r="AO82" s="579"/>
      <c r="AP82" s="579"/>
      <c r="AQ82" s="579"/>
      <c r="AR82" s="579"/>
      <c r="AS82" s="579"/>
      <c r="AT82" s="579"/>
      <c r="AU82" s="579"/>
      <c r="AV82" s="579"/>
    </row>
    <row r="83" spans="1:48" ht="19.899999999999999" thickBot="1">
      <c r="A83" s="579"/>
      <c r="B83" s="579"/>
      <c r="C83" s="581"/>
      <c r="D83" s="581"/>
      <c r="E83" s="581"/>
      <c r="F83" s="581"/>
      <c r="G83" s="581"/>
      <c r="H83" s="581"/>
      <c r="I83" s="581"/>
      <c r="J83" s="581"/>
      <c r="K83" s="581"/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  <c r="AF83" s="579"/>
      <c r="AG83" s="579"/>
      <c r="AH83" s="579"/>
      <c r="AI83" s="579"/>
      <c r="AJ83" s="579"/>
      <c r="AK83" s="579"/>
      <c r="AL83" s="579"/>
      <c r="AM83" s="579"/>
      <c r="AN83" s="579"/>
      <c r="AO83" s="579"/>
      <c r="AP83" s="579"/>
      <c r="AQ83" s="579"/>
      <c r="AR83" s="579"/>
      <c r="AS83" s="579"/>
      <c r="AT83" s="579"/>
      <c r="AU83" s="579"/>
      <c r="AV83" s="579"/>
    </row>
    <row r="84" spans="1:48" ht="22.15" thickBot="1">
      <c r="A84" s="579"/>
      <c r="B84" s="582"/>
      <c r="C84" s="1314" t="s">
        <v>384</v>
      </c>
      <c r="D84" s="1315"/>
      <c r="E84" s="1315"/>
      <c r="F84" s="1315"/>
      <c r="G84" s="1315"/>
      <c r="H84" s="1315"/>
      <c r="I84" s="1315"/>
      <c r="J84" s="1315"/>
      <c r="K84" s="1316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  <c r="AF84" s="579"/>
      <c r="AG84" s="579"/>
      <c r="AH84" s="579"/>
      <c r="AI84" s="579"/>
      <c r="AJ84" s="579"/>
      <c r="AK84" s="579"/>
      <c r="AL84" s="579"/>
      <c r="AM84" s="579"/>
      <c r="AN84" s="579"/>
      <c r="AO84" s="579"/>
      <c r="AP84" s="579"/>
      <c r="AQ84" s="579"/>
      <c r="AR84" s="579"/>
      <c r="AS84" s="579"/>
      <c r="AT84" s="579"/>
      <c r="AU84" s="579"/>
      <c r="AV84" s="579"/>
    </row>
    <row r="85" spans="1:48" ht="51" thickBot="1">
      <c r="A85" s="583"/>
      <c r="B85" s="584" t="s">
        <v>156</v>
      </c>
      <c r="C85" s="584" t="s">
        <v>31</v>
      </c>
      <c r="D85" s="584" t="s">
        <v>32</v>
      </c>
      <c r="E85" s="584" t="s">
        <v>33</v>
      </c>
      <c r="F85" s="584" t="s">
        <v>34</v>
      </c>
      <c r="G85" s="584" t="s">
        <v>35</v>
      </c>
      <c r="H85" s="584" t="s">
        <v>37</v>
      </c>
      <c r="I85" s="584" t="s">
        <v>38</v>
      </c>
      <c r="J85" s="584" t="s">
        <v>39</v>
      </c>
      <c r="K85" s="584" t="s">
        <v>40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  <c r="AF85" s="579"/>
      <c r="AG85" s="579"/>
      <c r="AH85" s="579"/>
      <c r="AI85" s="579"/>
      <c r="AJ85" s="579"/>
      <c r="AK85" s="579"/>
      <c r="AL85" s="579"/>
      <c r="AM85" s="579"/>
      <c r="AN85" s="579"/>
      <c r="AO85" s="579"/>
      <c r="AP85" s="579"/>
      <c r="AQ85" s="579"/>
      <c r="AR85" s="579"/>
      <c r="AS85" s="579"/>
      <c r="AT85" s="579"/>
      <c r="AU85" s="579"/>
      <c r="AV85" s="579"/>
    </row>
    <row r="86" spans="1:48" ht="19.899999999999999" thickBot="1">
      <c r="A86" s="583"/>
      <c r="B86" s="587">
        <v>1</v>
      </c>
      <c r="C86" s="642" t="s">
        <v>139</v>
      </c>
      <c r="D86" s="643" t="s">
        <v>140</v>
      </c>
      <c r="E86" s="588">
        <v>20</v>
      </c>
      <c r="F86" s="588">
        <v>550</v>
      </c>
      <c r="G86" s="588">
        <v>537</v>
      </c>
      <c r="H86" s="588">
        <v>2.4</v>
      </c>
      <c r="I86" s="644">
        <v>318</v>
      </c>
      <c r="J86" s="588">
        <v>360</v>
      </c>
      <c r="K86" s="616" t="s">
        <v>68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  <c r="AF86" s="579"/>
      <c r="AG86" s="579"/>
      <c r="AH86" s="579"/>
      <c r="AI86" s="579"/>
      <c r="AJ86" s="579"/>
      <c r="AK86" s="579"/>
      <c r="AL86" s="579"/>
      <c r="AM86" s="579"/>
      <c r="AN86" s="579"/>
      <c r="AO86" s="579"/>
      <c r="AP86" s="579"/>
      <c r="AQ86" s="579"/>
      <c r="AR86" s="579"/>
      <c r="AS86" s="579"/>
      <c r="AT86" s="579"/>
      <c r="AU86" s="579"/>
      <c r="AV86" s="579"/>
    </row>
    <row r="87" spans="1:48" ht="19.899999999999999" thickBot="1">
      <c r="A87" s="583"/>
      <c r="B87" s="592">
        <v>2</v>
      </c>
      <c r="C87" s="627" t="s">
        <v>142</v>
      </c>
      <c r="D87" s="628" t="s">
        <v>143</v>
      </c>
      <c r="E87" s="593">
        <v>24</v>
      </c>
      <c r="F87" s="593">
        <v>458</v>
      </c>
      <c r="G87" s="593">
        <v>408</v>
      </c>
      <c r="H87" s="593">
        <v>11</v>
      </c>
      <c r="I87" s="629">
        <v>526</v>
      </c>
      <c r="J87" s="593">
        <v>260</v>
      </c>
      <c r="K87" s="630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  <c r="AF87" s="579"/>
      <c r="AG87" s="579"/>
      <c r="AH87" s="579"/>
      <c r="AI87" s="579"/>
      <c r="AJ87" s="579"/>
      <c r="AK87" s="579"/>
      <c r="AL87" s="579"/>
      <c r="AM87" s="579"/>
      <c r="AN87" s="579"/>
      <c r="AO87" s="579"/>
      <c r="AP87" s="579"/>
      <c r="AQ87" s="579"/>
      <c r="AR87" s="579"/>
      <c r="AS87" s="579"/>
      <c r="AT87" s="579"/>
      <c r="AU87" s="579"/>
      <c r="AV87" s="579"/>
    </row>
    <row r="88" spans="1:48" ht="19.899999999999999" thickBot="1">
      <c r="A88" s="583"/>
      <c r="B88" s="592">
        <v>3</v>
      </c>
      <c r="C88" s="627" t="s">
        <v>144</v>
      </c>
      <c r="D88" s="628" t="s">
        <v>140</v>
      </c>
      <c r="E88" s="593">
        <v>28</v>
      </c>
      <c r="F88" s="593">
        <v>1807</v>
      </c>
      <c r="G88" s="593">
        <v>1374</v>
      </c>
      <c r="H88" s="593">
        <v>24</v>
      </c>
      <c r="I88" s="629">
        <v>1321</v>
      </c>
      <c r="J88" s="593">
        <v>900</v>
      </c>
      <c r="K88" s="630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  <c r="AF88" s="579"/>
      <c r="AG88" s="579"/>
      <c r="AH88" s="579"/>
      <c r="AI88" s="579"/>
      <c r="AJ88" s="579"/>
      <c r="AK88" s="579"/>
      <c r="AL88" s="579"/>
      <c r="AM88" s="579"/>
      <c r="AN88" s="579"/>
      <c r="AO88" s="579"/>
      <c r="AP88" s="579"/>
      <c r="AQ88" s="579"/>
      <c r="AR88" s="579"/>
      <c r="AS88" s="579"/>
      <c r="AT88" s="579"/>
      <c r="AU88" s="579"/>
      <c r="AV88" s="579"/>
    </row>
    <row r="89" spans="1:48" ht="19.899999999999999" thickBot="1">
      <c r="A89" s="583"/>
      <c r="B89" s="592">
        <v>4</v>
      </c>
      <c r="C89" s="627" t="s">
        <v>145</v>
      </c>
      <c r="D89" s="628" t="s">
        <v>146</v>
      </c>
      <c r="E89" s="593">
        <v>36</v>
      </c>
      <c r="F89" s="593">
        <v>2142</v>
      </c>
      <c r="G89" s="593">
        <v>1949</v>
      </c>
      <c r="H89" s="593">
        <v>9</v>
      </c>
      <c r="I89" s="629">
        <v>371</v>
      </c>
      <c r="J89" s="593">
        <v>420</v>
      </c>
      <c r="K89" s="612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  <c r="AF89" s="579"/>
      <c r="AG89" s="579"/>
      <c r="AH89" s="579"/>
      <c r="AI89" s="579"/>
      <c r="AJ89" s="579"/>
      <c r="AK89" s="579"/>
      <c r="AL89" s="579"/>
      <c r="AM89" s="579"/>
      <c r="AN89" s="579"/>
      <c r="AO89" s="579"/>
      <c r="AP89" s="579"/>
      <c r="AQ89" s="579"/>
      <c r="AR89" s="579"/>
      <c r="AS89" s="579"/>
      <c r="AT89" s="579"/>
      <c r="AU89" s="579"/>
      <c r="AV89" s="579"/>
    </row>
    <row r="90" spans="1:48" ht="17.45" customHeight="1" thickBot="1">
      <c r="A90" s="579"/>
      <c r="B90" s="579"/>
      <c r="C90" s="602"/>
      <c r="D90" s="602"/>
      <c r="E90" s="603"/>
      <c r="F90" s="604">
        <v>4894</v>
      </c>
      <c r="G90" s="604">
        <v>4267</v>
      </c>
      <c r="H90" s="605"/>
      <c r="I90" s="605"/>
      <c r="J90" s="605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  <c r="AF90" s="579"/>
      <c r="AG90" s="579"/>
      <c r="AH90" s="579"/>
      <c r="AI90" s="579"/>
      <c r="AJ90" s="579"/>
      <c r="AK90" s="579"/>
      <c r="AL90" s="579"/>
      <c r="AM90" s="579"/>
      <c r="AN90" s="579"/>
      <c r="AO90" s="579"/>
      <c r="AP90" s="579"/>
      <c r="AQ90" s="579"/>
      <c r="AR90" s="579"/>
      <c r="AS90" s="579"/>
      <c r="AT90" s="579"/>
      <c r="AU90" s="579"/>
      <c r="AV90" s="579"/>
    </row>
    <row r="91" spans="1:48" ht="18.95" customHeight="1" thickBot="1">
      <c r="A91" s="579"/>
      <c r="B91" s="579"/>
      <c r="C91" s="1317" t="s">
        <v>168</v>
      </c>
      <c r="D91" s="1318"/>
      <c r="E91" s="1319"/>
      <c r="F91" s="589"/>
      <c r="G91" s="606">
        <v>4270</v>
      </c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  <c r="AF91" s="579"/>
      <c r="AG91" s="579"/>
      <c r="AH91" s="579"/>
      <c r="AI91" s="579"/>
      <c r="AJ91" s="579"/>
      <c r="AK91" s="579"/>
      <c r="AL91" s="579"/>
      <c r="AM91" s="579"/>
      <c r="AN91" s="579"/>
      <c r="AO91" s="579"/>
      <c r="AP91" s="579"/>
      <c r="AQ91" s="579"/>
      <c r="AR91" s="579"/>
      <c r="AS91" s="579"/>
      <c r="AT91" s="579"/>
      <c r="AU91" s="579"/>
      <c r="AV91" s="579"/>
    </row>
    <row r="92" spans="1:48" ht="19.899999999999999" thickBot="1">
      <c r="A92" s="579"/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579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</row>
    <row r="93" spans="1:48" ht="19.899999999999999" thickBot="1">
      <c r="A93" s="579"/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  <c r="AF93" s="579"/>
      <c r="AG93" s="579"/>
      <c r="AH93" s="579"/>
      <c r="AI93" s="579"/>
      <c r="AJ93" s="579"/>
      <c r="AK93" s="579"/>
      <c r="AL93" s="579"/>
      <c r="AM93" s="579"/>
      <c r="AN93" s="579"/>
      <c r="AO93" s="579"/>
      <c r="AP93" s="579"/>
      <c r="AQ93" s="579"/>
      <c r="AR93" s="579"/>
      <c r="AS93" s="579"/>
      <c r="AT93" s="579"/>
      <c r="AU93" s="579"/>
      <c r="AV93" s="579"/>
    </row>
    <row r="94" spans="1:48" ht="19.899999999999999" thickBot="1">
      <c r="A94" s="579"/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  <c r="AF94" s="579"/>
      <c r="AG94" s="579"/>
      <c r="AH94" s="579"/>
      <c r="AI94" s="579"/>
      <c r="AJ94" s="579"/>
      <c r="AK94" s="579"/>
      <c r="AL94" s="579"/>
      <c r="AM94" s="579"/>
      <c r="AN94" s="579"/>
      <c r="AO94" s="579"/>
      <c r="AP94" s="579"/>
      <c r="AQ94" s="579"/>
      <c r="AR94" s="579"/>
      <c r="AS94" s="579"/>
      <c r="AT94" s="579"/>
      <c r="AU94" s="579"/>
      <c r="AV94" s="579"/>
    </row>
    <row r="95" spans="1:48" ht="19.899999999999999" thickBot="1">
      <c r="A95" s="579"/>
      <c r="B95" s="579"/>
      <c r="C95" s="579"/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  <c r="AF95" s="579"/>
      <c r="AG95" s="579"/>
      <c r="AH95" s="579"/>
      <c r="AI95" s="579"/>
      <c r="AJ95" s="579"/>
      <c r="AK95" s="579"/>
      <c r="AL95" s="579"/>
      <c r="AM95" s="579"/>
      <c r="AN95" s="579"/>
      <c r="AO95" s="579"/>
      <c r="AP95" s="579"/>
      <c r="AQ95" s="579"/>
      <c r="AR95" s="579"/>
      <c r="AS95" s="579"/>
      <c r="AT95" s="579"/>
      <c r="AU95" s="579"/>
      <c r="AV95" s="579"/>
    </row>
    <row r="96" spans="1:48" ht="19.899999999999999" thickBot="1">
      <c r="A96" s="579"/>
      <c r="B96" s="579"/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  <c r="AF96" s="579"/>
      <c r="AG96" s="579"/>
      <c r="AH96" s="579"/>
      <c r="AI96" s="579"/>
      <c r="AJ96" s="579"/>
      <c r="AK96" s="579"/>
      <c r="AL96" s="579"/>
      <c r="AM96" s="579"/>
      <c r="AN96" s="579"/>
      <c r="AO96" s="579"/>
      <c r="AP96" s="579"/>
      <c r="AQ96" s="579"/>
      <c r="AR96" s="579"/>
      <c r="AS96" s="579"/>
      <c r="AT96" s="579"/>
      <c r="AU96" s="579"/>
      <c r="AV96" s="579"/>
    </row>
    <row r="97" spans="1:48" ht="19.899999999999999" thickBot="1">
      <c r="A97" s="579"/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  <c r="AF97" s="579"/>
      <c r="AG97" s="579"/>
      <c r="AH97" s="579"/>
      <c r="AI97" s="579"/>
      <c r="AJ97" s="579"/>
      <c r="AK97" s="579"/>
      <c r="AL97" s="579"/>
      <c r="AM97" s="579"/>
      <c r="AN97" s="579"/>
      <c r="AO97" s="579"/>
      <c r="AP97" s="579"/>
      <c r="AQ97" s="579"/>
      <c r="AR97" s="579"/>
      <c r="AS97" s="579"/>
      <c r="AT97" s="579"/>
      <c r="AU97" s="579"/>
      <c r="AV97" s="579"/>
    </row>
    <row r="98" spans="1:48" ht="19.899999999999999" thickBot="1">
      <c r="A98" s="579"/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  <c r="AF98" s="579"/>
      <c r="AG98" s="579"/>
      <c r="AH98" s="579"/>
      <c r="AI98" s="579"/>
      <c r="AJ98" s="579"/>
      <c r="AK98" s="579"/>
      <c r="AL98" s="579"/>
      <c r="AM98" s="579"/>
      <c r="AN98" s="579"/>
      <c r="AO98" s="579"/>
      <c r="AP98" s="579"/>
      <c r="AQ98" s="579"/>
      <c r="AR98" s="579"/>
      <c r="AS98" s="579"/>
      <c r="AT98" s="579"/>
      <c r="AU98" s="579"/>
      <c r="AV98" s="579"/>
    </row>
    <row r="99" spans="1:48" ht="19.899999999999999" thickBot="1">
      <c r="A99" s="579"/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  <c r="AF99" s="579"/>
      <c r="AG99" s="579"/>
      <c r="AH99" s="579"/>
      <c r="AI99" s="579"/>
      <c r="AJ99" s="579"/>
      <c r="AK99" s="579"/>
      <c r="AL99" s="579"/>
      <c r="AM99" s="579"/>
      <c r="AN99" s="579"/>
      <c r="AO99" s="579"/>
      <c r="AP99" s="579"/>
      <c r="AQ99" s="579"/>
      <c r="AR99" s="579"/>
      <c r="AS99" s="579"/>
      <c r="AT99" s="579"/>
      <c r="AU99" s="579"/>
      <c r="AV99" s="579"/>
    </row>
    <row r="100" spans="1:48" ht="19.899999999999999" thickBot="1">
      <c r="A100" s="579"/>
      <c r="B100" s="579"/>
      <c r="C100" s="579"/>
      <c r="D100" s="579"/>
      <c r="E100" s="579"/>
      <c r="F100" s="660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  <c r="AF100" s="579"/>
      <c r="AG100" s="579"/>
      <c r="AH100" s="579"/>
      <c r="AI100" s="579"/>
      <c r="AJ100" s="579"/>
      <c r="AK100" s="579"/>
      <c r="AL100" s="579"/>
      <c r="AM100" s="579"/>
      <c r="AN100" s="579"/>
      <c r="AO100" s="579"/>
      <c r="AP100" s="579"/>
      <c r="AQ100" s="579"/>
      <c r="AR100" s="579"/>
      <c r="AS100" s="579"/>
      <c r="AT100" s="579"/>
      <c r="AU100" s="579"/>
      <c r="AV100" s="579"/>
    </row>
    <row r="101" spans="1:48" ht="19.899999999999999" thickBot="1">
      <c r="A101" s="579"/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  <c r="AF101" s="579"/>
      <c r="AG101" s="579"/>
      <c r="AH101" s="579"/>
      <c r="AI101" s="579"/>
      <c r="AJ101" s="579"/>
      <c r="AK101" s="579"/>
      <c r="AL101" s="579"/>
      <c r="AM101" s="579"/>
      <c r="AN101" s="579"/>
      <c r="AO101" s="579"/>
      <c r="AP101" s="579"/>
      <c r="AQ101" s="579"/>
      <c r="AR101" s="579"/>
      <c r="AS101" s="579"/>
      <c r="AT101" s="579"/>
      <c r="AU101" s="579"/>
      <c r="AV101" s="579"/>
    </row>
    <row r="102" spans="1:48" ht="19.899999999999999" thickBot="1">
      <c r="A102" s="579"/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  <c r="AF102" s="579"/>
      <c r="AG102" s="579"/>
      <c r="AH102" s="579"/>
      <c r="AI102" s="579"/>
      <c r="AJ102" s="579"/>
      <c r="AK102" s="579"/>
      <c r="AL102" s="579"/>
      <c r="AM102" s="579"/>
      <c r="AN102" s="579"/>
      <c r="AO102" s="579"/>
      <c r="AP102" s="579"/>
      <c r="AQ102" s="579"/>
      <c r="AR102" s="579"/>
      <c r="AS102" s="579"/>
      <c r="AT102" s="579"/>
      <c r="AU102" s="579"/>
      <c r="AV102" s="579"/>
    </row>
    <row r="103" spans="1:48" ht="19.899999999999999" thickBot="1">
      <c r="A103" s="579"/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  <c r="AF103" s="579"/>
      <c r="AG103" s="579"/>
      <c r="AH103" s="579"/>
      <c r="AI103" s="579"/>
      <c r="AJ103" s="579"/>
      <c r="AK103" s="579"/>
      <c r="AL103" s="579"/>
      <c r="AM103" s="579"/>
      <c r="AN103" s="579"/>
      <c r="AO103" s="579"/>
      <c r="AP103" s="579"/>
      <c r="AQ103" s="579"/>
      <c r="AR103" s="579"/>
      <c r="AS103" s="579"/>
      <c r="AT103" s="579"/>
      <c r="AU103" s="579"/>
      <c r="AV103" s="579"/>
    </row>
    <row r="104" spans="1:48" ht="19.899999999999999" thickBot="1">
      <c r="A104" s="579"/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  <c r="AF104" s="579"/>
      <c r="AG104" s="579"/>
      <c r="AH104" s="579"/>
      <c r="AI104" s="579"/>
      <c r="AJ104" s="579"/>
      <c r="AK104" s="579"/>
      <c r="AL104" s="579"/>
      <c r="AM104" s="579"/>
      <c r="AN104" s="579"/>
      <c r="AO104" s="579"/>
      <c r="AP104" s="579"/>
      <c r="AQ104" s="579"/>
      <c r="AR104" s="579"/>
      <c r="AS104" s="579"/>
      <c r="AT104" s="579"/>
      <c r="AU104" s="579"/>
      <c r="AV104" s="579"/>
    </row>
    <row r="105" spans="1:48" ht="19.899999999999999" thickBot="1">
      <c r="A105" s="579"/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  <c r="AF105" s="579"/>
      <c r="AG105" s="579"/>
      <c r="AH105" s="579"/>
      <c r="AI105" s="579"/>
      <c r="AJ105" s="579"/>
      <c r="AK105" s="579"/>
      <c r="AL105" s="579"/>
      <c r="AM105" s="579"/>
      <c r="AN105" s="579"/>
      <c r="AO105" s="579"/>
      <c r="AP105" s="579"/>
      <c r="AQ105" s="579"/>
      <c r="AR105" s="579"/>
      <c r="AS105" s="579"/>
      <c r="AT105" s="579"/>
      <c r="AU105" s="579"/>
      <c r="AV105" s="579"/>
    </row>
    <row r="106" spans="1:48" ht="19.899999999999999" thickBot="1">
      <c r="A106" s="579"/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  <c r="AF106" s="579"/>
      <c r="AG106" s="579"/>
      <c r="AH106" s="579"/>
      <c r="AI106" s="579"/>
      <c r="AJ106" s="579"/>
      <c r="AK106" s="579"/>
      <c r="AL106" s="579"/>
      <c r="AM106" s="579"/>
      <c r="AN106" s="579"/>
      <c r="AO106" s="579"/>
      <c r="AP106" s="579"/>
      <c r="AQ106" s="579"/>
      <c r="AR106" s="579"/>
      <c r="AS106" s="579"/>
      <c r="AT106" s="579"/>
      <c r="AU106" s="579"/>
      <c r="AV106" s="579"/>
    </row>
    <row r="107" spans="1:48" ht="19.899999999999999" thickBot="1">
      <c r="A107" s="579"/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  <c r="AF107" s="579"/>
      <c r="AG107" s="579"/>
      <c r="AH107" s="579"/>
      <c r="AI107" s="579"/>
      <c r="AJ107" s="579"/>
      <c r="AK107" s="579"/>
      <c r="AL107" s="579"/>
      <c r="AM107" s="579"/>
      <c r="AN107" s="579"/>
      <c r="AO107" s="579"/>
      <c r="AP107" s="579"/>
      <c r="AQ107" s="579"/>
      <c r="AR107" s="579"/>
      <c r="AS107" s="579"/>
      <c r="AT107" s="579"/>
      <c r="AU107" s="579"/>
      <c r="AV107" s="579"/>
    </row>
    <row r="108" spans="1:48" ht="19.899999999999999" thickBot="1">
      <c r="A108" s="579"/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  <c r="AF108" s="579"/>
      <c r="AG108" s="579"/>
      <c r="AH108" s="579"/>
      <c r="AI108" s="579"/>
      <c r="AJ108" s="579"/>
      <c r="AK108" s="579"/>
      <c r="AL108" s="579"/>
      <c r="AM108" s="579"/>
      <c r="AN108" s="579"/>
      <c r="AO108" s="579"/>
      <c r="AP108" s="579"/>
      <c r="AQ108" s="579"/>
      <c r="AR108" s="579"/>
      <c r="AS108" s="579"/>
      <c r="AT108" s="579"/>
      <c r="AU108" s="579"/>
      <c r="AV108" s="579"/>
    </row>
    <row r="109" spans="1:48" ht="19.899999999999999" thickBot="1">
      <c r="A109" s="579"/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  <c r="AF109" s="579"/>
      <c r="AG109" s="579"/>
      <c r="AH109" s="579"/>
      <c r="AI109" s="579"/>
      <c r="AJ109" s="579"/>
      <c r="AK109" s="579"/>
      <c r="AL109" s="579"/>
      <c r="AM109" s="579"/>
      <c r="AN109" s="579"/>
      <c r="AO109" s="579"/>
      <c r="AP109" s="579"/>
      <c r="AQ109" s="579"/>
      <c r="AR109" s="579"/>
      <c r="AS109" s="579"/>
      <c r="AT109" s="579"/>
      <c r="AU109" s="579"/>
      <c r="AV109" s="579"/>
    </row>
    <row r="110" spans="1:48" ht="19.899999999999999" thickBot="1">
      <c r="A110" s="579"/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  <c r="AF110" s="579"/>
      <c r="AG110" s="579"/>
      <c r="AH110" s="579"/>
      <c r="AI110" s="579"/>
      <c r="AJ110" s="579"/>
      <c r="AK110" s="579"/>
      <c r="AL110" s="579"/>
      <c r="AM110" s="579"/>
      <c r="AN110" s="579"/>
      <c r="AO110" s="579"/>
      <c r="AP110" s="579"/>
      <c r="AQ110" s="579"/>
      <c r="AR110" s="579"/>
      <c r="AS110" s="579"/>
      <c r="AT110" s="579"/>
      <c r="AU110" s="579"/>
      <c r="AV110" s="579"/>
    </row>
    <row r="111" spans="1:48" ht="19.899999999999999" thickBot="1">
      <c r="A111" s="579"/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  <c r="AF111" s="579"/>
      <c r="AG111" s="579"/>
      <c r="AH111" s="579"/>
      <c r="AI111" s="579"/>
      <c r="AJ111" s="579"/>
      <c r="AK111" s="579"/>
      <c r="AL111" s="579"/>
      <c r="AM111" s="579"/>
      <c r="AN111" s="579"/>
      <c r="AO111" s="579"/>
      <c r="AP111" s="579"/>
      <c r="AQ111" s="579"/>
      <c r="AR111" s="579"/>
      <c r="AS111" s="579"/>
      <c r="AT111" s="579"/>
      <c r="AU111" s="579"/>
      <c r="AV111" s="579"/>
    </row>
    <row r="112" spans="1:48" ht="19.899999999999999" thickBot="1">
      <c r="A112" s="579"/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  <c r="AF112" s="579"/>
      <c r="AG112" s="579"/>
      <c r="AH112" s="579"/>
      <c r="AI112" s="579"/>
      <c r="AJ112" s="579"/>
      <c r="AK112" s="579"/>
      <c r="AL112" s="579"/>
      <c r="AM112" s="579"/>
      <c r="AN112" s="579"/>
      <c r="AO112" s="579"/>
      <c r="AP112" s="579"/>
      <c r="AQ112" s="579"/>
      <c r="AR112" s="579"/>
      <c r="AS112" s="579"/>
      <c r="AT112" s="579"/>
      <c r="AU112" s="579"/>
      <c r="AV112" s="579"/>
    </row>
    <row r="113" spans="1:48" ht="19.899999999999999" thickBot="1">
      <c r="A113" s="579"/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  <c r="AF113" s="579"/>
      <c r="AG113" s="579"/>
      <c r="AH113" s="579"/>
      <c r="AI113" s="579"/>
      <c r="AJ113" s="579"/>
      <c r="AK113" s="579"/>
      <c r="AL113" s="579"/>
      <c r="AM113" s="579"/>
      <c r="AN113" s="579"/>
      <c r="AO113" s="579"/>
      <c r="AP113" s="579"/>
      <c r="AQ113" s="579"/>
      <c r="AR113" s="579"/>
      <c r="AS113" s="579"/>
      <c r="AT113" s="579"/>
      <c r="AU113" s="579"/>
      <c r="AV113" s="579"/>
    </row>
    <row r="114" spans="1:48" ht="19.899999999999999" thickBot="1">
      <c r="A114" s="579"/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  <c r="AF114" s="579"/>
      <c r="AG114" s="579"/>
      <c r="AH114" s="579"/>
      <c r="AI114" s="579"/>
      <c r="AJ114" s="579"/>
      <c r="AK114" s="579"/>
      <c r="AL114" s="579"/>
      <c r="AM114" s="579"/>
      <c r="AN114" s="579"/>
      <c r="AO114" s="579"/>
      <c r="AP114" s="579"/>
      <c r="AQ114" s="579"/>
      <c r="AR114" s="579"/>
      <c r="AS114" s="579"/>
      <c r="AT114" s="579"/>
      <c r="AU114" s="579"/>
      <c r="AV114" s="579"/>
    </row>
    <row r="115" spans="1:48" ht="19.899999999999999" thickBot="1">
      <c r="A115" s="579"/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  <c r="AF115" s="579"/>
      <c r="AG115" s="579"/>
      <c r="AH115" s="579"/>
      <c r="AI115" s="579"/>
      <c r="AJ115" s="579"/>
      <c r="AK115" s="579"/>
      <c r="AL115" s="579"/>
      <c r="AM115" s="579"/>
      <c r="AN115" s="579"/>
      <c r="AO115" s="579"/>
      <c r="AP115" s="579"/>
      <c r="AQ115" s="579"/>
      <c r="AR115" s="579"/>
      <c r="AS115" s="579"/>
      <c r="AT115" s="579"/>
      <c r="AU115" s="579"/>
      <c r="AV115" s="579"/>
    </row>
    <row r="116" spans="1:48" ht="19.899999999999999" thickBot="1">
      <c r="A116" s="579"/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  <c r="AF116" s="579"/>
      <c r="AG116" s="579"/>
      <c r="AH116" s="579"/>
      <c r="AI116" s="579"/>
      <c r="AJ116" s="579"/>
      <c r="AK116" s="579"/>
      <c r="AL116" s="579"/>
      <c r="AM116" s="579"/>
      <c r="AN116" s="579"/>
      <c r="AO116" s="579"/>
      <c r="AP116" s="579"/>
      <c r="AQ116" s="579"/>
      <c r="AR116" s="579"/>
      <c r="AS116" s="579"/>
      <c r="AT116" s="579"/>
      <c r="AU116" s="579"/>
      <c r="AV116" s="579"/>
    </row>
    <row r="117" spans="1:48" ht="19.899999999999999" thickBot="1">
      <c r="A117" s="579"/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  <c r="AF117" s="579"/>
      <c r="AG117" s="579"/>
      <c r="AH117" s="579"/>
      <c r="AI117" s="579"/>
      <c r="AJ117" s="579"/>
      <c r="AK117" s="579"/>
      <c r="AL117" s="579"/>
      <c r="AM117" s="579"/>
      <c r="AN117" s="579"/>
      <c r="AO117" s="579"/>
      <c r="AP117" s="579"/>
      <c r="AQ117" s="579"/>
      <c r="AR117" s="579"/>
      <c r="AS117" s="579"/>
      <c r="AT117" s="579"/>
      <c r="AU117" s="579"/>
      <c r="AV117" s="579"/>
    </row>
    <row r="118" spans="1:48" ht="19.899999999999999" thickBot="1">
      <c r="A118" s="579"/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  <c r="AF118" s="579"/>
      <c r="AG118" s="579"/>
      <c r="AH118" s="579"/>
      <c r="AI118" s="579"/>
      <c r="AJ118" s="579"/>
      <c r="AK118" s="579"/>
      <c r="AL118" s="579"/>
      <c r="AM118" s="579"/>
      <c r="AN118" s="579"/>
      <c r="AO118" s="579"/>
      <c r="AP118" s="579"/>
      <c r="AQ118" s="579"/>
      <c r="AR118" s="579"/>
      <c r="AS118" s="579"/>
      <c r="AT118" s="579"/>
      <c r="AU118" s="579"/>
      <c r="AV118" s="579"/>
    </row>
    <row r="119" spans="1:48" ht="19.899999999999999" thickBot="1">
      <c r="A119" s="579"/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  <c r="AF119" s="579"/>
      <c r="AG119" s="579"/>
      <c r="AH119" s="579"/>
      <c r="AI119" s="579"/>
      <c r="AJ119" s="579"/>
      <c r="AK119" s="579"/>
      <c r="AL119" s="579"/>
      <c r="AM119" s="579"/>
      <c r="AN119" s="579"/>
      <c r="AO119" s="579"/>
      <c r="AP119" s="579"/>
      <c r="AQ119" s="579"/>
      <c r="AR119" s="579"/>
      <c r="AS119" s="579"/>
      <c r="AT119" s="579"/>
      <c r="AU119" s="579"/>
      <c r="AV119" s="579"/>
    </row>
    <row r="120" spans="1:48" ht="19.899999999999999" thickBot="1">
      <c r="A120" s="579"/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  <c r="AF120" s="579"/>
      <c r="AG120" s="579"/>
      <c r="AH120" s="579"/>
      <c r="AI120" s="579"/>
      <c r="AJ120" s="579"/>
      <c r="AK120" s="579"/>
      <c r="AL120" s="579"/>
      <c r="AM120" s="579"/>
      <c r="AN120" s="579"/>
      <c r="AO120" s="579"/>
      <c r="AP120" s="579"/>
      <c r="AQ120" s="579"/>
      <c r="AR120" s="579"/>
      <c r="AS120" s="579"/>
      <c r="AT120" s="579"/>
      <c r="AU120" s="579"/>
      <c r="AV120" s="579"/>
    </row>
    <row r="121" spans="1:48" ht="19.899999999999999" thickBot="1">
      <c r="A121" s="579"/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  <c r="AF121" s="579"/>
      <c r="AG121" s="579"/>
      <c r="AH121" s="579"/>
      <c r="AI121" s="579"/>
      <c r="AJ121" s="579"/>
      <c r="AK121" s="579"/>
      <c r="AL121" s="579"/>
      <c r="AM121" s="579"/>
      <c r="AN121" s="579"/>
      <c r="AO121" s="579"/>
      <c r="AP121" s="579"/>
      <c r="AQ121" s="579"/>
      <c r="AR121" s="579"/>
      <c r="AS121" s="579"/>
      <c r="AT121" s="579"/>
      <c r="AU121" s="579"/>
      <c r="AV121" s="579"/>
    </row>
    <row r="122" spans="1:48" ht="19.899999999999999" thickBot="1">
      <c r="A122" s="579"/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  <c r="AF122" s="579"/>
      <c r="AG122" s="579"/>
      <c r="AH122" s="579"/>
      <c r="AI122" s="579"/>
      <c r="AJ122" s="579"/>
      <c r="AK122" s="579"/>
      <c r="AL122" s="579"/>
      <c r="AM122" s="579"/>
      <c r="AN122" s="579"/>
      <c r="AO122" s="579"/>
      <c r="AP122" s="579"/>
      <c r="AQ122" s="579"/>
      <c r="AR122" s="579"/>
      <c r="AS122" s="579"/>
      <c r="AT122" s="579"/>
      <c r="AU122" s="579"/>
      <c r="AV122" s="579"/>
    </row>
    <row r="123" spans="1:48" ht="19.899999999999999" thickBot="1">
      <c r="A123" s="579"/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  <c r="AF123" s="579"/>
      <c r="AG123" s="579"/>
      <c r="AH123" s="579"/>
      <c r="AI123" s="579"/>
      <c r="AJ123" s="579"/>
      <c r="AK123" s="579"/>
      <c r="AL123" s="579"/>
      <c r="AM123" s="579"/>
      <c r="AN123" s="579"/>
      <c r="AO123" s="579"/>
      <c r="AP123" s="579"/>
      <c r="AQ123" s="579"/>
      <c r="AR123" s="579"/>
      <c r="AS123" s="579"/>
      <c r="AT123" s="579"/>
      <c r="AU123" s="579"/>
      <c r="AV123" s="579"/>
    </row>
    <row r="124" spans="1:48" ht="19.899999999999999" thickBot="1">
      <c r="A124" s="579"/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  <c r="AF124" s="579"/>
      <c r="AG124" s="579"/>
      <c r="AH124" s="579"/>
      <c r="AI124" s="579"/>
      <c r="AJ124" s="579"/>
      <c r="AK124" s="579"/>
      <c r="AL124" s="579"/>
      <c r="AM124" s="579"/>
      <c r="AN124" s="579"/>
      <c r="AO124" s="579"/>
      <c r="AP124" s="579"/>
      <c r="AQ124" s="579"/>
      <c r="AR124" s="579"/>
      <c r="AS124" s="579"/>
      <c r="AT124" s="579"/>
      <c r="AU124" s="579"/>
      <c r="AV124" s="579"/>
    </row>
    <row r="125" spans="1:48" ht="19.899999999999999" thickBot="1">
      <c r="A125" s="579"/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  <c r="AF125" s="579"/>
      <c r="AG125" s="579"/>
      <c r="AH125" s="579"/>
      <c r="AI125" s="579"/>
      <c r="AJ125" s="579"/>
      <c r="AK125" s="579"/>
      <c r="AL125" s="579"/>
      <c r="AM125" s="579"/>
      <c r="AN125" s="579"/>
      <c r="AO125" s="579"/>
      <c r="AP125" s="579"/>
      <c r="AQ125" s="579"/>
      <c r="AR125" s="579"/>
      <c r="AS125" s="579"/>
      <c r="AT125" s="579"/>
      <c r="AU125" s="579"/>
      <c r="AV125" s="579"/>
    </row>
    <row r="126" spans="1:48" ht="19.899999999999999" thickBot="1">
      <c r="A126" s="579"/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  <c r="AF126" s="579"/>
      <c r="AG126" s="579"/>
      <c r="AH126" s="579"/>
      <c r="AI126" s="579"/>
      <c r="AJ126" s="579"/>
      <c r="AK126" s="579"/>
      <c r="AL126" s="579"/>
      <c r="AM126" s="579"/>
      <c r="AN126" s="579"/>
      <c r="AO126" s="579"/>
      <c r="AP126" s="579"/>
      <c r="AQ126" s="579"/>
      <c r="AR126" s="579"/>
      <c r="AS126" s="579"/>
      <c r="AT126" s="579"/>
      <c r="AU126" s="579"/>
      <c r="AV126" s="579"/>
    </row>
    <row r="127" spans="1:48" ht="19.899999999999999" thickBot="1">
      <c r="A127" s="579"/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  <c r="AF127" s="579"/>
      <c r="AG127" s="579"/>
      <c r="AH127" s="579"/>
      <c r="AI127" s="579"/>
      <c r="AJ127" s="579"/>
      <c r="AK127" s="579"/>
      <c r="AL127" s="579"/>
      <c r="AM127" s="579"/>
      <c r="AN127" s="579"/>
      <c r="AO127" s="579"/>
      <c r="AP127" s="579"/>
      <c r="AQ127" s="579"/>
      <c r="AR127" s="579"/>
      <c r="AS127" s="579"/>
      <c r="AT127" s="579"/>
      <c r="AU127" s="579"/>
      <c r="AV127" s="579"/>
    </row>
    <row r="128" spans="1:48" ht="19.899999999999999" thickBot="1">
      <c r="A128" s="579"/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  <c r="AF128" s="579"/>
      <c r="AG128" s="579"/>
      <c r="AH128" s="579"/>
      <c r="AI128" s="579"/>
      <c r="AJ128" s="579"/>
      <c r="AK128" s="579"/>
      <c r="AL128" s="579"/>
      <c r="AM128" s="579"/>
      <c r="AN128" s="579"/>
      <c r="AO128" s="579"/>
      <c r="AP128" s="579"/>
      <c r="AQ128" s="579"/>
      <c r="AR128" s="579"/>
      <c r="AS128" s="579"/>
      <c r="AT128" s="579"/>
      <c r="AU128" s="579"/>
      <c r="AV128" s="579"/>
    </row>
    <row r="129" spans="1:48" ht="19.899999999999999" thickBot="1">
      <c r="A129" s="579"/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  <c r="AF129" s="579"/>
      <c r="AG129" s="579"/>
      <c r="AH129" s="579"/>
      <c r="AI129" s="579"/>
      <c r="AJ129" s="579"/>
      <c r="AK129" s="579"/>
      <c r="AL129" s="579"/>
      <c r="AM129" s="579"/>
      <c r="AN129" s="579"/>
      <c r="AO129" s="579"/>
      <c r="AP129" s="579"/>
      <c r="AQ129" s="579"/>
      <c r="AR129" s="579"/>
      <c r="AS129" s="579"/>
      <c r="AT129" s="579"/>
      <c r="AU129" s="579"/>
      <c r="AV129" s="579"/>
    </row>
    <row r="130" spans="1:48" ht="19.899999999999999" thickBot="1">
      <c r="A130" s="579"/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  <c r="AF130" s="579"/>
      <c r="AG130" s="579"/>
      <c r="AH130" s="579"/>
      <c r="AI130" s="579"/>
      <c r="AJ130" s="579"/>
      <c r="AK130" s="579"/>
      <c r="AL130" s="579"/>
      <c r="AM130" s="579"/>
      <c r="AN130" s="579"/>
      <c r="AO130" s="579"/>
      <c r="AP130" s="579"/>
      <c r="AQ130" s="579"/>
      <c r="AR130" s="579"/>
      <c r="AS130" s="579"/>
      <c r="AT130" s="579"/>
      <c r="AU130" s="579"/>
      <c r="AV130" s="579"/>
    </row>
    <row r="131" spans="1:48" ht="19.899999999999999" thickBot="1">
      <c r="A131" s="579"/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  <c r="AF131" s="579"/>
      <c r="AG131" s="579"/>
      <c r="AH131" s="579"/>
      <c r="AI131" s="579"/>
      <c r="AJ131" s="579"/>
      <c r="AK131" s="579"/>
      <c r="AL131" s="579"/>
      <c r="AM131" s="579"/>
      <c r="AN131" s="579"/>
      <c r="AO131" s="579"/>
      <c r="AP131" s="579"/>
      <c r="AQ131" s="579"/>
      <c r="AR131" s="579"/>
      <c r="AS131" s="579"/>
      <c r="AT131" s="579"/>
      <c r="AU131" s="579"/>
      <c r="AV131" s="579"/>
    </row>
    <row r="132" spans="1:48" ht="19.899999999999999" thickBot="1">
      <c r="A132" s="579"/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  <c r="AF132" s="579"/>
      <c r="AG132" s="579"/>
      <c r="AH132" s="579"/>
      <c r="AI132" s="579"/>
      <c r="AJ132" s="579"/>
      <c r="AK132" s="579"/>
      <c r="AL132" s="579"/>
      <c r="AM132" s="579"/>
      <c r="AN132" s="579"/>
      <c r="AO132" s="579"/>
      <c r="AP132" s="579"/>
      <c r="AQ132" s="579"/>
      <c r="AR132" s="579"/>
      <c r="AS132" s="579"/>
      <c r="AT132" s="579"/>
      <c r="AU132" s="579"/>
      <c r="AV132" s="579"/>
    </row>
    <row r="133" spans="1:48" ht="19.899999999999999" thickBot="1">
      <c r="A133" s="579"/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  <c r="AF133" s="579"/>
      <c r="AG133" s="579"/>
      <c r="AH133" s="579"/>
      <c r="AI133" s="579"/>
      <c r="AJ133" s="579"/>
      <c r="AK133" s="579"/>
      <c r="AL133" s="579"/>
      <c r="AM133" s="579"/>
      <c r="AN133" s="579"/>
      <c r="AO133" s="579"/>
      <c r="AP133" s="579"/>
      <c r="AQ133" s="579"/>
      <c r="AR133" s="579"/>
      <c r="AS133" s="579"/>
      <c r="AT133" s="579"/>
      <c r="AU133" s="579"/>
      <c r="AV133" s="579"/>
    </row>
    <row r="134" spans="1:48" ht="19.899999999999999" thickBot="1">
      <c r="A134" s="579"/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  <c r="AF134" s="579"/>
      <c r="AG134" s="579"/>
      <c r="AH134" s="579"/>
      <c r="AI134" s="579"/>
      <c r="AJ134" s="579"/>
      <c r="AK134" s="579"/>
      <c r="AL134" s="579"/>
      <c r="AM134" s="579"/>
      <c r="AN134" s="579"/>
      <c r="AO134" s="579"/>
      <c r="AP134" s="579"/>
      <c r="AQ134" s="579"/>
      <c r="AR134" s="579"/>
      <c r="AS134" s="579"/>
      <c r="AT134" s="579"/>
      <c r="AU134" s="579"/>
      <c r="AV134" s="579"/>
    </row>
    <row r="135" spans="1:48" ht="19.899999999999999" thickBot="1">
      <c r="A135" s="579"/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  <c r="AF135" s="579"/>
      <c r="AG135" s="579"/>
      <c r="AH135" s="579"/>
      <c r="AI135" s="579"/>
      <c r="AJ135" s="579"/>
      <c r="AK135" s="579"/>
      <c r="AL135" s="579"/>
      <c r="AM135" s="579"/>
      <c r="AN135" s="579"/>
      <c r="AO135" s="579"/>
      <c r="AP135" s="579"/>
      <c r="AQ135" s="579"/>
      <c r="AR135" s="579"/>
      <c r="AS135" s="579"/>
      <c r="AT135" s="579"/>
      <c r="AU135" s="579"/>
      <c r="AV135" s="579"/>
    </row>
    <row r="136" spans="1:48" ht="19.899999999999999" thickBot="1">
      <c r="A136" s="579"/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  <c r="AF136" s="579"/>
      <c r="AG136" s="579"/>
      <c r="AH136" s="579"/>
      <c r="AI136" s="579"/>
      <c r="AJ136" s="579"/>
      <c r="AK136" s="579"/>
      <c r="AL136" s="579"/>
      <c r="AM136" s="579"/>
      <c r="AN136" s="579"/>
      <c r="AO136" s="579"/>
      <c r="AP136" s="579"/>
      <c r="AQ136" s="579"/>
      <c r="AR136" s="579"/>
      <c r="AS136" s="579"/>
      <c r="AT136" s="579"/>
      <c r="AU136" s="579"/>
      <c r="AV136" s="579"/>
    </row>
    <row r="137" spans="1:48" ht="19.899999999999999" thickBot="1">
      <c r="A137" s="579"/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  <c r="AF137" s="579"/>
      <c r="AG137" s="579"/>
      <c r="AH137" s="579"/>
      <c r="AI137" s="579"/>
      <c r="AJ137" s="579"/>
      <c r="AK137" s="579"/>
      <c r="AL137" s="579"/>
      <c r="AM137" s="579"/>
      <c r="AN137" s="579"/>
      <c r="AO137" s="579"/>
      <c r="AP137" s="579"/>
      <c r="AQ137" s="579"/>
      <c r="AR137" s="579"/>
      <c r="AS137" s="579"/>
      <c r="AT137" s="579"/>
      <c r="AU137" s="579"/>
      <c r="AV137" s="579"/>
    </row>
    <row r="138" spans="1:48" ht="19.899999999999999" thickBot="1">
      <c r="A138" s="579"/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  <c r="AF138" s="579"/>
      <c r="AG138" s="579"/>
      <c r="AH138" s="579"/>
      <c r="AI138" s="579"/>
      <c r="AJ138" s="579"/>
      <c r="AK138" s="579"/>
      <c r="AL138" s="579"/>
      <c r="AM138" s="579"/>
      <c r="AN138" s="579"/>
      <c r="AO138" s="579"/>
      <c r="AP138" s="579"/>
      <c r="AQ138" s="579"/>
      <c r="AR138" s="579"/>
      <c r="AS138" s="579"/>
      <c r="AT138" s="579"/>
      <c r="AU138" s="579"/>
      <c r="AV138" s="579"/>
    </row>
    <row r="139" spans="1:48" ht="19.899999999999999" thickBot="1">
      <c r="A139" s="579"/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  <c r="AF139" s="579"/>
      <c r="AG139" s="579"/>
      <c r="AH139" s="579"/>
      <c r="AI139" s="579"/>
      <c r="AJ139" s="579"/>
      <c r="AK139" s="579"/>
      <c r="AL139" s="579"/>
      <c r="AM139" s="579"/>
      <c r="AN139" s="579"/>
      <c r="AO139" s="579"/>
      <c r="AP139" s="579"/>
      <c r="AQ139" s="579"/>
      <c r="AR139" s="579"/>
      <c r="AS139" s="579"/>
      <c r="AT139" s="579"/>
      <c r="AU139" s="579"/>
      <c r="AV139" s="579"/>
    </row>
    <row r="140" spans="1:48" ht="19.899999999999999" thickBot="1">
      <c r="A140" s="579"/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  <c r="AF140" s="579"/>
      <c r="AG140" s="579"/>
      <c r="AH140" s="579"/>
      <c r="AI140" s="579"/>
      <c r="AJ140" s="579"/>
      <c r="AK140" s="579"/>
      <c r="AL140" s="579"/>
      <c r="AM140" s="579"/>
      <c r="AN140" s="579"/>
      <c r="AO140" s="579"/>
      <c r="AP140" s="579"/>
      <c r="AQ140" s="579"/>
      <c r="AR140" s="579"/>
      <c r="AS140" s="579"/>
      <c r="AT140" s="579"/>
      <c r="AU140" s="579"/>
      <c r="AV140" s="579"/>
    </row>
    <row r="141" spans="1:48" ht="19.899999999999999" thickBot="1">
      <c r="A141" s="579"/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  <c r="AF141" s="579"/>
      <c r="AG141" s="579"/>
      <c r="AH141" s="579"/>
      <c r="AI141" s="579"/>
      <c r="AJ141" s="579"/>
      <c r="AK141" s="579"/>
      <c r="AL141" s="579"/>
      <c r="AM141" s="579"/>
      <c r="AN141" s="579"/>
      <c r="AO141" s="579"/>
      <c r="AP141" s="579"/>
      <c r="AQ141" s="579"/>
      <c r="AR141" s="579"/>
      <c r="AS141" s="579"/>
      <c r="AT141" s="579"/>
      <c r="AU141" s="579"/>
      <c r="AV141" s="579"/>
    </row>
    <row r="142" spans="1:48" ht="19.899999999999999" thickBot="1">
      <c r="A142" s="579"/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  <c r="AF142" s="579"/>
      <c r="AG142" s="579"/>
      <c r="AH142" s="579"/>
      <c r="AI142" s="579"/>
      <c r="AJ142" s="579"/>
      <c r="AK142" s="579"/>
      <c r="AL142" s="579"/>
      <c r="AM142" s="579"/>
      <c r="AN142" s="579"/>
      <c r="AO142" s="579"/>
      <c r="AP142" s="579"/>
      <c r="AQ142" s="579"/>
      <c r="AR142" s="579"/>
      <c r="AS142" s="579"/>
      <c r="AT142" s="579"/>
      <c r="AU142" s="579"/>
      <c r="AV142" s="579"/>
    </row>
    <row r="143" spans="1:48" ht="19.899999999999999" thickBot="1">
      <c r="A143" s="579"/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  <c r="AF143" s="579"/>
      <c r="AG143" s="579"/>
      <c r="AH143" s="579"/>
      <c r="AI143" s="579"/>
      <c r="AJ143" s="579"/>
      <c r="AK143" s="579"/>
      <c r="AL143" s="579"/>
      <c r="AM143" s="579"/>
      <c r="AN143" s="579"/>
      <c r="AO143" s="579"/>
      <c r="AP143" s="579"/>
      <c r="AQ143" s="579"/>
      <c r="AR143" s="579"/>
      <c r="AS143" s="579"/>
      <c r="AT143" s="579"/>
      <c r="AU143" s="579"/>
      <c r="AV143" s="579"/>
    </row>
    <row r="144" spans="1:48" ht="19.899999999999999" thickBot="1">
      <c r="A144" s="579"/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  <c r="AF144" s="579"/>
      <c r="AG144" s="579"/>
      <c r="AH144" s="579"/>
      <c r="AI144" s="579"/>
      <c r="AJ144" s="579"/>
      <c r="AK144" s="579"/>
      <c r="AL144" s="579"/>
      <c r="AM144" s="579"/>
      <c r="AN144" s="579"/>
      <c r="AO144" s="579"/>
      <c r="AP144" s="579"/>
      <c r="AQ144" s="579"/>
      <c r="AR144" s="579"/>
      <c r="AS144" s="579"/>
      <c r="AT144" s="579"/>
      <c r="AU144" s="579"/>
      <c r="AV144" s="579"/>
    </row>
    <row r="145" spans="1:48" ht="19.899999999999999" thickBot="1">
      <c r="A145" s="579"/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  <c r="AF145" s="579"/>
      <c r="AG145" s="579"/>
      <c r="AH145" s="579"/>
      <c r="AI145" s="579"/>
      <c r="AJ145" s="579"/>
      <c r="AK145" s="579"/>
      <c r="AL145" s="579"/>
      <c r="AM145" s="579"/>
      <c r="AN145" s="579"/>
      <c r="AO145" s="579"/>
      <c r="AP145" s="579"/>
      <c r="AQ145" s="579"/>
      <c r="AR145" s="579"/>
      <c r="AS145" s="579"/>
      <c r="AT145" s="579"/>
      <c r="AU145" s="579"/>
      <c r="AV145" s="579"/>
    </row>
    <row r="146" spans="1:48" ht="19.899999999999999" thickBot="1">
      <c r="A146" s="579"/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  <c r="AF146" s="579"/>
      <c r="AG146" s="579"/>
      <c r="AH146" s="579"/>
      <c r="AI146" s="579"/>
      <c r="AJ146" s="579"/>
      <c r="AK146" s="579"/>
      <c r="AL146" s="579"/>
      <c r="AM146" s="579"/>
      <c r="AN146" s="579"/>
      <c r="AO146" s="579"/>
      <c r="AP146" s="579"/>
      <c r="AQ146" s="579"/>
      <c r="AR146" s="579"/>
      <c r="AS146" s="579"/>
      <c r="AT146" s="579"/>
      <c r="AU146" s="579"/>
      <c r="AV146" s="579"/>
    </row>
    <row r="147" spans="1:48" ht="19.899999999999999" thickBot="1">
      <c r="A147" s="579"/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  <c r="AF147" s="579"/>
      <c r="AG147" s="579"/>
      <c r="AH147" s="579"/>
      <c r="AI147" s="579"/>
      <c r="AJ147" s="579"/>
      <c r="AK147" s="579"/>
      <c r="AL147" s="579"/>
      <c r="AM147" s="579"/>
      <c r="AN147" s="579"/>
      <c r="AO147" s="579"/>
      <c r="AP147" s="579"/>
      <c r="AQ147" s="579"/>
      <c r="AR147" s="579"/>
      <c r="AS147" s="579"/>
      <c r="AT147" s="579"/>
      <c r="AU147" s="579"/>
      <c r="AV147" s="579"/>
    </row>
    <row r="148" spans="1:48" ht="19.899999999999999" thickBot="1">
      <c r="A148" s="579"/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  <c r="AF148" s="579"/>
      <c r="AG148" s="579"/>
      <c r="AH148" s="579"/>
      <c r="AI148" s="579"/>
      <c r="AJ148" s="579"/>
      <c r="AK148" s="579"/>
      <c r="AL148" s="579"/>
      <c r="AM148" s="579"/>
      <c r="AN148" s="579"/>
      <c r="AO148" s="579"/>
      <c r="AP148" s="579"/>
      <c r="AQ148" s="579"/>
      <c r="AR148" s="579"/>
      <c r="AS148" s="579"/>
      <c r="AT148" s="579"/>
      <c r="AU148" s="579"/>
      <c r="AV148" s="579"/>
    </row>
    <row r="149" spans="1:48" ht="19.899999999999999" thickBot="1">
      <c r="A149" s="579"/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  <c r="AF149" s="579"/>
      <c r="AG149" s="579"/>
      <c r="AH149" s="579"/>
      <c r="AI149" s="579"/>
      <c r="AJ149" s="579"/>
      <c r="AK149" s="579"/>
      <c r="AL149" s="579"/>
      <c r="AM149" s="579"/>
      <c r="AN149" s="579"/>
      <c r="AO149" s="579"/>
      <c r="AP149" s="579"/>
      <c r="AQ149" s="579"/>
      <c r="AR149" s="579"/>
      <c r="AS149" s="579"/>
      <c r="AT149" s="579"/>
      <c r="AU149" s="579"/>
      <c r="AV149" s="579"/>
    </row>
    <row r="150" spans="1:48" ht="19.899999999999999" thickBot="1">
      <c r="A150" s="579"/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  <c r="AF150" s="579"/>
      <c r="AG150" s="579"/>
      <c r="AH150" s="579"/>
      <c r="AI150" s="579"/>
      <c r="AJ150" s="579"/>
      <c r="AK150" s="579"/>
      <c r="AL150" s="579"/>
      <c r="AM150" s="579"/>
      <c r="AN150" s="579"/>
      <c r="AO150" s="579"/>
      <c r="AP150" s="579"/>
      <c r="AQ150" s="579"/>
      <c r="AR150" s="579"/>
      <c r="AS150" s="579"/>
      <c r="AT150" s="579"/>
      <c r="AU150" s="579"/>
      <c r="AV150" s="579"/>
    </row>
    <row r="151" spans="1:48" ht="19.899999999999999" thickBot="1">
      <c r="A151" s="579"/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  <c r="AF151" s="579"/>
      <c r="AG151" s="579"/>
      <c r="AH151" s="579"/>
      <c r="AI151" s="579"/>
      <c r="AJ151" s="579"/>
      <c r="AK151" s="579"/>
      <c r="AL151" s="579"/>
      <c r="AM151" s="579"/>
      <c r="AN151" s="579"/>
      <c r="AO151" s="579"/>
      <c r="AP151" s="579"/>
      <c r="AQ151" s="579"/>
      <c r="AR151" s="579"/>
      <c r="AS151" s="579"/>
      <c r="AT151" s="579"/>
      <c r="AU151" s="579"/>
      <c r="AV151" s="579"/>
    </row>
    <row r="152" spans="1:48" ht="19.899999999999999" thickBot="1">
      <c r="A152" s="579"/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  <c r="AF152" s="579"/>
      <c r="AG152" s="579"/>
      <c r="AH152" s="579"/>
      <c r="AI152" s="579"/>
      <c r="AJ152" s="579"/>
      <c r="AK152" s="579"/>
      <c r="AL152" s="579"/>
      <c r="AM152" s="579"/>
      <c r="AN152" s="579"/>
      <c r="AO152" s="579"/>
      <c r="AP152" s="579"/>
      <c r="AQ152" s="579"/>
      <c r="AR152" s="579"/>
      <c r="AS152" s="579"/>
      <c r="AT152" s="579"/>
      <c r="AU152" s="579"/>
      <c r="AV152" s="579"/>
    </row>
    <row r="153" spans="1:48" ht="19.899999999999999" thickBot="1">
      <c r="A153" s="579"/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  <c r="AF153" s="579"/>
      <c r="AG153" s="579"/>
      <c r="AH153" s="579"/>
      <c r="AI153" s="579"/>
      <c r="AJ153" s="579"/>
      <c r="AK153" s="579"/>
      <c r="AL153" s="579"/>
      <c r="AM153" s="579"/>
      <c r="AN153" s="579"/>
      <c r="AO153" s="579"/>
      <c r="AP153" s="579"/>
      <c r="AQ153" s="579"/>
      <c r="AR153" s="579"/>
      <c r="AS153" s="579"/>
      <c r="AT153" s="579"/>
      <c r="AU153" s="579"/>
      <c r="AV153" s="579"/>
    </row>
    <row r="154" spans="1:48" ht="19.899999999999999" thickBot="1">
      <c r="A154" s="579"/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  <c r="AF154" s="579"/>
      <c r="AG154" s="579"/>
      <c r="AH154" s="579"/>
      <c r="AI154" s="579"/>
      <c r="AJ154" s="579"/>
      <c r="AK154" s="579"/>
      <c r="AL154" s="579"/>
      <c r="AM154" s="579"/>
      <c r="AN154" s="579"/>
      <c r="AO154" s="579"/>
      <c r="AP154" s="579"/>
      <c r="AQ154" s="579"/>
      <c r="AR154" s="579"/>
      <c r="AS154" s="579"/>
      <c r="AT154" s="579"/>
      <c r="AU154" s="579"/>
      <c r="AV154" s="579"/>
    </row>
    <row r="155" spans="1:48" ht="19.899999999999999" thickBot="1">
      <c r="A155" s="579"/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  <c r="AF155" s="579"/>
      <c r="AG155" s="579"/>
      <c r="AH155" s="579"/>
      <c r="AI155" s="579"/>
      <c r="AJ155" s="579"/>
      <c r="AK155" s="579"/>
      <c r="AL155" s="579"/>
      <c r="AM155" s="579"/>
      <c r="AN155" s="579"/>
      <c r="AO155" s="579"/>
      <c r="AP155" s="579"/>
      <c r="AQ155" s="579"/>
      <c r="AR155" s="579"/>
      <c r="AS155" s="579"/>
      <c r="AT155" s="579"/>
      <c r="AU155" s="579"/>
      <c r="AV155" s="579"/>
    </row>
    <row r="156" spans="1:48" ht="19.899999999999999" thickBot="1">
      <c r="A156" s="579"/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  <c r="AF156" s="579"/>
      <c r="AG156" s="579"/>
      <c r="AH156" s="579"/>
      <c r="AI156" s="579"/>
      <c r="AJ156" s="579"/>
      <c r="AK156" s="579"/>
      <c r="AL156" s="579"/>
      <c r="AM156" s="579"/>
      <c r="AN156" s="579"/>
      <c r="AO156" s="579"/>
      <c r="AP156" s="579"/>
      <c r="AQ156" s="579"/>
      <c r="AR156" s="579"/>
      <c r="AS156" s="579"/>
      <c r="AT156" s="579"/>
      <c r="AU156" s="579"/>
      <c r="AV156" s="579"/>
    </row>
    <row r="157" spans="1:48" ht="19.899999999999999" thickBot="1">
      <c r="A157" s="579"/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  <c r="AF157" s="579"/>
      <c r="AG157" s="579"/>
      <c r="AH157" s="579"/>
      <c r="AI157" s="579"/>
      <c r="AJ157" s="579"/>
      <c r="AK157" s="579"/>
      <c r="AL157" s="579"/>
      <c r="AM157" s="579"/>
      <c r="AN157" s="579"/>
      <c r="AO157" s="579"/>
      <c r="AP157" s="579"/>
      <c r="AQ157" s="579"/>
      <c r="AR157" s="579"/>
      <c r="AS157" s="579"/>
      <c r="AT157" s="579"/>
      <c r="AU157" s="579"/>
      <c r="AV157" s="579"/>
    </row>
    <row r="158" spans="1:48" ht="19.899999999999999" thickBot="1">
      <c r="A158" s="579"/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  <c r="AF158" s="579"/>
      <c r="AG158" s="579"/>
      <c r="AH158" s="579"/>
      <c r="AI158" s="579"/>
      <c r="AJ158" s="579"/>
      <c r="AK158" s="579"/>
      <c r="AL158" s="579"/>
      <c r="AM158" s="579"/>
      <c r="AN158" s="579"/>
      <c r="AO158" s="579"/>
      <c r="AP158" s="579"/>
      <c r="AQ158" s="579"/>
      <c r="AR158" s="579"/>
      <c r="AS158" s="579"/>
      <c r="AT158" s="579"/>
      <c r="AU158" s="579"/>
      <c r="AV158" s="579"/>
    </row>
    <row r="159" spans="1:48" ht="19.899999999999999" thickBot="1">
      <c r="A159" s="579"/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  <c r="AF159" s="579"/>
      <c r="AG159" s="579"/>
      <c r="AH159" s="579"/>
      <c r="AI159" s="579"/>
      <c r="AJ159" s="579"/>
      <c r="AK159" s="579"/>
      <c r="AL159" s="579"/>
      <c r="AM159" s="579"/>
      <c r="AN159" s="579"/>
      <c r="AO159" s="579"/>
      <c r="AP159" s="579"/>
      <c r="AQ159" s="579"/>
      <c r="AR159" s="579"/>
      <c r="AS159" s="579"/>
      <c r="AT159" s="579"/>
      <c r="AU159" s="579"/>
      <c r="AV159" s="579"/>
    </row>
    <row r="160" spans="1:48" ht="19.899999999999999" thickBot="1">
      <c r="A160" s="579"/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  <c r="AF160" s="579"/>
      <c r="AG160" s="579"/>
      <c r="AH160" s="579"/>
      <c r="AI160" s="579"/>
      <c r="AJ160" s="579"/>
      <c r="AK160" s="579"/>
      <c r="AL160" s="579"/>
      <c r="AM160" s="579"/>
      <c r="AN160" s="579"/>
      <c r="AO160" s="579"/>
      <c r="AP160" s="579"/>
      <c r="AQ160" s="579"/>
      <c r="AR160" s="579"/>
      <c r="AS160" s="579"/>
      <c r="AT160" s="579"/>
      <c r="AU160" s="579"/>
      <c r="AV160" s="579"/>
    </row>
    <row r="161" spans="1:48" ht="19.899999999999999" thickBot="1">
      <c r="A161" s="579"/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  <c r="AF161" s="579"/>
      <c r="AG161" s="579"/>
      <c r="AH161" s="579"/>
      <c r="AI161" s="579"/>
      <c r="AJ161" s="579"/>
      <c r="AK161" s="579"/>
      <c r="AL161" s="579"/>
      <c r="AM161" s="579"/>
      <c r="AN161" s="579"/>
      <c r="AO161" s="579"/>
      <c r="AP161" s="579"/>
      <c r="AQ161" s="579"/>
      <c r="AR161" s="579"/>
      <c r="AS161" s="579"/>
      <c r="AT161" s="579"/>
      <c r="AU161" s="579"/>
      <c r="AV161" s="579"/>
    </row>
    <row r="162" spans="1:48" ht="19.899999999999999" thickBot="1">
      <c r="A162" s="579"/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  <c r="AF162" s="579"/>
      <c r="AG162" s="579"/>
      <c r="AH162" s="579"/>
      <c r="AI162" s="579"/>
      <c r="AJ162" s="579"/>
      <c r="AK162" s="579"/>
      <c r="AL162" s="579"/>
      <c r="AM162" s="579"/>
      <c r="AN162" s="579"/>
      <c r="AO162" s="579"/>
      <c r="AP162" s="579"/>
      <c r="AQ162" s="579"/>
      <c r="AR162" s="579"/>
      <c r="AS162" s="579"/>
      <c r="AT162" s="579"/>
      <c r="AU162" s="579"/>
      <c r="AV162" s="579"/>
    </row>
    <row r="163" spans="1:48" ht="19.899999999999999" thickBot="1">
      <c r="A163" s="579"/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  <c r="AF163" s="579"/>
      <c r="AG163" s="579"/>
      <c r="AH163" s="579"/>
      <c r="AI163" s="579"/>
      <c r="AJ163" s="579"/>
      <c r="AK163" s="579"/>
      <c r="AL163" s="579"/>
      <c r="AM163" s="579"/>
      <c r="AN163" s="579"/>
      <c r="AO163" s="579"/>
      <c r="AP163" s="579"/>
      <c r="AQ163" s="579"/>
      <c r="AR163" s="579"/>
      <c r="AS163" s="579"/>
      <c r="AT163" s="579"/>
      <c r="AU163" s="579"/>
      <c r="AV163" s="579"/>
    </row>
    <row r="164" spans="1:48" ht="19.899999999999999" thickBot="1">
      <c r="A164" s="579"/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  <c r="AF164" s="579"/>
      <c r="AG164" s="579"/>
      <c r="AH164" s="579"/>
      <c r="AI164" s="579"/>
      <c r="AJ164" s="579"/>
      <c r="AK164" s="579"/>
      <c r="AL164" s="579"/>
      <c r="AM164" s="579"/>
      <c r="AN164" s="579"/>
      <c r="AO164" s="579"/>
      <c r="AP164" s="579"/>
      <c r="AQ164" s="579"/>
      <c r="AR164" s="579"/>
      <c r="AS164" s="579"/>
      <c r="AT164" s="579"/>
      <c r="AU164" s="579"/>
      <c r="AV164" s="579"/>
    </row>
    <row r="165" spans="1:48" ht="19.899999999999999" thickBot="1">
      <c r="A165" s="579"/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  <c r="AF165" s="579"/>
      <c r="AG165" s="579"/>
      <c r="AH165" s="579"/>
      <c r="AI165" s="579"/>
      <c r="AJ165" s="579"/>
      <c r="AK165" s="579"/>
      <c r="AL165" s="579"/>
      <c r="AM165" s="579"/>
      <c r="AN165" s="579"/>
      <c r="AO165" s="579"/>
      <c r="AP165" s="579"/>
      <c r="AQ165" s="579"/>
      <c r="AR165" s="579"/>
      <c r="AS165" s="579"/>
      <c r="AT165" s="579"/>
      <c r="AU165" s="579"/>
      <c r="AV165" s="579"/>
    </row>
    <row r="166" spans="1:48" ht="19.899999999999999" thickBot="1">
      <c r="A166" s="579"/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  <c r="AF166" s="579"/>
      <c r="AG166" s="579"/>
      <c r="AH166" s="579"/>
      <c r="AI166" s="579"/>
      <c r="AJ166" s="579"/>
      <c r="AK166" s="579"/>
      <c r="AL166" s="579"/>
      <c r="AM166" s="579"/>
      <c r="AN166" s="579"/>
      <c r="AO166" s="579"/>
      <c r="AP166" s="579"/>
      <c r="AQ166" s="579"/>
      <c r="AR166" s="579"/>
      <c r="AS166" s="579"/>
      <c r="AT166" s="579"/>
      <c r="AU166" s="579"/>
      <c r="AV166" s="579"/>
    </row>
    <row r="167" spans="1:48" ht="19.899999999999999" thickBot="1">
      <c r="A167" s="579"/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  <c r="AF167" s="579"/>
      <c r="AG167" s="579"/>
      <c r="AH167" s="579"/>
      <c r="AI167" s="579"/>
      <c r="AJ167" s="579"/>
      <c r="AK167" s="579"/>
      <c r="AL167" s="579"/>
      <c r="AM167" s="579"/>
      <c r="AN167" s="579"/>
      <c r="AO167" s="579"/>
      <c r="AP167" s="579"/>
      <c r="AQ167" s="579"/>
      <c r="AR167" s="579"/>
      <c r="AS167" s="579"/>
      <c r="AT167" s="579"/>
      <c r="AU167" s="579"/>
      <c r="AV167" s="579"/>
    </row>
    <row r="168" spans="1:48" ht="19.899999999999999" thickBot="1">
      <c r="A168" s="579"/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  <c r="AF168" s="579"/>
      <c r="AG168" s="579"/>
      <c r="AH168" s="579"/>
      <c r="AI168" s="579"/>
      <c r="AJ168" s="579"/>
      <c r="AK168" s="579"/>
      <c r="AL168" s="579"/>
      <c r="AM168" s="579"/>
      <c r="AN168" s="579"/>
      <c r="AO168" s="579"/>
      <c r="AP168" s="579"/>
      <c r="AQ168" s="579"/>
      <c r="AR168" s="579"/>
      <c r="AS168" s="579"/>
      <c r="AT168" s="579"/>
      <c r="AU168" s="579"/>
      <c r="AV168" s="579"/>
    </row>
    <row r="169" spans="1:48" ht="19.899999999999999" thickBot="1">
      <c r="A169" s="579"/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  <c r="AF169" s="579"/>
      <c r="AG169" s="579"/>
      <c r="AH169" s="579"/>
      <c r="AI169" s="579"/>
      <c r="AJ169" s="579"/>
      <c r="AK169" s="579"/>
      <c r="AL169" s="579"/>
      <c r="AM169" s="579"/>
      <c r="AN169" s="579"/>
      <c r="AO169" s="579"/>
      <c r="AP169" s="579"/>
      <c r="AQ169" s="579"/>
      <c r="AR169" s="579"/>
      <c r="AS169" s="579"/>
      <c r="AT169" s="579"/>
      <c r="AU169" s="579"/>
      <c r="AV169" s="579"/>
    </row>
    <row r="170" spans="1:48" ht="19.899999999999999" thickBot="1">
      <c r="A170" s="579"/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  <c r="AF170" s="579"/>
      <c r="AG170" s="579"/>
      <c r="AH170" s="579"/>
      <c r="AI170" s="579"/>
      <c r="AJ170" s="579"/>
      <c r="AK170" s="579"/>
      <c r="AL170" s="579"/>
      <c r="AM170" s="579"/>
      <c r="AN170" s="579"/>
      <c r="AO170" s="579"/>
      <c r="AP170" s="579"/>
      <c r="AQ170" s="579"/>
      <c r="AR170" s="579"/>
      <c r="AS170" s="579"/>
      <c r="AT170" s="579"/>
      <c r="AU170" s="579"/>
      <c r="AV170" s="579"/>
    </row>
    <row r="171" spans="1:48" ht="19.899999999999999" thickBot="1">
      <c r="A171" s="579"/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  <c r="AF171" s="579"/>
      <c r="AG171" s="579"/>
      <c r="AH171" s="579"/>
      <c r="AI171" s="579"/>
      <c r="AJ171" s="579"/>
      <c r="AK171" s="579"/>
      <c r="AL171" s="579"/>
      <c r="AM171" s="579"/>
      <c r="AN171" s="579"/>
      <c r="AO171" s="579"/>
      <c r="AP171" s="579"/>
      <c r="AQ171" s="579"/>
      <c r="AR171" s="579"/>
      <c r="AS171" s="579"/>
      <c r="AT171" s="579"/>
      <c r="AU171" s="579"/>
      <c r="AV171" s="579"/>
    </row>
    <row r="172" spans="1:48" ht="19.899999999999999" thickBot="1">
      <c r="A172" s="579"/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  <c r="AF172" s="579"/>
      <c r="AG172" s="579"/>
      <c r="AH172" s="579"/>
      <c r="AI172" s="579"/>
      <c r="AJ172" s="579"/>
      <c r="AK172" s="579"/>
      <c r="AL172" s="579"/>
      <c r="AM172" s="579"/>
      <c r="AN172" s="579"/>
      <c r="AO172" s="579"/>
      <c r="AP172" s="579"/>
      <c r="AQ172" s="579"/>
      <c r="AR172" s="579"/>
      <c r="AS172" s="579"/>
      <c r="AT172" s="579"/>
      <c r="AU172" s="579"/>
      <c r="AV172" s="579"/>
    </row>
    <row r="173" spans="1:48" ht="19.899999999999999" thickBot="1">
      <c r="A173" s="579"/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  <c r="AF173" s="579"/>
      <c r="AG173" s="579"/>
      <c r="AH173" s="579"/>
      <c r="AI173" s="579"/>
      <c r="AJ173" s="579"/>
      <c r="AK173" s="579"/>
      <c r="AL173" s="579"/>
      <c r="AM173" s="579"/>
      <c r="AN173" s="579"/>
      <c r="AO173" s="579"/>
      <c r="AP173" s="579"/>
      <c r="AQ173" s="579"/>
      <c r="AR173" s="579"/>
      <c r="AS173" s="579"/>
      <c r="AT173" s="579"/>
      <c r="AU173" s="579"/>
      <c r="AV173" s="579"/>
    </row>
    <row r="174" spans="1:48" ht="19.899999999999999" thickBot="1">
      <c r="A174" s="579"/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  <c r="AF174" s="579"/>
      <c r="AG174" s="579"/>
      <c r="AH174" s="579"/>
      <c r="AI174" s="579"/>
      <c r="AJ174" s="579"/>
      <c r="AK174" s="579"/>
      <c r="AL174" s="579"/>
      <c r="AM174" s="579"/>
      <c r="AN174" s="579"/>
      <c r="AO174" s="579"/>
      <c r="AP174" s="579"/>
      <c r="AQ174" s="579"/>
      <c r="AR174" s="579"/>
      <c r="AS174" s="579"/>
      <c r="AT174" s="579"/>
      <c r="AU174" s="579"/>
      <c r="AV174" s="579"/>
    </row>
    <row r="175" spans="1:48" ht="19.899999999999999" thickBot="1">
      <c r="A175" s="579"/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  <c r="AF175" s="579"/>
      <c r="AG175" s="579"/>
      <c r="AH175" s="579"/>
      <c r="AI175" s="579"/>
      <c r="AJ175" s="579"/>
      <c r="AK175" s="579"/>
      <c r="AL175" s="579"/>
      <c r="AM175" s="579"/>
      <c r="AN175" s="579"/>
      <c r="AO175" s="579"/>
      <c r="AP175" s="579"/>
      <c r="AQ175" s="579"/>
      <c r="AR175" s="579"/>
      <c r="AS175" s="579"/>
      <c r="AT175" s="579"/>
      <c r="AU175" s="579"/>
      <c r="AV175" s="579"/>
    </row>
    <row r="176" spans="1:48" ht="19.899999999999999" thickBot="1">
      <c r="A176" s="579"/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  <c r="AF176" s="579"/>
      <c r="AG176" s="579"/>
      <c r="AH176" s="579"/>
      <c r="AI176" s="579"/>
      <c r="AJ176" s="579"/>
      <c r="AK176" s="579"/>
      <c r="AL176" s="579"/>
      <c r="AM176" s="579"/>
      <c r="AN176" s="579"/>
      <c r="AO176" s="579"/>
      <c r="AP176" s="579"/>
      <c r="AQ176" s="579"/>
      <c r="AR176" s="579"/>
      <c r="AS176" s="579"/>
      <c r="AT176" s="579"/>
      <c r="AU176" s="579"/>
      <c r="AV176" s="579"/>
    </row>
    <row r="177" spans="1:48" ht="19.899999999999999" thickBot="1">
      <c r="A177" s="579"/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  <c r="AF177" s="579"/>
      <c r="AG177" s="579"/>
      <c r="AH177" s="579"/>
      <c r="AI177" s="579"/>
      <c r="AJ177" s="579"/>
      <c r="AK177" s="579"/>
      <c r="AL177" s="579"/>
      <c r="AM177" s="579"/>
      <c r="AN177" s="579"/>
      <c r="AO177" s="579"/>
      <c r="AP177" s="579"/>
      <c r="AQ177" s="579"/>
      <c r="AR177" s="579"/>
      <c r="AS177" s="579"/>
      <c r="AT177" s="579"/>
      <c r="AU177" s="579"/>
      <c r="AV177" s="579"/>
    </row>
    <row r="178" spans="1:48" ht="19.899999999999999" thickBot="1">
      <c r="A178" s="579"/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  <c r="AF178" s="579"/>
      <c r="AG178" s="579"/>
      <c r="AH178" s="579"/>
      <c r="AI178" s="579"/>
      <c r="AJ178" s="579"/>
      <c r="AK178" s="579"/>
      <c r="AL178" s="579"/>
      <c r="AM178" s="579"/>
      <c r="AN178" s="579"/>
      <c r="AO178" s="579"/>
      <c r="AP178" s="579"/>
      <c r="AQ178" s="579"/>
      <c r="AR178" s="579"/>
      <c r="AS178" s="579"/>
      <c r="AT178" s="579"/>
      <c r="AU178" s="579"/>
      <c r="AV178" s="579"/>
    </row>
    <row r="179" spans="1:48" ht="19.899999999999999" thickBot="1">
      <c r="A179" s="579"/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  <c r="AF179" s="579"/>
      <c r="AG179" s="579"/>
      <c r="AH179" s="579"/>
      <c r="AI179" s="579"/>
      <c r="AJ179" s="579"/>
      <c r="AK179" s="579"/>
      <c r="AL179" s="579"/>
      <c r="AM179" s="579"/>
      <c r="AN179" s="579"/>
      <c r="AO179" s="579"/>
      <c r="AP179" s="579"/>
      <c r="AQ179" s="579"/>
      <c r="AR179" s="579"/>
      <c r="AS179" s="579"/>
      <c r="AT179" s="579"/>
      <c r="AU179" s="579"/>
      <c r="AV179" s="579"/>
    </row>
    <row r="180" spans="1:48" ht="19.899999999999999" thickBot="1">
      <c r="A180" s="579"/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  <c r="AF180" s="579"/>
      <c r="AG180" s="579"/>
      <c r="AH180" s="579"/>
      <c r="AI180" s="579"/>
      <c r="AJ180" s="579"/>
      <c r="AK180" s="579"/>
      <c r="AL180" s="579"/>
      <c r="AM180" s="579"/>
      <c r="AN180" s="579"/>
      <c r="AO180" s="579"/>
      <c r="AP180" s="579"/>
      <c r="AQ180" s="579"/>
      <c r="AR180" s="579"/>
      <c r="AS180" s="579"/>
      <c r="AT180" s="579"/>
      <c r="AU180" s="579"/>
      <c r="AV180" s="579"/>
    </row>
    <row r="181" spans="1:48" ht="19.899999999999999" thickBot="1">
      <c r="A181" s="579"/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  <c r="AF181" s="579"/>
      <c r="AG181" s="579"/>
      <c r="AH181" s="579"/>
      <c r="AI181" s="579"/>
      <c r="AJ181" s="579"/>
      <c r="AK181" s="579"/>
      <c r="AL181" s="579"/>
      <c r="AM181" s="579"/>
      <c r="AN181" s="579"/>
      <c r="AO181" s="579"/>
      <c r="AP181" s="579"/>
      <c r="AQ181" s="579"/>
      <c r="AR181" s="579"/>
      <c r="AS181" s="579"/>
      <c r="AT181" s="579"/>
      <c r="AU181" s="579"/>
      <c r="AV181" s="579"/>
    </row>
    <row r="182" spans="1:48" ht="19.899999999999999" thickBot="1">
      <c r="A182" s="579"/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  <c r="AF182" s="579"/>
      <c r="AG182" s="579"/>
      <c r="AH182" s="579"/>
      <c r="AI182" s="579"/>
      <c r="AJ182" s="579"/>
      <c r="AK182" s="579"/>
      <c r="AL182" s="579"/>
      <c r="AM182" s="579"/>
      <c r="AN182" s="579"/>
      <c r="AO182" s="579"/>
      <c r="AP182" s="579"/>
      <c r="AQ182" s="579"/>
      <c r="AR182" s="579"/>
      <c r="AS182" s="579"/>
      <c r="AT182" s="579"/>
      <c r="AU182" s="579"/>
      <c r="AV182" s="579"/>
    </row>
    <row r="183" spans="1:48" ht="19.899999999999999" thickBot="1">
      <c r="A183" s="579"/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  <c r="AF183" s="579"/>
      <c r="AG183" s="579"/>
      <c r="AH183" s="579"/>
      <c r="AI183" s="579"/>
      <c r="AJ183" s="579"/>
      <c r="AK183" s="579"/>
      <c r="AL183" s="579"/>
      <c r="AM183" s="579"/>
      <c r="AN183" s="579"/>
      <c r="AO183" s="579"/>
      <c r="AP183" s="579"/>
      <c r="AQ183" s="579"/>
      <c r="AR183" s="579"/>
      <c r="AS183" s="579"/>
      <c r="AT183" s="579"/>
      <c r="AU183" s="579"/>
      <c r="AV183" s="579"/>
    </row>
    <row r="184" spans="1:48" ht="19.899999999999999" thickBot="1">
      <c r="A184" s="579"/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  <c r="AF184" s="579"/>
      <c r="AG184" s="579"/>
      <c r="AH184" s="579"/>
      <c r="AI184" s="579"/>
      <c r="AJ184" s="579"/>
      <c r="AK184" s="579"/>
      <c r="AL184" s="579"/>
      <c r="AM184" s="579"/>
      <c r="AN184" s="579"/>
      <c r="AO184" s="579"/>
      <c r="AP184" s="579"/>
      <c r="AQ184" s="579"/>
      <c r="AR184" s="579"/>
      <c r="AS184" s="579"/>
      <c r="AT184" s="579"/>
      <c r="AU184" s="579"/>
      <c r="AV184" s="579"/>
    </row>
    <row r="185" spans="1:48" ht="19.899999999999999" thickBot="1">
      <c r="A185" s="579"/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  <c r="AF185" s="579"/>
      <c r="AG185" s="579"/>
      <c r="AH185" s="579"/>
      <c r="AI185" s="579"/>
      <c r="AJ185" s="579"/>
      <c r="AK185" s="579"/>
      <c r="AL185" s="579"/>
      <c r="AM185" s="579"/>
      <c r="AN185" s="579"/>
      <c r="AO185" s="579"/>
      <c r="AP185" s="579"/>
      <c r="AQ185" s="579"/>
      <c r="AR185" s="579"/>
      <c r="AS185" s="579"/>
      <c r="AT185" s="579"/>
      <c r="AU185" s="579"/>
      <c r="AV185" s="579"/>
    </row>
    <row r="186" spans="1:48" ht="19.899999999999999" thickBot="1">
      <c r="A186" s="579"/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  <c r="AF186" s="579"/>
      <c r="AG186" s="579"/>
      <c r="AH186" s="579"/>
      <c r="AI186" s="579"/>
      <c r="AJ186" s="579"/>
      <c r="AK186" s="579"/>
      <c r="AL186" s="579"/>
      <c r="AM186" s="579"/>
      <c r="AN186" s="579"/>
      <c r="AO186" s="579"/>
      <c r="AP186" s="579"/>
      <c r="AQ186" s="579"/>
      <c r="AR186" s="579"/>
      <c r="AS186" s="579"/>
      <c r="AT186" s="579"/>
      <c r="AU186" s="579"/>
      <c r="AV186" s="579"/>
    </row>
    <row r="187" spans="1:48" ht="19.899999999999999" thickBot="1">
      <c r="A187" s="579"/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  <c r="AF187" s="579"/>
      <c r="AG187" s="579"/>
      <c r="AH187" s="579"/>
      <c r="AI187" s="579"/>
      <c r="AJ187" s="579"/>
      <c r="AK187" s="579"/>
      <c r="AL187" s="579"/>
      <c r="AM187" s="579"/>
      <c r="AN187" s="579"/>
      <c r="AO187" s="579"/>
      <c r="AP187" s="579"/>
      <c r="AQ187" s="579"/>
      <c r="AR187" s="579"/>
      <c r="AS187" s="579"/>
      <c r="AT187" s="579"/>
      <c r="AU187" s="579"/>
      <c r="AV187" s="579"/>
    </row>
    <row r="188" spans="1:48" ht="19.899999999999999" thickBot="1">
      <c r="A188" s="579"/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  <c r="AF188" s="579"/>
      <c r="AG188" s="579"/>
      <c r="AH188" s="579"/>
      <c r="AI188" s="579"/>
      <c r="AJ188" s="579"/>
      <c r="AK188" s="579"/>
      <c r="AL188" s="579"/>
      <c r="AM188" s="579"/>
      <c r="AN188" s="579"/>
      <c r="AO188" s="579"/>
      <c r="AP188" s="579"/>
      <c r="AQ188" s="579"/>
      <c r="AR188" s="579"/>
      <c r="AS188" s="579"/>
      <c r="AT188" s="579"/>
      <c r="AU188" s="579"/>
      <c r="AV188" s="579"/>
    </row>
    <row r="189" spans="1:48" ht="19.899999999999999" thickBot="1">
      <c r="A189" s="579"/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  <c r="AF189" s="579"/>
      <c r="AG189" s="579"/>
      <c r="AH189" s="579"/>
      <c r="AI189" s="579"/>
      <c r="AJ189" s="579"/>
      <c r="AK189" s="579"/>
      <c r="AL189" s="579"/>
      <c r="AM189" s="579"/>
      <c r="AN189" s="579"/>
      <c r="AO189" s="579"/>
      <c r="AP189" s="579"/>
      <c r="AQ189" s="579"/>
      <c r="AR189" s="579"/>
      <c r="AS189" s="579"/>
      <c r="AT189" s="579"/>
      <c r="AU189" s="579"/>
      <c r="AV189" s="579"/>
    </row>
    <row r="190" spans="1:48" ht="19.899999999999999" thickBot="1">
      <c r="A190" s="579"/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  <c r="AF190" s="579"/>
      <c r="AG190" s="579"/>
      <c r="AH190" s="579"/>
      <c r="AI190" s="579"/>
      <c r="AJ190" s="579"/>
      <c r="AK190" s="579"/>
      <c r="AL190" s="579"/>
      <c r="AM190" s="579"/>
      <c r="AN190" s="579"/>
      <c r="AO190" s="579"/>
      <c r="AP190" s="579"/>
      <c r="AQ190" s="579"/>
      <c r="AR190" s="579"/>
      <c r="AS190" s="579"/>
      <c r="AT190" s="579"/>
      <c r="AU190" s="579"/>
      <c r="AV190" s="579"/>
    </row>
    <row r="191" spans="1:48" ht="19.899999999999999" thickBot="1">
      <c r="A191" s="579"/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  <c r="AF191" s="579"/>
      <c r="AG191" s="579"/>
      <c r="AH191" s="579"/>
      <c r="AI191" s="579"/>
      <c r="AJ191" s="579"/>
      <c r="AK191" s="579"/>
      <c r="AL191" s="579"/>
      <c r="AM191" s="579"/>
      <c r="AN191" s="579"/>
      <c r="AO191" s="579"/>
      <c r="AP191" s="579"/>
      <c r="AQ191" s="579"/>
      <c r="AR191" s="579"/>
      <c r="AS191" s="579"/>
      <c r="AT191" s="579"/>
      <c r="AU191" s="579"/>
      <c r="AV191" s="579"/>
    </row>
    <row r="192" spans="1:48" ht="19.899999999999999" thickBot="1">
      <c r="A192" s="579"/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  <c r="AF192" s="579"/>
      <c r="AG192" s="579"/>
      <c r="AH192" s="579"/>
      <c r="AI192" s="579"/>
      <c r="AJ192" s="579"/>
      <c r="AK192" s="579"/>
      <c r="AL192" s="579"/>
      <c r="AM192" s="579"/>
      <c r="AN192" s="579"/>
      <c r="AO192" s="579"/>
      <c r="AP192" s="579"/>
      <c r="AQ192" s="579"/>
      <c r="AR192" s="579"/>
      <c r="AS192" s="579"/>
      <c r="AT192" s="579"/>
      <c r="AU192" s="579"/>
      <c r="AV192" s="579"/>
    </row>
    <row r="193" spans="1:48" ht="19.899999999999999" thickBot="1">
      <c r="A193" s="579"/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  <c r="AF193" s="579"/>
      <c r="AG193" s="579"/>
      <c r="AH193" s="579"/>
      <c r="AI193" s="579"/>
      <c r="AJ193" s="579"/>
      <c r="AK193" s="579"/>
      <c r="AL193" s="579"/>
      <c r="AM193" s="579"/>
      <c r="AN193" s="579"/>
      <c r="AO193" s="579"/>
      <c r="AP193" s="579"/>
      <c r="AQ193" s="579"/>
      <c r="AR193" s="579"/>
      <c r="AS193" s="579"/>
      <c r="AT193" s="579"/>
      <c r="AU193" s="579"/>
      <c r="AV193" s="579"/>
    </row>
    <row r="194" spans="1:48" ht="19.899999999999999" thickBot="1">
      <c r="A194" s="579"/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  <c r="AF194" s="579"/>
      <c r="AG194" s="579"/>
      <c r="AH194" s="579"/>
      <c r="AI194" s="579"/>
      <c r="AJ194" s="579"/>
      <c r="AK194" s="579"/>
      <c r="AL194" s="579"/>
      <c r="AM194" s="579"/>
      <c r="AN194" s="579"/>
      <c r="AO194" s="579"/>
      <c r="AP194" s="579"/>
      <c r="AQ194" s="579"/>
      <c r="AR194" s="579"/>
      <c r="AS194" s="579"/>
      <c r="AT194" s="579"/>
      <c r="AU194" s="579"/>
      <c r="AV194" s="579"/>
    </row>
    <row r="195" spans="1:48" ht="19.899999999999999" thickBot="1">
      <c r="A195" s="579"/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  <c r="AF195" s="579"/>
      <c r="AG195" s="579"/>
      <c r="AH195" s="579"/>
      <c r="AI195" s="579"/>
      <c r="AJ195" s="579"/>
      <c r="AK195" s="579"/>
      <c r="AL195" s="579"/>
      <c r="AM195" s="579"/>
      <c r="AN195" s="579"/>
      <c r="AO195" s="579"/>
      <c r="AP195" s="579"/>
      <c r="AQ195" s="579"/>
      <c r="AR195" s="579"/>
      <c r="AS195" s="579"/>
      <c r="AT195" s="579"/>
      <c r="AU195" s="579"/>
      <c r="AV195" s="579"/>
    </row>
    <row r="196" spans="1:48" ht="19.899999999999999" thickBot="1">
      <c r="A196" s="579"/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  <c r="AF196" s="579"/>
      <c r="AG196" s="579"/>
      <c r="AH196" s="579"/>
      <c r="AI196" s="579"/>
      <c r="AJ196" s="579"/>
      <c r="AK196" s="579"/>
      <c r="AL196" s="579"/>
      <c r="AM196" s="579"/>
      <c r="AN196" s="579"/>
      <c r="AO196" s="579"/>
      <c r="AP196" s="579"/>
      <c r="AQ196" s="579"/>
      <c r="AR196" s="579"/>
      <c r="AS196" s="579"/>
      <c r="AT196" s="579"/>
      <c r="AU196" s="579"/>
      <c r="AV196" s="579"/>
    </row>
    <row r="197" spans="1:48" ht="19.899999999999999" thickBot="1">
      <c r="A197" s="579"/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  <c r="AF197" s="579"/>
      <c r="AG197" s="579"/>
      <c r="AH197" s="579"/>
      <c r="AI197" s="579"/>
      <c r="AJ197" s="579"/>
      <c r="AK197" s="579"/>
      <c r="AL197" s="579"/>
      <c r="AM197" s="579"/>
      <c r="AN197" s="579"/>
      <c r="AO197" s="579"/>
      <c r="AP197" s="579"/>
      <c r="AQ197" s="579"/>
      <c r="AR197" s="579"/>
      <c r="AS197" s="579"/>
      <c r="AT197" s="579"/>
      <c r="AU197" s="579"/>
      <c r="AV197" s="579"/>
    </row>
    <row r="198" spans="1:48" ht="19.899999999999999" thickBot="1">
      <c r="A198" s="579"/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  <c r="AF198" s="579"/>
      <c r="AG198" s="579"/>
      <c r="AH198" s="579"/>
      <c r="AI198" s="579"/>
      <c r="AJ198" s="579"/>
      <c r="AK198" s="579"/>
      <c r="AL198" s="579"/>
      <c r="AM198" s="579"/>
      <c r="AN198" s="579"/>
      <c r="AO198" s="579"/>
      <c r="AP198" s="579"/>
      <c r="AQ198" s="579"/>
      <c r="AR198" s="579"/>
      <c r="AS198" s="579"/>
      <c r="AT198" s="579"/>
      <c r="AU198" s="579"/>
      <c r="AV198" s="579"/>
    </row>
    <row r="199" spans="1:48" ht="19.899999999999999" thickBot="1">
      <c r="A199" s="579"/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  <c r="AF199" s="579"/>
      <c r="AG199" s="579"/>
      <c r="AH199" s="579"/>
      <c r="AI199" s="579"/>
      <c r="AJ199" s="579"/>
      <c r="AK199" s="579"/>
      <c r="AL199" s="579"/>
      <c r="AM199" s="579"/>
      <c r="AN199" s="579"/>
      <c r="AO199" s="579"/>
      <c r="AP199" s="579"/>
      <c r="AQ199" s="579"/>
      <c r="AR199" s="579"/>
      <c r="AS199" s="579"/>
      <c r="AT199" s="579"/>
      <c r="AU199" s="579"/>
      <c r="AV199" s="579"/>
    </row>
    <row r="200" spans="1:48" ht="19.899999999999999" thickBot="1">
      <c r="A200" s="579"/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  <c r="AF200" s="579"/>
      <c r="AG200" s="579"/>
      <c r="AH200" s="579"/>
      <c r="AI200" s="579"/>
      <c r="AJ200" s="579"/>
      <c r="AK200" s="579"/>
      <c r="AL200" s="579"/>
      <c r="AM200" s="579"/>
      <c r="AN200" s="579"/>
      <c r="AO200" s="579"/>
      <c r="AP200" s="579"/>
      <c r="AQ200" s="579"/>
      <c r="AR200" s="579"/>
      <c r="AS200" s="579"/>
      <c r="AT200" s="579"/>
      <c r="AU200" s="579"/>
      <c r="AV200" s="579"/>
    </row>
    <row r="201" spans="1:48" ht="19.899999999999999" thickBot="1">
      <c r="A201" s="579"/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  <c r="AF201" s="579"/>
      <c r="AG201" s="579"/>
      <c r="AH201" s="579"/>
      <c r="AI201" s="579"/>
      <c r="AJ201" s="579"/>
      <c r="AK201" s="579"/>
      <c r="AL201" s="579"/>
      <c r="AM201" s="579"/>
      <c r="AN201" s="579"/>
      <c r="AO201" s="579"/>
      <c r="AP201" s="579"/>
      <c r="AQ201" s="579"/>
      <c r="AR201" s="579"/>
      <c r="AS201" s="579"/>
      <c r="AT201" s="579"/>
      <c r="AU201" s="579"/>
      <c r="AV201" s="579"/>
    </row>
    <row r="202" spans="1:48" ht="19.899999999999999" thickBot="1">
      <c r="A202" s="579"/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  <c r="AF202" s="579"/>
      <c r="AG202" s="579"/>
      <c r="AH202" s="579"/>
      <c r="AI202" s="579"/>
      <c r="AJ202" s="579"/>
      <c r="AK202" s="579"/>
      <c r="AL202" s="579"/>
      <c r="AM202" s="579"/>
      <c r="AN202" s="579"/>
      <c r="AO202" s="579"/>
      <c r="AP202" s="579"/>
      <c r="AQ202" s="579"/>
      <c r="AR202" s="579"/>
      <c r="AS202" s="579"/>
      <c r="AT202" s="579"/>
      <c r="AU202" s="579"/>
      <c r="AV202" s="579"/>
    </row>
    <row r="203" spans="1:48" ht="19.899999999999999" thickBot="1">
      <c r="A203" s="579"/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  <c r="AF203" s="579"/>
      <c r="AG203" s="579"/>
      <c r="AH203" s="579"/>
      <c r="AI203" s="579"/>
      <c r="AJ203" s="579"/>
      <c r="AK203" s="579"/>
      <c r="AL203" s="579"/>
      <c r="AM203" s="579"/>
      <c r="AN203" s="579"/>
      <c r="AO203" s="579"/>
      <c r="AP203" s="579"/>
      <c r="AQ203" s="579"/>
      <c r="AR203" s="579"/>
      <c r="AS203" s="579"/>
      <c r="AT203" s="579"/>
      <c r="AU203" s="579"/>
      <c r="AV203" s="579"/>
    </row>
    <row r="204" spans="1:48" ht="19.899999999999999" thickBot="1">
      <c r="A204" s="579"/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  <c r="AF204" s="579"/>
      <c r="AG204" s="579"/>
      <c r="AH204" s="579"/>
      <c r="AI204" s="579"/>
      <c r="AJ204" s="579"/>
      <c r="AK204" s="579"/>
      <c r="AL204" s="579"/>
      <c r="AM204" s="579"/>
      <c r="AN204" s="579"/>
      <c r="AO204" s="579"/>
      <c r="AP204" s="579"/>
      <c r="AQ204" s="579"/>
      <c r="AR204" s="579"/>
      <c r="AS204" s="579"/>
      <c r="AT204" s="579"/>
      <c r="AU204" s="579"/>
      <c r="AV204" s="579"/>
    </row>
    <row r="205" spans="1:48" ht="19.899999999999999" thickBot="1">
      <c r="A205" s="579"/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  <c r="AF205" s="579"/>
      <c r="AG205" s="579"/>
      <c r="AH205" s="579"/>
      <c r="AI205" s="579"/>
      <c r="AJ205" s="579"/>
      <c r="AK205" s="579"/>
      <c r="AL205" s="579"/>
      <c r="AM205" s="579"/>
      <c r="AN205" s="579"/>
      <c r="AO205" s="579"/>
      <c r="AP205" s="579"/>
      <c r="AQ205" s="579"/>
      <c r="AR205" s="579"/>
      <c r="AS205" s="579"/>
      <c r="AT205" s="579"/>
      <c r="AU205" s="579"/>
      <c r="AV205" s="579"/>
    </row>
    <row r="206" spans="1:48" ht="19.899999999999999" thickBot="1">
      <c r="A206" s="579"/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  <c r="AF206" s="579"/>
      <c r="AG206" s="579"/>
      <c r="AH206" s="579"/>
      <c r="AI206" s="579"/>
      <c r="AJ206" s="579"/>
      <c r="AK206" s="579"/>
      <c r="AL206" s="579"/>
      <c r="AM206" s="579"/>
      <c r="AN206" s="579"/>
      <c r="AO206" s="579"/>
      <c r="AP206" s="579"/>
      <c r="AQ206" s="579"/>
      <c r="AR206" s="579"/>
      <c r="AS206" s="579"/>
      <c r="AT206" s="579"/>
      <c r="AU206" s="579"/>
      <c r="AV206" s="579"/>
    </row>
    <row r="207" spans="1:48" ht="19.899999999999999" thickBot="1">
      <c r="A207" s="579"/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  <c r="AF207" s="579"/>
      <c r="AG207" s="579"/>
      <c r="AH207" s="579"/>
      <c r="AI207" s="579"/>
      <c r="AJ207" s="579"/>
      <c r="AK207" s="579"/>
      <c r="AL207" s="579"/>
      <c r="AM207" s="579"/>
      <c r="AN207" s="579"/>
      <c r="AO207" s="579"/>
      <c r="AP207" s="579"/>
      <c r="AQ207" s="579"/>
      <c r="AR207" s="579"/>
      <c r="AS207" s="579"/>
      <c r="AT207" s="579"/>
      <c r="AU207" s="579"/>
      <c r="AV207" s="579"/>
    </row>
    <row r="208" spans="1:48" ht="19.899999999999999" thickBot="1">
      <c r="A208" s="579"/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  <c r="AF208" s="579"/>
      <c r="AG208" s="579"/>
      <c r="AH208" s="579"/>
      <c r="AI208" s="579"/>
      <c r="AJ208" s="579"/>
      <c r="AK208" s="579"/>
      <c r="AL208" s="579"/>
      <c r="AM208" s="579"/>
      <c r="AN208" s="579"/>
      <c r="AO208" s="579"/>
      <c r="AP208" s="579"/>
      <c r="AQ208" s="579"/>
      <c r="AR208" s="579"/>
      <c r="AS208" s="579"/>
      <c r="AT208" s="579"/>
      <c r="AU208" s="579"/>
      <c r="AV208" s="579"/>
    </row>
    <row r="209" spans="1:48" ht="19.899999999999999" thickBot="1">
      <c r="A209" s="579"/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  <c r="AF209" s="579"/>
      <c r="AG209" s="579"/>
      <c r="AH209" s="579"/>
      <c r="AI209" s="579"/>
      <c r="AJ209" s="579"/>
      <c r="AK209" s="579"/>
      <c r="AL209" s="579"/>
      <c r="AM209" s="579"/>
      <c r="AN209" s="579"/>
      <c r="AO209" s="579"/>
      <c r="AP209" s="579"/>
      <c r="AQ209" s="579"/>
      <c r="AR209" s="579"/>
      <c r="AS209" s="579"/>
      <c r="AT209" s="579"/>
      <c r="AU209" s="579"/>
      <c r="AV209" s="579"/>
    </row>
    <row r="210" spans="1:48" ht="19.899999999999999" thickBot="1">
      <c r="A210" s="579"/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  <c r="AF210" s="579"/>
      <c r="AG210" s="579"/>
      <c r="AH210" s="579"/>
      <c r="AI210" s="579"/>
      <c r="AJ210" s="579"/>
      <c r="AK210" s="579"/>
      <c r="AL210" s="579"/>
      <c r="AM210" s="579"/>
      <c r="AN210" s="579"/>
      <c r="AO210" s="579"/>
      <c r="AP210" s="579"/>
      <c r="AQ210" s="579"/>
      <c r="AR210" s="579"/>
      <c r="AS210" s="579"/>
      <c r="AT210" s="579"/>
      <c r="AU210" s="579"/>
      <c r="AV210" s="579"/>
    </row>
    <row r="211" spans="1:48" ht="19.899999999999999" thickBot="1">
      <c r="A211" s="579"/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  <c r="AF211" s="579"/>
      <c r="AG211" s="579"/>
      <c r="AH211" s="579"/>
      <c r="AI211" s="579"/>
      <c r="AJ211" s="579"/>
      <c r="AK211" s="579"/>
      <c r="AL211" s="579"/>
      <c r="AM211" s="579"/>
      <c r="AN211" s="579"/>
      <c r="AO211" s="579"/>
      <c r="AP211" s="579"/>
      <c r="AQ211" s="579"/>
      <c r="AR211" s="579"/>
      <c r="AS211" s="579"/>
      <c r="AT211" s="579"/>
      <c r="AU211" s="579"/>
      <c r="AV211" s="579"/>
    </row>
    <row r="212" spans="1:48" ht="19.899999999999999" thickBot="1">
      <c r="A212" s="579"/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  <c r="AF212" s="579"/>
      <c r="AG212" s="579"/>
      <c r="AH212" s="579"/>
      <c r="AI212" s="579"/>
      <c r="AJ212" s="579"/>
      <c r="AK212" s="579"/>
      <c r="AL212" s="579"/>
      <c r="AM212" s="579"/>
      <c r="AN212" s="579"/>
      <c r="AO212" s="579"/>
      <c r="AP212" s="579"/>
      <c r="AQ212" s="579"/>
      <c r="AR212" s="579"/>
      <c r="AS212" s="579"/>
      <c r="AT212" s="579"/>
      <c r="AU212" s="579"/>
      <c r="AV212" s="579"/>
    </row>
    <row r="213" spans="1:48" ht="19.899999999999999" thickBot="1">
      <c r="A213" s="579"/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  <c r="AF213" s="579"/>
      <c r="AG213" s="579"/>
      <c r="AH213" s="579"/>
      <c r="AI213" s="579"/>
      <c r="AJ213" s="579"/>
      <c r="AK213" s="579"/>
      <c r="AL213" s="579"/>
      <c r="AM213" s="579"/>
      <c r="AN213" s="579"/>
      <c r="AO213" s="579"/>
      <c r="AP213" s="579"/>
      <c r="AQ213" s="579"/>
      <c r="AR213" s="579"/>
      <c r="AS213" s="579"/>
      <c r="AT213" s="579"/>
      <c r="AU213" s="579"/>
      <c r="AV213" s="579"/>
    </row>
    <row r="214" spans="1:48" ht="19.899999999999999" thickBot="1">
      <c r="A214" s="579"/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  <c r="AF214" s="579"/>
      <c r="AG214" s="579"/>
      <c r="AH214" s="579"/>
      <c r="AI214" s="579"/>
      <c r="AJ214" s="579"/>
      <c r="AK214" s="579"/>
      <c r="AL214" s="579"/>
      <c r="AM214" s="579"/>
      <c r="AN214" s="579"/>
      <c r="AO214" s="579"/>
      <c r="AP214" s="579"/>
      <c r="AQ214" s="579"/>
      <c r="AR214" s="579"/>
      <c r="AS214" s="579"/>
      <c r="AT214" s="579"/>
      <c r="AU214" s="579"/>
      <c r="AV214" s="579"/>
    </row>
    <row r="215" spans="1:48" ht="19.899999999999999" thickBot="1">
      <c r="A215" s="579"/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  <c r="AF215" s="579"/>
      <c r="AG215" s="579"/>
      <c r="AH215" s="579"/>
      <c r="AI215" s="579"/>
      <c r="AJ215" s="579"/>
      <c r="AK215" s="579"/>
      <c r="AL215" s="579"/>
      <c r="AM215" s="579"/>
      <c r="AN215" s="579"/>
      <c r="AO215" s="579"/>
      <c r="AP215" s="579"/>
      <c r="AQ215" s="579"/>
      <c r="AR215" s="579"/>
      <c r="AS215" s="579"/>
      <c r="AT215" s="579"/>
      <c r="AU215" s="579"/>
      <c r="AV215" s="579"/>
    </row>
    <row r="216" spans="1:48" ht="19.899999999999999" thickBot="1">
      <c r="A216" s="579"/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  <c r="AF216" s="579"/>
      <c r="AG216" s="579"/>
      <c r="AH216" s="579"/>
      <c r="AI216" s="579"/>
      <c r="AJ216" s="579"/>
      <c r="AK216" s="579"/>
      <c r="AL216" s="579"/>
      <c r="AM216" s="579"/>
      <c r="AN216" s="579"/>
      <c r="AO216" s="579"/>
      <c r="AP216" s="579"/>
      <c r="AQ216" s="579"/>
      <c r="AR216" s="579"/>
      <c r="AS216" s="579"/>
      <c r="AT216" s="579"/>
      <c r="AU216" s="579"/>
      <c r="AV216" s="579"/>
    </row>
    <row r="217" spans="1:48" ht="19.899999999999999" thickBot="1">
      <c r="A217" s="579"/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  <c r="AF217" s="579"/>
      <c r="AG217" s="579"/>
      <c r="AH217" s="579"/>
      <c r="AI217" s="579"/>
      <c r="AJ217" s="579"/>
      <c r="AK217" s="579"/>
      <c r="AL217" s="579"/>
      <c r="AM217" s="579"/>
      <c r="AN217" s="579"/>
      <c r="AO217" s="579"/>
      <c r="AP217" s="579"/>
      <c r="AQ217" s="579"/>
      <c r="AR217" s="579"/>
      <c r="AS217" s="579"/>
      <c r="AT217" s="579"/>
      <c r="AU217" s="579"/>
      <c r="AV217" s="579"/>
    </row>
    <row r="218" spans="1:48" ht="19.899999999999999" thickBot="1">
      <c r="A218" s="579"/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  <c r="AF218" s="579"/>
      <c r="AG218" s="579"/>
      <c r="AH218" s="579"/>
      <c r="AI218" s="579"/>
      <c r="AJ218" s="579"/>
      <c r="AK218" s="579"/>
      <c r="AL218" s="579"/>
      <c r="AM218" s="579"/>
      <c r="AN218" s="579"/>
      <c r="AO218" s="579"/>
      <c r="AP218" s="579"/>
      <c r="AQ218" s="579"/>
      <c r="AR218" s="579"/>
      <c r="AS218" s="579"/>
      <c r="AT218" s="579"/>
      <c r="AU218" s="579"/>
      <c r="AV218" s="579"/>
    </row>
    <row r="219" spans="1:48" ht="19.899999999999999" thickBot="1">
      <c r="A219" s="579"/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  <c r="AF219" s="579"/>
      <c r="AG219" s="579"/>
      <c r="AH219" s="579"/>
      <c r="AI219" s="579"/>
      <c r="AJ219" s="579"/>
      <c r="AK219" s="579"/>
      <c r="AL219" s="579"/>
      <c r="AM219" s="579"/>
      <c r="AN219" s="579"/>
      <c r="AO219" s="579"/>
      <c r="AP219" s="579"/>
      <c r="AQ219" s="579"/>
      <c r="AR219" s="579"/>
      <c r="AS219" s="579"/>
      <c r="AT219" s="579"/>
      <c r="AU219" s="579"/>
      <c r="AV219" s="579"/>
    </row>
    <row r="220" spans="1:48" ht="19.899999999999999" thickBot="1">
      <c r="A220" s="579"/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  <c r="AF220" s="579"/>
      <c r="AG220" s="579"/>
      <c r="AH220" s="579"/>
      <c r="AI220" s="579"/>
      <c r="AJ220" s="579"/>
      <c r="AK220" s="579"/>
      <c r="AL220" s="579"/>
      <c r="AM220" s="579"/>
      <c r="AN220" s="579"/>
      <c r="AO220" s="579"/>
      <c r="AP220" s="579"/>
      <c r="AQ220" s="579"/>
      <c r="AR220" s="579"/>
      <c r="AS220" s="579"/>
      <c r="AT220" s="579"/>
      <c r="AU220" s="579"/>
      <c r="AV220" s="579"/>
    </row>
    <row r="221" spans="1:48" ht="19.899999999999999" thickBot="1">
      <c r="A221" s="579"/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  <c r="AF221" s="579"/>
      <c r="AG221" s="579"/>
      <c r="AH221" s="579"/>
      <c r="AI221" s="579"/>
      <c r="AJ221" s="579"/>
      <c r="AK221" s="579"/>
      <c r="AL221" s="579"/>
      <c r="AM221" s="579"/>
      <c r="AN221" s="579"/>
      <c r="AO221" s="579"/>
      <c r="AP221" s="579"/>
      <c r="AQ221" s="579"/>
      <c r="AR221" s="579"/>
      <c r="AS221" s="579"/>
      <c r="AT221" s="579"/>
      <c r="AU221" s="579"/>
      <c r="AV221" s="579"/>
    </row>
    <row r="222" spans="1:48" ht="19.899999999999999" thickBot="1">
      <c r="A222" s="579"/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  <c r="AF222" s="579"/>
      <c r="AG222" s="579"/>
      <c r="AH222" s="579"/>
      <c r="AI222" s="579"/>
      <c r="AJ222" s="579"/>
      <c r="AK222" s="579"/>
      <c r="AL222" s="579"/>
      <c r="AM222" s="579"/>
      <c r="AN222" s="579"/>
      <c r="AO222" s="579"/>
      <c r="AP222" s="579"/>
      <c r="AQ222" s="579"/>
      <c r="AR222" s="579"/>
      <c r="AS222" s="579"/>
      <c r="AT222" s="579"/>
      <c r="AU222" s="579"/>
      <c r="AV222" s="579"/>
    </row>
    <row r="223" spans="1:48" ht="19.899999999999999" thickBot="1">
      <c r="A223" s="579"/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  <c r="AF223" s="579"/>
      <c r="AG223" s="579"/>
      <c r="AH223" s="579"/>
      <c r="AI223" s="579"/>
      <c r="AJ223" s="579"/>
      <c r="AK223" s="579"/>
      <c r="AL223" s="579"/>
      <c r="AM223" s="579"/>
      <c r="AN223" s="579"/>
      <c r="AO223" s="579"/>
      <c r="AP223" s="579"/>
      <c r="AQ223" s="579"/>
      <c r="AR223" s="579"/>
      <c r="AS223" s="579"/>
      <c r="AT223" s="579"/>
      <c r="AU223" s="579"/>
      <c r="AV223" s="579"/>
    </row>
    <row r="224" spans="1:48" ht="19.899999999999999" thickBot="1">
      <c r="A224" s="579"/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  <c r="AF224" s="579"/>
      <c r="AG224" s="579"/>
      <c r="AH224" s="579"/>
      <c r="AI224" s="579"/>
      <c r="AJ224" s="579"/>
      <c r="AK224" s="579"/>
      <c r="AL224" s="579"/>
      <c r="AM224" s="579"/>
      <c r="AN224" s="579"/>
      <c r="AO224" s="579"/>
      <c r="AP224" s="579"/>
      <c r="AQ224" s="579"/>
      <c r="AR224" s="579"/>
      <c r="AS224" s="579"/>
      <c r="AT224" s="579"/>
      <c r="AU224" s="579"/>
      <c r="AV224" s="579"/>
    </row>
    <row r="225" spans="1:48" ht="19.899999999999999" thickBot="1">
      <c r="A225" s="579"/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  <c r="AF225" s="579"/>
      <c r="AG225" s="579"/>
      <c r="AH225" s="579"/>
      <c r="AI225" s="579"/>
      <c r="AJ225" s="579"/>
      <c r="AK225" s="579"/>
      <c r="AL225" s="579"/>
      <c r="AM225" s="579"/>
      <c r="AN225" s="579"/>
      <c r="AO225" s="579"/>
      <c r="AP225" s="579"/>
      <c r="AQ225" s="579"/>
      <c r="AR225" s="579"/>
      <c r="AS225" s="579"/>
      <c r="AT225" s="579"/>
      <c r="AU225" s="579"/>
      <c r="AV225" s="579"/>
    </row>
    <row r="226" spans="1:48" ht="19.899999999999999" thickBot="1">
      <c r="A226" s="579"/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  <c r="AF226" s="579"/>
      <c r="AG226" s="579"/>
      <c r="AH226" s="579"/>
      <c r="AI226" s="579"/>
      <c r="AJ226" s="579"/>
      <c r="AK226" s="579"/>
      <c r="AL226" s="579"/>
      <c r="AM226" s="579"/>
      <c r="AN226" s="579"/>
      <c r="AO226" s="579"/>
      <c r="AP226" s="579"/>
      <c r="AQ226" s="579"/>
      <c r="AR226" s="579"/>
      <c r="AS226" s="579"/>
      <c r="AT226" s="579"/>
      <c r="AU226" s="579"/>
      <c r="AV226" s="579"/>
    </row>
    <row r="227" spans="1:48" ht="19.899999999999999" thickBot="1">
      <c r="A227" s="579"/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  <c r="AF227" s="579"/>
      <c r="AG227" s="579"/>
      <c r="AH227" s="579"/>
      <c r="AI227" s="579"/>
      <c r="AJ227" s="579"/>
      <c r="AK227" s="579"/>
      <c r="AL227" s="579"/>
      <c r="AM227" s="579"/>
      <c r="AN227" s="579"/>
      <c r="AO227" s="579"/>
      <c r="AP227" s="579"/>
      <c r="AQ227" s="579"/>
      <c r="AR227" s="579"/>
      <c r="AS227" s="579"/>
      <c r="AT227" s="579"/>
      <c r="AU227" s="579"/>
      <c r="AV227" s="579"/>
    </row>
    <row r="228" spans="1:48" ht="19.899999999999999" thickBot="1">
      <c r="A228" s="579"/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  <c r="AF228" s="579"/>
      <c r="AG228" s="579"/>
      <c r="AH228" s="579"/>
      <c r="AI228" s="579"/>
      <c r="AJ228" s="579"/>
      <c r="AK228" s="579"/>
      <c r="AL228" s="579"/>
      <c r="AM228" s="579"/>
      <c r="AN228" s="579"/>
      <c r="AO228" s="579"/>
      <c r="AP228" s="579"/>
      <c r="AQ228" s="579"/>
      <c r="AR228" s="579"/>
      <c r="AS228" s="579"/>
      <c r="AT228" s="579"/>
      <c r="AU228" s="579"/>
      <c r="AV228" s="579"/>
    </row>
    <row r="229" spans="1:48" ht="19.899999999999999" thickBot="1">
      <c r="A229" s="579"/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  <c r="AF229" s="579"/>
      <c r="AG229" s="579"/>
      <c r="AH229" s="579"/>
      <c r="AI229" s="579"/>
      <c r="AJ229" s="579"/>
      <c r="AK229" s="579"/>
      <c r="AL229" s="579"/>
      <c r="AM229" s="579"/>
      <c r="AN229" s="579"/>
      <c r="AO229" s="579"/>
      <c r="AP229" s="579"/>
      <c r="AQ229" s="579"/>
      <c r="AR229" s="579"/>
      <c r="AS229" s="579"/>
      <c r="AT229" s="579"/>
      <c r="AU229" s="579"/>
      <c r="AV229" s="579"/>
    </row>
    <row r="230" spans="1:48" ht="19.899999999999999" thickBot="1">
      <c r="A230" s="579"/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  <c r="AF230" s="579"/>
      <c r="AG230" s="579"/>
      <c r="AH230" s="579"/>
      <c r="AI230" s="579"/>
      <c r="AJ230" s="579"/>
      <c r="AK230" s="579"/>
      <c r="AL230" s="579"/>
      <c r="AM230" s="579"/>
      <c r="AN230" s="579"/>
      <c r="AO230" s="579"/>
      <c r="AP230" s="579"/>
      <c r="AQ230" s="579"/>
      <c r="AR230" s="579"/>
      <c r="AS230" s="579"/>
      <c r="AT230" s="579"/>
      <c r="AU230" s="579"/>
      <c r="AV230" s="579"/>
    </row>
    <row r="231" spans="1:48" ht="19.899999999999999" thickBot="1">
      <c r="A231" s="579"/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  <c r="AF231" s="579"/>
      <c r="AG231" s="579"/>
      <c r="AH231" s="579"/>
      <c r="AI231" s="579"/>
      <c r="AJ231" s="579"/>
      <c r="AK231" s="579"/>
      <c r="AL231" s="579"/>
      <c r="AM231" s="579"/>
      <c r="AN231" s="579"/>
      <c r="AO231" s="579"/>
      <c r="AP231" s="579"/>
      <c r="AQ231" s="579"/>
      <c r="AR231" s="579"/>
      <c r="AS231" s="579"/>
      <c r="AT231" s="579"/>
      <c r="AU231" s="579"/>
      <c r="AV231" s="579"/>
    </row>
    <row r="232" spans="1:48" ht="19.899999999999999" thickBot="1">
      <c r="A232" s="579"/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  <c r="AF232" s="579"/>
      <c r="AG232" s="579"/>
      <c r="AH232" s="579"/>
      <c r="AI232" s="579"/>
      <c r="AJ232" s="579"/>
      <c r="AK232" s="579"/>
      <c r="AL232" s="579"/>
      <c r="AM232" s="579"/>
      <c r="AN232" s="579"/>
      <c r="AO232" s="579"/>
      <c r="AP232" s="579"/>
      <c r="AQ232" s="579"/>
      <c r="AR232" s="579"/>
      <c r="AS232" s="579"/>
      <c r="AT232" s="579"/>
      <c r="AU232" s="579"/>
      <c r="AV232" s="579"/>
    </row>
    <row r="233" spans="1:48" ht="19.899999999999999" thickBot="1">
      <c r="A233" s="579"/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  <c r="AF233" s="579"/>
      <c r="AG233" s="579"/>
      <c r="AH233" s="579"/>
      <c r="AI233" s="579"/>
      <c r="AJ233" s="579"/>
      <c r="AK233" s="579"/>
      <c r="AL233" s="579"/>
      <c r="AM233" s="579"/>
      <c r="AN233" s="579"/>
      <c r="AO233" s="579"/>
      <c r="AP233" s="579"/>
      <c r="AQ233" s="579"/>
      <c r="AR233" s="579"/>
      <c r="AS233" s="579"/>
      <c r="AT233" s="579"/>
      <c r="AU233" s="579"/>
      <c r="AV233" s="579"/>
    </row>
    <row r="234" spans="1:48" ht="19.899999999999999" thickBot="1">
      <c r="A234" s="579"/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  <c r="AF234" s="579"/>
      <c r="AG234" s="579"/>
      <c r="AH234" s="579"/>
      <c r="AI234" s="579"/>
      <c r="AJ234" s="579"/>
      <c r="AK234" s="579"/>
      <c r="AL234" s="579"/>
      <c r="AM234" s="579"/>
      <c r="AN234" s="579"/>
      <c r="AO234" s="579"/>
      <c r="AP234" s="579"/>
      <c r="AQ234" s="579"/>
      <c r="AR234" s="579"/>
      <c r="AS234" s="579"/>
      <c r="AT234" s="579"/>
      <c r="AU234" s="579"/>
      <c r="AV234" s="579"/>
    </row>
    <row r="235" spans="1:48" ht="19.899999999999999" thickBot="1">
      <c r="A235" s="579"/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  <c r="AF235" s="579"/>
      <c r="AG235" s="579"/>
      <c r="AH235" s="579"/>
      <c r="AI235" s="579"/>
      <c r="AJ235" s="579"/>
      <c r="AK235" s="579"/>
      <c r="AL235" s="579"/>
      <c r="AM235" s="579"/>
      <c r="AN235" s="579"/>
      <c r="AO235" s="579"/>
      <c r="AP235" s="579"/>
      <c r="AQ235" s="579"/>
      <c r="AR235" s="579"/>
      <c r="AS235" s="579"/>
      <c r="AT235" s="579"/>
      <c r="AU235" s="579"/>
      <c r="AV235" s="579"/>
    </row>
    <row r="236" spans="1:48" ht="19.899999999999999" thickBot="1">
      <c r="A236" s="579"/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  <c r="AF236" s="579"/>
      <c r="AG236" s="579"/>
      <c r="AH236" s="579"/>
      <c r="AI236" s="579"/>
      <c r="AJ236" s="579"/>
      <c r="AK236" s="579"/>
      <c r="AL236" s="579"/>
      <c r="AM236" s="579"/>
      <c r="AN236" s="579"/>
      <c r="AO236" s="579"/>
      <c r="AP236" s="579"/>
      <c r="AQ236" s="579"/>
      <c r="AR236" s="579"/>
      <c r="AS236" s="579"/>
      <c r="AT236" s="579"/>
      <c r="AU236" s="579"/>
      <c r="AV236" s="579"/>
    </row>
    <row r="237" spans="1:48" ht="19.899999999999999" thickBot="1">
      <c r="A237" s="579"/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  <c r="AF237" s="579"/>
      <c r="AG237" s="579"/>
      <c r="AH237" s="579"/>
      <c r="AI237" s="579"/>
      <c r="AJ237" s="579"/>
      <c r="AK237" s="579"/>
      <c r="AL237" s="579"/>
      <c r="AM237" s="579"/>
      <c r="AN237" s="579"/>
      <c r="AO237" s="579"/>
      <c r="AP237" s="579"/>
      <c r="AQ237" s="579"/>
      <c r="AR237" s="579"/>
      <c r="AS237" s="579"/>
      <c r="AT237" s="579"/>
      <c r="AU237" s="579"/>
      <c r="AV237" s="579"/>
    </row>
    <row r="238" spans="1:48" ht="19.899999999999999" thickBot="1">
      <c r="A238" s="579"/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  <c r="AF238" s="579"/>
      <c r="AG238" s="579"/>
      <c r="AH238" s="579"/>
      <c r="AI238" s="579"/>
      <c r="AJ238" s="579"/>
      <c r="AK238" s="579"/>
      <c r="AL238" s="579"/>
      <c r="AM238" s="579"/>
      <c r="AN238" s="579"/>
      <c r="AO238" s="579"/>
      <c r="AP238" s="579"/>
      <c r="AQ238" s="579"/>
      <c r="AR238" s="579"/>
      <c r="AS238" s="579"/>
      <c r="AT238" s="579"/>
      <c r="AU238" s="579"/>
      <c r="AV238" s="579"/>
    </row>
    <row r="239" spans="1:48" ht="19.899999999999999" thickBot="1">
      <c r="A239" s="579"/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  <c r="AF239" s="579"/>
      <c r="AG239" s="579"/>
      <c r="AH239" s="579"/>
      <c r="AI239" s="579"/>
      <c r="AJ239" s="579"/>
      <c r="AK239" s="579"/>
      <c r="AL239" s="579"/>
      <c r="AM239" s="579"/>
      <c r="AN239" s="579"/>
      <c r="AO239" s="579"/>
      <c r="AP239" s="579"/>
      <c r="AQ239" s="579"/>
      <c r="AR239" s="579"/>
      <c r="AS239" s="579"/>
      <c r="AT239" s="579"/>
      <c r="AU239" s="579"/>
      <c r="AV239" s="579"/>
    </row>
    <row r="240" spans="1:48" ht="19.899999999999999" thickBot="1">
      <c r="A240" s="579"/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  <c r="AF240" s="579"/>
      <c r="AG240" s="579"/>
      <c r="AH240" s="579"/>
      <c r="AI240" s="579"/>
      <c r="AJ240" s="579"/>
      <c r="AK240" s="579"/>
      <c r="AL240" s="579"/>
      <c r="AM240" s="579"/>
      <c r="AN240" s="579"/>
      <c r="AO240" s="579"/>
      <c r="AP240" s="579"/>
      <c r="AQ240" s="579"/>
      <c r="AR240" s="579"/>
      <c r="AS240" s="579"/>
      <c r="AT240" s="579"/>
      <c r="AU240" s="579"/>
      <c r="AV240" s="579"/>
    </row>
    <row r="241" spans="1:48" ht="19.899999999999999" thickBot="1">
      <c r="A241" s="579"/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  <c r="AF241" s="579"/>
      <c r="AG241" s="579"/>
      <c r="AH241" s="579"/>
      <c r="AI241" s="579"/>
      <c r="AJ241" s="579"/>
      <c r="AK241" s="579"/>
      <c r="AL241" s="579"/>
      <c r="AM241" s="579"/>
      <c r="AN241" s="579"/>
      <c r="AO241" s="579"/>
      <c r="AP241" s="579"/>
      <c r="AQ241" s="579"/>
      <c r="AR241" s="579"/>
      <c r="AS241" s="579"/>
      <c r="AT241" s="579"/>
      <c r="AU241" s="579"/>
      <c r="AV241" s="579"/>
    </row>
    <row r="242" spans="1:48" ht="19.899999999999999" thickBot="1">
      <c r="A242" s="579"/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  <c r="AF242" s="579"/>
      <c r="AG242" s="579"/>
      <c r="AH242" s="579"/>
      <c r="AI242" s="579"/>
      <c r="AJ242" s="579"/>
      <c r="AK242" s="579"/>
      <c r="AL242" s="579"/>
      <c r="AM242" s="579"/>
      <c r="AN242" s="579"/>
      <c r="AO242" s="579"/>
      <c r="AP242" s="579"/>
      <c r="AQ242" s="579"/>
      <c r="AR242" s="579"/>
      <c r="AS242" s="579"/>
      <c r="AT242" s="579"/>
      <c r="AU242" s="579"/>
      <c r="AV242" s="579"/>
    </row>
    <row r="243" spans="1:48" ht="19.899999999999999" thickBot="1">
      <c r="A243" s="579"/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  <c r="AF243" s="579"/>
      <c r="AG243" s="579"/>
      <c r="AH243" s="579"/>
      <c r="AI243" s="579"/>
      <c r="AJ243" s="579"/>
      <c r="AK243" s="579"/>
      <c r="AL243" s="579"/>
      <c r="AM243" s="579"/>
      <c r="AN243" s="579"/>
      <c r="AO243" s="579"/>
      <c r="AP243" s="579"/>
      <c r="AQ243" s="579"/>
      <c r="AR243" s="579"/>
      <c r="AS243" s="579"/>
      <c r="AT243" s="579"/>
      <c r="AU243" s="579"/>
      <c r="AV243" s="579"/>
    </row>
    <row r="244" spans="1:48" ht="19.899999999999999" thickBot="1">
      <c r="A244" s="579"/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  <c r="AF244" s="579"/>
      <c r="AG244" s="579"/>
      <c r="AH244" s="579"/>
      <c r="AI244" s="579"/>
      <c r="AJ244" s="579"/>
      <c r="AK244" s="579"/>
      <c r="AL244" s="579"/>
      <c r="AM244" s="579"/>
      <c r="AN244" s="579"/>
      <c r="AO244" s="579"/>
      <c r="AP244" s="579"/>
      <c r="AQ244" s="579"/>
      <c r="AR244" s="579"/>
      <c r="AS244" s="579"/>
      <c r="AT244" s="579"/>
      <c r="AU244" s="579"/>
      <c r="AV244" s="579"/>
    </row>
    <row r="245" spans="1:48" ht="19.899999999999999" thickBot="1">
      <c r="A245" s="579"/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  <c r="AF245" s="579"/>
      <c r="AG245" s="579"/>
      <c r="AH245" s="579"/>
      <c r="AI245" s="579"/>
      <c r="AJ245" s="579"/>
      <c r="AK245" s="579"/>
      <c r="AL245" s="579"/>
      <c r="AM245" s="579"/>
      <c r="AN245" s="579"/>
      <c r="AO245" s="579"/>
      <c r="AP245" s="579"/>
      <c r="AQ245" s="579"/>
      <c r="AR245" s="579"/>
      <c r="AS245" s="579"/>
      <c r="AT245" s="579"/>
      <c r="AU245" s="579"/>
      <c r="AV245" s="579"/>
    </row>
    <row r="246" spans="1:48" ht="19.899999999999999" thickBot="1">
      <c r="A246" s="579"/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  <c r="AF246" s="579"/>
      <c r="AG246" s="579"/>
      <c r="AH246" s="579"/>
      <c r="AI246" s="579"/>
      <c r="AJ246" s="579"/>
      <c r="AK246" s="579"/>
      <c r="AL246" s="579"/>
      <c r="AM246" s="579"/>
      <c r="AN246" s="579"/>
      <c r="AO246" s="579"/>
      <c r="AP246" s="579"/>
      <c r="AQ246" s="579"/>
      <c r="AR246" s="579"/>
      <c r="AS246" s="579"/>
      <c r="AT246" s="579"/>
      <c r="AU246" s="579"/>
      <c r="AV246" s="579"/>
    </row>
    <row r="247" spans="1:48" ht="19.899999999999999" thickBot="1">
      <c r="A247" s="579"/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  <c r="AF247" s="579"/>
      <c r="AG247" s="579"/>
      <c r="AH247" s="579"/>
      <c r="AI247" s="579"/>
      <c r="AJ247" s="579"/>
      <c r="AK247" s="579"/>
      <c r="AL247" s="579"/>
      <c r="AM247" s="579"/>
      <c r="AN247" s="579"/>
      <c r="AO247" s="579"/>
      <c r="AP247" s="579"/>
      <c r="AQ247" s="579"/>
      <c r="AR247" s="579"/>
      <c r="AS247" s="579"/>
      <c r="AT247" s="579"/>
      <c r="AU247" s="579"/>
      <c r="AV247" s="579"/>
    </row>
    <row r="248" spans="1:48" ht="19.899999999999999" thickBot="1">
      <c r="A248" s="579"/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  <c r="AF248" s="579"/>
      <c r="AG248" s="579"/>
      <c r="AH248" s="579"/>
      <c r="AI248" s="579"/>
      <c r="AJ248" s="579"/>
      <c r="AK248" s="579"/>
      <c r="AL248" s="579"/>
      <c r="AM248" s="579"/>
      <c r="AN248" s="579"/>
      <c r="AO248" s="579"/>
      <c r="AP248" s="579"/>
      <c r="AQ248" s="579"/>
      <c r="AR248" s="579"/>
      <c r="AS248" s="579"/>
      <c r="AT248" s="579"/>
      <c r="AU248" s="579"/>
      <c r="AV248" s="579"/>
    </row>
    <row r="249" spans="1:48" ht="19.899999999999999" thickBot="1">
      <c r="A249" s="579"/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  <c r="AF249" s="579"/>
      <c r="AG249" s="579"/>
      <c r="AH249" s="579"/>
      <c r="AI249" s="579"/>
      <c r="AJ249" s="579"/>
      <c r="AK249" s="579"/>
      <c r="AL249" s="579"/>
      <c r="AM249" s="579"/>
      <c r="AN249" s="579"/>
      <c r="AO249" s="579"/>
      <c r="AP249" s="579"/>
      <c r="AQ249" s="579"/>
      <c r="AR249" s="579"/>
      <c r="AS249" s="579"/>
      <c r="AT249" s="579"/>
      <c r="AU249" s="579"/>
      <c r="AV249" s="579"/>
    </row>
    <row r="250" spans="1:48" ht="19.899999999999999" thickBot="1">
      <c r="A250" s="579"/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  <c r="AF250" s="579"/>
      <c r="AG250" s="579"/>
      <c r="AH250" s="579"/>
      <c r="AI250" s="579"/>
      <c r="AJ250" s="579"/>
      <c r="AK250" s="579"/>
      <c r="AL250" s="579"/>
      <c r="AM250" s="579"/>
      <c r="AN250" s="579"/>
      <c r="AO250" s="579"/>
      <c r="AP250" s="579"/>
      <c r="AQ250" s="579"/>
      <c r="AR250" s="579"/>
      <c r="AS250" s="579"/>
      <c r="AT250" s="579"/>
      <c r="AU250" s="579"/>
      <c r="AV250" s="579"/>
    </row>
    <row r="251" spans="1:48" ht="19.899999999999999" thickBot="1">
      <c r="A251" s="579"/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  <c r="AF251" s="579"/>
      <c r="AG251" s="579"/>
      <c r="AH251" s="579"/>
      <c r="AI251" s="579"/>
      <c r="AJ251" s="579"/>
      <c r="AK251" s="579"/>
      <c r="AL251" s="579"/>
      <c r="AM251" s="579"/>
      <c r="AN251" s="579"/>
      <c r="AO251" s="579"/>
      <c r="AP251" s="579"/>
      <c r="AQ251" s="579"/>
      <c r="AR251" s="579"/>
      <c r="AS251" s="579"/>
      <c r="AT251" s="579"/>
      <c r="AU251" s="579"/>
      <c r="AV251" s="579"/>
    </row>
    <row r="252" spans="1:48" ht="19.899999999999999" thickBot="1">
      <c r="A252" s="579"/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  <c r="AF252" s="579"/>
      <c r="AG252" s="579"/>
      <c r="AH252" s="579"/>
      <c r="AI252" s="579"/>
      <c r="AJ252" s="579"/>
      <c r="AK252" s="579"/>
      <c r="AL252" s="579"/>
      <c r="AM252" s="579"/>
      <c r="AN252" s="579"/>
      <c r="AO252" s="579"/>
      <c r="AP252" s="579"/>
      <c r="AQ252" s="579"/>
      <c r="AR252" s="579"/>
      <c r="AS252" s="579"/>
      <c r="AT252" s="579"/>
      <c r="AU252" s="579"/>
      <c r="AV252" s="579"/>
    </row>
    <row r="253" spans="1:48" ht="19.899999999999999" thickBot="1">
      <c r="A253" s="579"/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  <c r="AF253" s="579"/>
      <c r="AG253" s="579"/>
      <c r="AH253" s="579"/>
      <c r="AI253" s="579"/>
      <c r="AJ253" s="579"/>
      <c r="AK253" s="579"/>
      <c r="AL253" s="579"/>
      <c r="AM253" s="579"/>
      <c r="AN253" s="579"/>
      <c r="AO253" s="579"/>
      <c r="AP253" s="579"/>
      <c r="AQ253" s="579"/>
      <c r="AR253" s="579"/>
      <c r="AS253" s="579"/>
      <c r="AT253" s="579"/>
      <c r="AU253" s="579"/>
      <c r="AV253" s="579"/>
    </row>
    <row r="254" spans="1:48" ht="19.899999999999999" thickBot="1">
      <c r="A254" s="579"/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  <c r="AF254" s="579"/>
      <c r="AG254" s="579"/>
      <c r="AH254" s="579"/>
      <c r="AI254" s="579"/>
      <c r="AJ254" s="579"/>
      <c r="AK254" s="579"/>
      <c r="AL254" s="579"/>
      <c r="AM254" s="579"/>
      <c r="AN254" s="579"/>
      <c r="AO254" s="579"/>
      <c r="AP254" s="579"/>
      <c r="AQ254" s="579"/>
      <c r="AR254" s="579"/>
      <c r="AS254" s="579"/>
      <c r="AT254" s="579"/>
      <c r="AU254" s="579"/>
      <c r="AV254" s="579"/>
    </row>
    <row r="255" spans="1:48" ht="19.899999999999999" thickBot="1">
      <c r="A255" s="579"/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  <c r="AF255" s="579"/>
      <c r="AG255" s="579"/>
      <c r="AH255" s="579"/>
      <c r="AI255" s="579"/>
      <c r="AJ255" s="579"/>
      <c r="AK255" s="579"/>
      <c r="AL255" s="579"/>
      <c r="AM255" s="579"/>
      <c r="AN255" s="579"/>
      <c r="AO255" s="579"/>
      <c r="AP255" s="579"/>
      <c r="AQ255" s="579"/>
      <c r="AR255" s="579"/>
      <c r="AS255" s="579"/>
      <c r="AT255" s="579"/>
      <c r="AU255" s="579"/>
      <c r="AV255" s="579"/>
    </row>
    <row r="256" spans="1:48" ht="19.899999999999999" thickBot="1">
      <c r="A256" s="579"/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  <c r="AV256" s="579"/>
    </row>
    <row r="257" spans="1:48" ht="19.899999999999999" thickBot="1">
      <c r="A257" s="579"/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  <c r="AV257" s="579"/>
    </row>
    <row r="258" spans="1:48" ht="19.899999999999999" thickBot="1">
      <c r="A258" s="579"/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  <c r="AV258" s="579"/>
    </row>
    <row r="259" spans="1:48" ht="19.899999999999999" thickBot="1">
      <c r="A259" s="579"/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  <c r="AV259" s="579"/>
    </row>
    <row r="260" spans="1:48" ht="19.899999999999999" thickBot="1">
      <c r="A260" s="579"/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  <c r="AV260" s="579"/>
    </row>
    <row r="261" spans="1:48" ht="19.899999999999999" thickBot="1">
      <c r="A261" s="579"/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  <c r="AV261" s="579"/>
    </row>
    <row r="262" spans="1:48" ht="19.899999999999999" thickBot="1">
      <c r="A262" s="579"/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  <c r="AV262" s="579"/>
    </row>
    <row r="263" spans="1:48" ht="19.899999999999999" thickBot="1">
      <c r="A263" s="579"/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  <c r="AV263" s="579"/>
    </row>
    <row r="264" spans="1:48" ht="19.899999999999999" thickBot="1">
      <c r="A264" s="579"/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  <c r="AV264" s="579"/>
    </row>
    <row r="265" spans="1:48" ht="19.899999999999999" thickBot="1">
      <c r="A265" s="579"/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  <c r="AV265" s="579"/>
    </row>
    <row r="266" spans="1:48" ht="19.899999999999999" thickBot="1">
      <c r="A266" s="579"/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  <c r="AV266" s="579"/>
    </row>
    <row r="267" spans="1:48" ht="19.899999999999999" thickBot="1">
      <c r="A267" s="579"/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  <c r="AV267" s="579"/>
    </row>
    <row r="268" spans="1:48" ht="19.899999999999999" thickBot="1">
      <c r="A268" s="579"/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  <c r="AV268" s="579"/>
    </row>
    <row r="269" spans="1:48" ht="19.899999999999999" thickBot="1">
      <c r="A269" s="579"/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  <c r="AV269" s="579"/>
    </row>
    <row r="270" spans="1:48" ht="19.899999999999999" thickBot="1">
      <c r="A270" s="579"/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  <c r="AV270" s="579"/>
    </row>
    <row r="271" spans="1:48" ht="19.899999999999999" thickBot="1">
      <c r="A271" s="579"/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  <c r="AV271" s="579"/>
    </row>
    <row r="272" spans="1:48" ht="19.899999999999999" thickBot="1">
      <c r="A272" s="579"/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  <c r="AV272" s="579"/>
    </row>
    <row r="273" spans="1:48" ht="19.899999999999999" thickBot="1">
      <c r="A273" s="579"/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  <c r="AV273" s="579"/>
    </row>
    <row r="274" spans="1:48" ht="19.899999999999999" thickBot="1">
      <c r="A274" s="579"/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  <c r="AV274" s="579"/>
    </row>
    <row r="275" spans="1:48" ht="19.899999999999999" thickBot="1">
      <c r="A275" s="579"/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  <c r="AV275" s="579"/>
    </row>
    <row r="276" spans="1:48" ht="19.899999999999999" thickBot="1">
      <c r="A276" s="579"/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  <c r="AV276" s="579"/>
    </row>
    <row r="277" spans="1:48" ht="19.899999999999999" thickBot="1">
      <c r="A277" s="579"/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  <c r="AV277" s="579"/>
    </row>
    <row r="278" spans="1:48" ht="19.899999999999999" thickBot="1">
      <c r="A278" s="579"/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  <c r="AV278" s="579"/>
    </row>
    <row r="279" spans="1:48" ht="19.899999999999999" thickBot="1">
      <c r="A279" s="579"/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  <c r="AV279" s="579"/>
    </row>
    <row r="280" spans="1:48" ht="19.899999999999999" thickBot="1">
      <c r="A280" s="579"/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  <c r="AV280" s="579"/>
    </row>
    <row r="281" spans="1:48" ht="19.899999999999999" thickBot="1">
      <c r="A281" s="579"/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  <c r="AV281" s="579"/>
    </row>
    <row r="282" spans="1:48" ht="19.899999999999999" thickBot="1">
      <c r="A282" s="579"/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  <c r="AV282" s="579"/>
    </row>
    <row r="283" spans="1:48" ht="19.899999999999999" thickBot="1">
      <c r="A283" s="579"/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  <c r="AV283" s="579"/>
    </row>
    <row r="284" spans="1:48" ht="19.899999999999999" thickBot="1">
      <c r="A284" s="579"/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  <c r="AV284" s="579"/>
    </row>
    <row r="285" spans="1:48" ht="19.899999999999999" thickBot="1">
      <c r="A285" s="579"/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  <c r="AV285" s="579"/>
    </row>
    <row r="286" spans="1:48" ht="19.899999999999999" thickBot="1">
      <c r="A286" s="579"/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  <c r="AV286" s="579"/>
    </row>
    <row r="287" spans="1:48" ht="19.899999999999999" thickBot="1">
      <c r="A287" s="579"/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  <c r="AV287" s="579"/>
    </row>
    <row r="288" spans="1:48" ht="19.899999999999999" thickBot="1">
      <c r="A288" s="579"/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  <c r="AV288" s="579"/>
    </row>
    <row r="289" spans="1:48" ht="19.899999999999999" thickBot="1">
      <c r="A289" s="579"/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  <c r="AV289" s="579"/>
    </row>
    <row r="290" spans="1:48" ht="19.899999999999999" thickBot="1">
      <c r="A290" s="579"/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  <c r="AV290" s="579"/>
    </row>
    <row r="291" spans="1:48" ht="19.899999999999999" thickBot="1">
      <c r="A291" s="579"/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  <c r="AV291" s="579"/>
    </row>
    <row r="292" spans="1:48" ht="19.899999999999999" thickBot="1">
      <c r="A292" s="579"/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  <c r="AV292" s="579"/>
    </row>
    <row r="293" spans="1:48" ht="19.899999999999999" thickBot="1">
      <c r="A293" s="579"/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  <c r="AV293" s="579"/>
    </row>
    <row r="294" spans="1:48" ht="19.899999999999999" thickBot="1">
      <c r="A294" s="579"/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  <c r="AV294" s="579"/>
    </row>
    <row r="295" spans="1:48" ht="19.899999999999999" thickBot="1">
      <c r="A295" s="579"/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  <c r="AV295" s="579"/>
    </row>
    <row r="296" spans="1:48" ht="19.899999999999999" thickBot="1">
      <c r="A296" s="579"/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  <c r="AV296" s="579"/>
    </row>
    <row r="297" spans="1:48" ht="19.899999999999999" thickBot="1">
      <c r="A297" s="579"/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  <c r="AV297" s="579"/>
    </row>
    <row r="298" spans="1:48" ht="19.899999999999999" thickBot="1">
      <c r="A298" s="579"/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  <c r="AV298" s="579"/>
    </row>
    <row r="299" spans="1:48" ht="19.899999999999999" thickBot="1">
      <c r="A299" s="579"/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  <c r="AV299" s="579"/>
    </row>
    <row r="300" spans="1:48" ht="19.899999999999999" thickBot="1">
      <c r="A300" s="579"/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  <c r="AV300" s="579"/>
    </row>
    <row r="301" spans="1:48" ht="19.899999999999999" thickBot="1">
      <c r="A301" s="579"/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  <c r="AV301" s="579"/>
    </row>
    <row r="302" spans="1:48" ht="19.899999999999999" thickBot="1">
      <c r="A302" s="579"/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  <c r="AV302" s="579"/>
    </row>
    <row r="303" spans="1:48" ht="19.899999999999999" thickBot="1">
      <c r="A303" s="579"/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  <c r="AV303" s="579"/>
    </row>
    <row r="304" spans="1:48" ht="19.899999999999999" thickBot="1">
      <c r="A304" s="579"/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  <c r="AV304" s="579"/>
    </row>
    <row r="305" spans="1:48" ht="19.899999999999999" thickBot="1">
      <c r="A305" s="579"/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  <c r="AV305" s="579"/>
    </row>
    <row r="306" spans="1:48" ht="19.899999999999999" thickBot="1">
      <c r="A306" s="579"/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  <c r="AV306" s="579"/>
    </row>
    <row r="307" spans="1:48" ht="19.899999999999999" thickBot="1">
      <c r="A307" s="579"/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  <c r="AV307" s="579"/>
    </row>
    <row r="308" spans="1:48" ht="19.899999999999999" thickBot="1">
      <c r="A308" s="579"/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  <c r="AV308" s="579"/>
    </row>
    <row r="309" spans="1:48" ht="19.899999999999999" thickBot="1">
      <c r="A309" s="579"/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  <c r="AV309" s="579"/>
    </row>
    <row r="310" spans="1:48" ht="19.899999999999999" thickBot="1">
      <c r="A310" s="579"/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  <c r="AV310" s="579"/>
    </row>
    <row r="311" spans="1:48" ht="19.899999999999999" thickBot="1">
      <c r="A311" s="579"/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  <c r="AV311" s="579"/>
    </row>
    <row r="312" spans="1:48" ht="19.899999999999999" thickBot="1">
      <c r="A312" s="579"/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  <c r="AV312" s="579"/>
    </row>
    <row r="313" spans="1:48" ht="19.899999999999999" thickBot="1">
      <c r="A313" s="579"/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  <c r="AV313" s="579"/>
    </row>
    <row r="314" spans="1:48" ht="19.899999999999999" thickBot="1">
      <c r="A314" s="579"/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  <c r="AV314" s="579"/>
    </row>
    <row r="315" spans="1:48" ht="19.899999999999999" thickBot="1">
      <c r="A315" s="579"/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  <c r="AV315" s="579"/>
    </row>
    <row r="316" spans="1:48" ht="19.899999999999999" thickBot="1">
      <c r="A316" s="579"/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  <c r="AV316" s="579"/>
    </row>
    <row r="317" spans="1:48" ht="19.899999999999999" thickBot="1">
      <c r="A317" s="579"/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  <c r="AV317" s="579"/>
    </row>
    <row r="318" spans="1:48" ht="19.899999999999999" thickBot="1">
      <c r="A318" s="579"/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  <c r="AV318" s="579"/>
    </row>
    <row r="319" spans="1:48" ht="19.899999999999999" thickBot="1">
      <c r="A319" s="579"/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  <c r="AV319" s="579"/>
    </row>
    <row r="320" spans="1:48" ht="19.899999999999999" thickBot="1">
      <c r="A320" s="579"/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  <c r="AV320" s="579"/>
    </row>
    <row r="321" spans="1:48" ht="19.899999999999999" thickBot="1">
      <c r="A321" s="579"/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  <c r="AV321" s="579"/>
    </row>
    <row r="322" spans="1:48" ht="19.899999999999999" thickBot="1">
      <c r="A322" s="579"/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  <c r="AV322" s="579"/>
    </row>
    <row r="323" spans="1:48" ht="19.899999999999999" thickBot="1">
      <c r="A323" s="579"/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  <c r="AV323" s="579"/>
    </row>
    <row r="324" spans="1:48" ht="19.899999999999999" thickBot="1">
      <c r="A324" s="579"/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  <c r="AV324" s="579"/>
    </row>
    <row r="325" spans="1:48" ht="19.899999999999999" thickBot="1">
      <c r="A325" s="579"/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  <c r="AV325" s="579"/>
    </row>
    <row r="326" spans="1:48" ht="19.899999999999999" thickBot="1">
      <c r="A326" s="579"/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  <c r="AV326" s="579"/>
    </row>
    <row r="327" spans="1:48" ht="19.899999999999999" thickBot="1">
      <c r="A327" s="579"/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  <c r="AV327" s="579"/>
    </row>
    <row r="328" spans="1:48" ht="19.899999999999999" thickBot="1">
      <c r="A328" s="579"/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  <c r="AV328" s="579"/>
    </row>
    <row r="329" spans="1:48" ht="19.899999999999999" thickBot="1">
      <c r="A329" s="579"/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  <c r="AV329" s="579"/>
    </row>
    <row r="330" spans="1:48" ht="19.899999999999999" thickBot="1">
      <c r="A330" s="579"/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  <c r="AV330" s="579"/>
    </row>
    <row r="331" spans="1:48" ht="19.899999999999999" thickBot="1">
      <c r="A331" s="579"/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  <c r="AV331" s="579"/>
    </row>
    <row r="332" spans="1:48" ht="19.899999999999999" thickBot="1">
      <c r="A332" s="579"/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  <c r="AV332" s="579"/>
    </row>
    <row r="333" spans="1:48" ht="19.899999999999999" thickBot="1">
      <c r="A333" s="579"/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  <c r="AV333" s="579"/>
    </row>
    <row r="334" spans="1:48" ht="19.899999999999999" thickBot="1">
      <c r="A334" s="579"/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  <c r="AV334" s="579"/>
    </row>
    <row r="335" spans="1:48" ht="19.899999999999999" thickBot="1">
      <c r="A335" s="579"/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  <c r="AV335" s="579"/>
    </row>
    <row r="336" spans="1:48" ht="19.899999999999999" thickBot="1">
      <c r="A336" s="579"/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  <c r="AV336" s="579"/>
    </row>
    <row r="337" spans="1:48" ht="19.899999999999999" thickBot="1">
      <c r="A337" s="579"/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  <c r="AV337" s="579"/>
    </row>
    <row r="338" spans="1:48" ht="19.899999999999999" thickBot="1">
      <c r="A338" s="579"/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  <c r="AV338" s="579"/>
    </row>
    <row r="339" spans="1:48" ht="19.899999999999999" thickBot="1">
      <c r="A339" s="579"/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  <c r="AV339" s="579"/>
    </row>
    <row r="340" spans="1:48" ht="19.899999999999999" thickBot="1">
      <c r="A340" s="579"/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  <c r="AV340" s="579"/>
    </row>
    <row r="341" spans="1:48" ht="19.899999999999999" thickBot="1">
      <c r="A341" s="579"/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  <c r="AV341" s="579"/>
    </row>
    <row r="342" spans="1:48" ht="19.899999999999999" thickBot="1">
      <c r="A342" s="579"/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  <c r="AV342" s="579"/>
    </row>
    <row r="343" spans="1:48" ht="19.899999999999999" thickBot="1">
      <c r="A343" s="579"/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  <c r="AV343" s="579"/>
    </row>
    <row r="344" spans="1:48" ht="19.899999999999999" thickBot="1">
      <c r="A344" s="579"/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  <c r="AV344" s="579"/>
    </row>
    <row r="345" spans="1:48" ht="19.899999999999999" thickBot="1">
      <c r="A345" s="579"/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  <c r="AV345" s="579"/>
    </row>
    <row r="346" spans="1:48" ht="19.899999999999999" thickBot="1">
      <c r="A346" s="579"/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  <c r="AV346" s="579"/>
    </row>
    <row r="347" spans="1:48" ht="19.899999999999999" thickBot="1">
      <c r="A347" s="579"/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  <c r="AV347" s="579"/>
    </row>
    <row r="348" spans="1:48" ht="19.899999999999999" thickBot="1">
      <c r="A348" s="579"/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  <c r="AV348" s="579"/>
    </row>
    <row r="349" spans="1:48" ht="19.899999999999999" thickBot="1">
      <c r="A349" s="579"/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  <c r="AV349" s="579"/>
    </row>
    <row r="350" spans="1:48" ht="19.899999999999999" thickBot="1">
      <c r="A350" s="579"/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  <c r="AV350" s="579"/>
    </row>
    <row r="351" spans="1:48" ht="19.899999999999999" thickBot="1">
      <c r="A351" s="579"/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  <c r="AV351" s="579"/>
    </row>
    <row r="352" spans="1:48" ht="19.899999999999999" thickBot="1">
      <c r="A352" s="579"/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  <c r="AV352" s="579"/>
    </row>
    <row r="353" spans="1:48" ht="19.899999999999999" thickBot="1">
      <c r="A353" s="579"/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  <c r="AV353" s="579"/>
    </row>
    <row r="354" spans="1:48" ht="19.899999999999999" thickBot="1">
      <c r="A354" s="579"/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  <c r="AV354" s="579"/>
    </row>
    <row r="355" spans="1:48" ht="19.899999999999999" thickBot="1">
      <c r="A355" s="579"/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  <c r="AV355" s="579"/>
    </row>
    <row r="356" spans="1:48" ht="19.899999999999999" thickBot="1">
      <c r="A356" s="579"/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  <c r="AV356" s="579"/>
    </row>
    <row r="357" spans="1:48" ht="19.899999999999999" thickBot="1">
      <c r="A357" s="579"/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  <c r="AV357" s="579"/>
    </row>
    <row r="358" spans="1:48" ht="19.899999999999999" thickBot="1">
      <c r="A358" s="579"/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  <c r="AV358" s="579"/>
    </row>
    <row r="359" spans="1:48" ht="19.899999999999999" thickBot="1">
      <c r="A359" s="579"/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  <c r="AV359" s="579"/>
    </row>
    <row r="360" spans="1:48" ht="19.899999999999999" thickBot="1">
      <c r="A360" s="579"/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  <c r="AV360" s="579"/>
    </row>
    <row r="361" spans="1:48" ht="19.899999999999999" thickBot="1">
      <c r="A361" s="579"/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  <c r="AV361" s="579"/>
    </row>
    <row r="362" spans="1:48" ht="19.899999999999999" thickBot="1">
      <c r="A362" s="579"/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  <c r="AV362" s="579"/>
    </row>
    <row r="363" spans="1:48" ht="19.899999999999999" thickBot="1">
      <c r="A363" s="579"/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  <c r="AV363" s="579"/>
    </row>
    <row r="364" spans="1:48" ht="19.899999999999999" thickBot="1">
      <c r="A364" s="579"/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  <c r="AV364" s="579"/>
    </row>
    <row r="365" spans="1:48" ht="19.899999999999999" thickBot="1">
      <c r="A365" s="579"/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  <c r="AV365" s="579"/>
    </row>
    <row r="366" spans="1:48" ht="19.899999999999999" thickBot="1">
      <c r="A366" s="579"/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  <c r="AV366" s="579"/>
    </row>
    <row r="367" spans="1:48" ht="19.899999999999999" thickBot="1">
      <c r="A367" s="579"/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  <c r="AV367" s="579"/>
    </row>
    <row r="368" spans="1:48" ht="19.899999999999999" thickBot="1">
      <c r="A368" s="579"/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  <c r="AV368" s="579"/>
    </row>
    <row r="369" spans="1:48" ht="19.899999999999999" thickBot="1">
      <c r="A369" s="579"/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  <c r="AV369" s="579"/>
    </row>
    <row r="370" spans="1:48" ht="19.899999999999999" thickBot="1">
      <c r="A370" s="579"/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  <c r="AV370" s="579"/>
    </row>
    <row r="371" spans="1:48" ht="19.899999999999999" thickBot="1">
      <c r="A371" s="579"/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  <c r="AV371" s="579"/>
    </row>
    <row r="372" spans="1:48" ht="19.899999999999999" thickBot="1">
      <c r="A372" s="579"/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  <c r="AV372" s="579"/>
    </row>
    <row r="373" spans="1:48" ht="19.899999999999999" thickBot="1">
      <c r="A373" s="579"/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  <c r="AV373" s="579"/>
    </row>
    <row r="374" spans="1:48" ht="19.899999999999999" thickBot="1">
      <c r="A374" s="579"/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  <c r="AV374" s="579"/>
    </row>
    <row r="375" spans="1:48" ht="19.899999999999999" thickBot="1">
      <c r="A375" s="579"/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  <c r="AV375" s="579"/>
    </row>
    <row r="376" spans="1:48" ht="19.899999999999999" thickBot="1">
      <c r="A376" s="579"/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  <c r="AV376" s="579"/>
    </row>
    <row r="377" spans="1:48" ht="19.899999999999999" thickBot="1">
      <c r="A377" s="579"/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  <c r="AV377" s="579"/>
    </row>
    <row r="378" spans="1:48" ht="19.899999999999999" thickBot="1">
      <c r="A378" s="579"/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  <c r="AV378" s="579"/>
    </row>
    <row r="379" spans="1:48" ht="19.899999999999999" thickBot="1">
      <c r="A379" s="579"/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  <c r="AV379" s="579"/>
    </row>
    <row r="380" spans="1:48" ht="19.899999999999999" thickBot="1">
      <c r="A380" s="579"/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  <c r="AV380" s="579"/>
    </row>
    <row r="381" spans="1:48" ht="19.899999999999999" thickBot="1">
      <c r="A381" s="579"/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  <c r="AV381" s="579"/>
    </row>
    <row r="382" spans="1:48" ht="19.899999999999999" thickBot="1">
      <c r="A382" s="579"/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  <c r="AV382" s="579"/>
    </row>
    <row r="383" spans="1:48" ht="19.899999999999999" thickBot="1">
      <c r="A383" s="579"/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  <c r="AV383" s="579"/>
    </row>
    <row r="384" spans="1:48" ht="19.899999999999999" thickBot="1">
      <c r="A384" s="579"/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  <c r="AV384" s="579"/>
    </row>
    <row r="385" spans="1:48" ht="19.899999999999999" thickBot="1">
      <c r="A385" s="579"/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  <c r="AV385" s="579"/>
    </row>
    <row r="386" spans="1:48" ht="19.899999999999999" thickBot="1">
      <c r="A386" s="579"/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  <c r="AV386" s="579"/>
    </row>
    <row r="387" spans="1:48" ht="19.899999999999999" thickBot="1">
      <c r="A387" s="579"/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  <c r="AV387" s="579"/>
    </row>
    <row r="388" spans="1:48" ht="19.899999999999999" thickBot="1">
      <c r="A388" s="579"/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  <c r="AV388" s="579"/>
    </row>
    <row r="389" spans="1:48" ht="19.899999999999999" thickBot="1">
      <c r="A389" s="579"/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  <c r="AV389" s="579"/>
    </row>
    <row r="390" spans="1:48" ht="19.899999999999999" thickBot="1">
      <c r="A390" s="579"/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  <c r="AV390" s="579"/>
    </row>
    <row r="391" spans="1:48" ht="19.899999999999999" thickBot="1">
      <c r="A391" s="579"/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  <c r="AV391" s="579"/>
    </row>
    <row r="392" spans="1:48" ht="19.899999999999999" thickBot="1">
      <c r="A392" s="579"/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  <c r="AV392" s="579"/>
    </row>
    <row r="393" spans="1:48" ht="19.899999999999999" thickBot="1">
      <c r="A393" s="579"/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  <c r="AV393" s="579"/>
    </row>
    <row r="394" spans="1:48" ht="19.899999999999999" thickBot="1">
      <c r="A394" s="579"/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  <c r="AV394" s="579"/>
    </row>
    <row r="395" spans="1:48" ht="19.899999999999999" thickBot="1">
      <c r="A395" s="579"/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  <c r="AV395" s="579"/>
    </row>
    <row r="396" spans="1:48" ht="19.899999999999999" thickBot="1">
      <c r="A396" s="579"/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  <c r="AV396" s="579"/>
    </row>
    <row r="397" spans="1:48" ht="19.899999999999999" thickBot="1">
      <c r="A397" s="579"/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  <c r="AV397" s="579"/>
    </row>
    <row r="398" spans="1:48" ht="19.899999999999999" thickBot="1">
      <c r="A398" s="579"/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  <c r="AV398" s="579"/>
    </row>
    <row r="399" spans="1:48" ht="19.899999999999999" thickBot="1">
      <c r="A399" s="579"/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  <c r="AV399" s="579"/>
    </row>
    <row r="400" spans="1:48" ht="19.899999999999999" thickBot="1">
      <c r="A400" s="579"/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  <c r="AV400" s="579"/>
    </row>
    <row r="401" spans="1:48" ht="19.899999999999999" thickBot="1">
      <c r="A401" s="579"/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  <c r="AV401" s="579"/>
    </row>
    <row r="402" spans="1:48" ht="19.899999999999999" thickBot="1">
      <c r="A402" s="579"/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  <c r="AV402" s="579"/>
    </row>
    <row r="403" spans="1:48" ht="19.899999999999999" thickBot="1">
      <c r="A403" s="579"/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  <c r="AV403" s="579"/>
    </row>
    <row r="404" spans="1:48" ht="19.899999999999999" thickBot="1">
      <c r="A404" s="579"/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  <c r="AV404" s="579"/>
    </row>
    <row r="405" spans="1:48" ht="19.899999999999999" thickBot="1">
      <c r="A405" s="579"/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  <c r="AV405" s="579"/>
    </row>
    <row r="406" spans="1:48" ht="19.899999999999999" thickBot="1">
      <c r="A406" s="579"/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  <c r="AV406" s="579"/>
    </row>
    <row r="407" spans="1:48" ht="19.899999999999999" thickBot="1">
      <c r="A407" s="579"/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  <c r="AV407" s="579"/>
    </row>
    <row r="408" spans="1:48" ht="19.899999999999999" thickBot="1">
      <c r="A408" s="579"/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  <c r="AV408" s="579"/>
    </row>
    <row r="409" spans="1:48" ht="19.899999999999999" thickBot="1">
      <c r="A409" s="579"/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  <c r="AV409" s="579"/>
    </row>
    <row r="410" spans="1:48" ht="19.899999999999999" thickBot="1">
      <c r="A410" s="579"/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  <c r="AV410" s="579"/>
    </row>
    <row r="411" spans="1:48" ht="19.899999999999999" thickBot="1">
      <c r="A411" s="579"/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  <c r="AV411" s="579"/>
    </row>
    <row r="412" spans="1:48" ht="19.899999999999999" thickBot="1">
      <c r="A412" s="579"/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  <c r="AV412" s="579"/>
    </row>
    <row r="413" spans="1:48" ht="19.899999999999999" thickBot="1">
      <c r="A413" s="579"/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  <c r="AV413" s="579"/>
    </row>
    <row r="414" spans="1:48" ht="19.899999999999999" thickBot="1">
      <c r="A414" s="579"/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  <c r="AV414" s="579"/>
    </row>
    <row r="415" spans="1:48" ht="19.899999999999999" thickBot="1">
      <c r="A415" s="579"/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  <c r="AV415" s="579"/>
    </row>
    <row r="416" spans="1:48" ht="19.899999999999999" thickBot="1">
      <c r="A416" s="579"/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  <c r="AV416" s="579"/>
    </row>
    <row r="417" spans="1:48" ht="19.899999999999999" thickBot="1">
      <c r="A417" s="579"/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  <c r="AV417" s="579"/>
    </row>
    <row r="418" spans="1:48" ht="19.899999999999999" thickBot="1">
      <c r="A418" s="579"/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  <c r="AV418" s="579"/>
    </row>
    <row r="419" spans="1:48" ht="19.899999999999999" thickBot="1">
      <c r="A419" s="579"/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  <c r="AV419" s="579"/>
    </row>
    <row r="420" spans="1:48" ht="19.899999999999999" thickBot="1">
      <c r="A420" s="579"/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  <c r="AV420" s="579"/>
    </row>
    <row r="421" spans="1:48" ht="19.899999999999999" thickBot="1">
      <c r="A421" s="579"/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  <c r="AV421" s="579"/>
    </row>
    <row r="422" spans="1:48" ht="19.899999999999999" thickBot="1">
      <c r="A422" s="579"/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  <c r="AV422" s="579"/>
    </row>
    <row r="423" spans="1:48" ht="19.899999999999999" thickBot="1">
      <c r="A423" s="579"/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  <c r="AV423" s="579"/>
    </row>
    <row r="424" spans="1:48" ht="19.899999999999999" thickBot="1">
      <c r="A424" s="579"/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  <c r="AV424" s="579"/>
    </row>
    <row r="425" spans="1:48" ht="19.899999999999999" thickBot="1">
      <c r="A425" s="579"/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  <c r="AV425" s="579"/>
    </row>
    <row r="426" spans="1:48" ht="19.899999999999999" thickBot="1">
      <c r="A426" s="579"/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  <c r="AV426" s="579"/>
    </row>
    <row r="427" spans="1:48" ht="19.899999999999999" thickBot="1">
      <c r="A427" s="579"/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  <c r="AV427" s="579"/>
    </row>
    <row r="428" spans="1:48" ht="19.899999999999999" thickBot="1">
      <c r="A428" s="579"/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  <c r="AV428" s="579"/>
    </row>
    <row r="429" spans="1:48" ht="19.899999999999999" thickBot="1">
      <c r="A429" s="579"/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  <c r="AV429" s="579"/>
    </row>
    <row r="430" spans="1:48" ht="19.899999999999999" thickBot="1">
      <c r="A430" s="579"/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  <c r="AV430" s="579"/>
    </row>
    <row r="431" spans="1:48" ht="19.899999999999999" thickBot="1">
      <c r="A431" s="579"/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  <c r="AV431" s="579"/>
    </row>
    <row r="432" spans="1:48" ht="19.899999999999999" thickBot="1">
      <c r="A432" s="579"/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  <c r="AV432" s="579"/>
    </row>
    <row r="433" spans="1:48" ht="19.899999999999999" thickBot="1">
      <c r="A433" s="579"/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  <c r="AV433" s="579"/>
    </row>
    <row r="434" spans="1:48" ht="19.899999999999999" thickBot="1">
      <c r="A434" s="579"/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  <c r="AV434" s="579"/>
    </row>
    <row r="435" spans="1:48" ht="19.899999999999999" thickBot="1">
      <c r="A435" s="579"/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  <c r="AV435" s="579"/>
    </row>
    <row r="436" spans="1:48" ht="19.899999999999999" thickBot="1">
      <c r="A436" s="579"/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  <c r="AV436" s="579"/>
    </row>
    <row r="437" spans="1:48" ht="19.899999999999999" thickBot="1">
      <c r="A437" s="579"/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  <c r="AV437" s="579"/>
    </row>
    <row r="438" spans="1:48" ht="19.899999999999999" thickBot="1">
      <c r="A438" s="579"/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  <c r="AV438" s="579"/>
    </row>
    <row r="439" spans="1:48" ht="19.899999999999999" thickBot="1">
      <c r="A439" s="579"/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  <c r="AV439" s="579"/>
    </row>
    <row r="440" spans="1:48" ht="19.899999999999999" thickBot="1">
      <c r="A440" s="579"/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  <c r="AV440" s="579"/>
    </row>
    <row r="441" spans="1:48" ht="19.899999999999999" thickBot="1">
      <c r="A441" s="579"/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  <c r="AV441" s="579"/>
    </row>
    <row r="442" spans="1:48" ht="19.899999999999999" thickBot="1">
      <c r="A442" s="579"/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  <c r="AV442" s="579"/>
    </row>
    <row r="443" spans="1:48" ht="19.899999999999999" thickBot="1">
      <c r="A443" s="579"/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  <c r="AV443" s="579"/>
    </row>
    <row r="444" spans="1:48" ht="19.899999999999999" thickBot="1">
      <c r="A444" s="579"/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  <c r="AV444" s="579"/>
    </row>
    <row r="445" spans="1:48" ht="19.899999999999999" thickBot="1">
      <c r="A445" s="579"/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  <c r="AV445" s="579"/>
    </row>
    <row r="446" spans="1:48" ht="19.899999999999999" thickBot="1">
      <c r="A446" s="579"/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  <c r="AV446" s="579"/>
    </row>
    <row r="447" spans="1:48" ht="19.899999999999999" thickBot="1">
      <c r="A447" s="579"/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  <c r="AV447" s="579"/>
    </row>
    <row r="448" spans="1:48" ht="19.899999999999999" thickBot="1">
      <c r="A448" s="579"/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  <c r="AV448" s="579"/>
    </row>
    <row r="449" spans="1:48" ht="19.899999999999999" thickBot="1">
      <c r="A449" s="579"/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  <c r="AV449" s="579"/>
    </row>
    <row r="450" spans="1:48" ht="19.899999999999999" thickBot="1">
      <c r="A450" s="579"/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  <c r="AV450" s="579"/>
    </row>
    <row r="451" spans="1:48" ht="19.899999999999999" thickBot="1">
      <c r="A451" s="579"/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  <c r="AV451" s="579"/>
    </row>
    <row r="452" spans="1:48" ht="19.899999999999999" thickBot="1">
      <c r="A452" s="579"/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  <c r="AV452" s="579"/>
    </row>
    <row r="453" spans="1:48" ht="19.899999999999999" thickBot="1">
      <c r="A453" s="579"/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  <c r="AV453" s="579"/>
    </row>
    <row r="454" spans="1:48" ht="19.899999999999999" thickBot="1">
      <c r="A454" s="579"/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  <c r="AV454" s="579"/>
    </row>
    <row r="455" spans="1:48" ht="19.899999999999999" thickBot="1">
      <c r="A455" s="579"/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  <c r="AV455" s="579"/>
    </row>
    <row r="456" spans="1:48" ht="19.899999999999999" thickBot="1">
      <c r="A456" s="579"/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  <c r="AV456" s="579"/>
    </row>
    <row r="457" spans="1:48" ht="19.899999999999999" thickBot="1">
      <c r="A457" s="579"/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  <c r="AV457" s="579"/>
    </row>
    <row r="458" spans="1:48" ht="19.899999999999999" thickBot="1">
      <c r="A458" s="579"/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  <c r="AV458" s="579"/>
    </row>
    <row r="459" spans="1:48" ht="19.899999999999999" thickBot="1">
      <c r="A459" s="579"/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  <c r="AV459" s="579"/>
    </row>
    <row r="460" spans="1:48" ht="19.899999999999999" thickBot="1">
      <c r="A460" s="579"/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  <c r="AV460" s="579"/>
    </row>
    <row r="461" spans="1:48" ht="19.899999999999999" thickBot="1">
      <c r="A461" s="579"/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  <c r="AV461" s="579"/>
    </row>
    <row r="462" spans="1:48" ht="19.899999999999999" thickBot="1">
      <c r="A462" s="579"/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  <c r="AV462" s="579"/>
    </row>
    <row r="463" spans="1:48" ht="19.899999999999999" thickBot="1">
      <c r="A463" s="579"/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  <c r="AV463" s="579"/>
    </row>
    <row r="464" spans="1:48" ht="19.899999999999999" thickBot="1">
      <c r="A464" s="579"/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  <c r="AV464" s="579"/>
    </row>
    <row r="465" spans="1:48" ht="19.899999999999999" thickBot="1">
      <c r="A465" s="579"/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  <c r="AV465" s="579"/>
    </row>
    <row r="466" spans="1:48" ht="19.899999999999999" thickBot="1">
      <c r="A466" s="579"/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  <c r="AV466" s="579"/>
    </row>
    <row r="467" spans="1:48" ht="19.899999999999999" thickBot="1">
      <c r="A467" s="579"/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  <c r="AV467" s="579"/>
    </row>
    <row r="468" spans="1:48" ht="19.899999999999999" thickBot="1">
      <c r="A468" s="579"/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  <c r="AV468" s="579"/>
    </row>
    <row r="469" spans="1:48" ht="19.899999999999999" thickBot="1">
      <c r="A469" s="579"/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  <c r="AV469" s="579"/>
    </row>
    <row r="470" spans="1:48" ht="19.899999999999999" thickBot="1">
      <c r="A470" s="579"/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  <c r="AV470" s="579"/>
    </row>
    <row r="471" spans="1:48" ht="19.899999999999999" thickBot="1">
      <c r="A471" s="579"/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  <c r="AV471" s="579"/>
    </row>
    <row r="472" spans="1:48" ht="19.899999999999999" thickBot="1">
      <c r="A472" s="579"/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  <c r="AV472" s="579"/>
    </row>
    <row r="473" spans="1:48" ht="19.899999999999999" thickBot="1">
      <c r="A473" s="579"/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  <c r="AV473" s="579"/>
    </row>
    <row r="474" spans="1:48" ht="19.899999999999999" thickBot="1">
      <c r="A474" s="579"/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  <c r="AV474" s="579"/>
    </row>
    <row r="475" spans="1:48" ht="19.899999999999999" thickBot="1">
      <c r="A475" s="579"/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  <c r="AV475" s="579"/>
    </row>
    <row r="476" spans="1:48" ht="19.899999999999999" thickBot="1">
      <c r="A476" s="579"/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  <c r="AV476" s="579"/>
    </row>
    <row r="477" spans="1:48" ht="19.899999999999999" thickBot="1">
      <c r="A477" s="579"/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  <c r="AV477" s="579"/>
    </row>
    <row r="478" spans="1:48" ht="19.899999999999999" thickBot="1">
      <c r="A478" s="579"/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  <c r="AV478" s="579"/>
    </row>
    <row r="479" spans="1:48" ht="19.899999999999999" thickBot="1">
      <c r="A479" s="579"/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  <c r="AV479" s="579"/>
    </row>
    <row r="480" spans="1:48" ht="19.899999999999999" thickBot="1">
      <c r="A480" s="579"/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  <c r="AV480" s="579"/>
    </row>
    <row r="481" spans="1:48" ht="19.899999999999999" thickBot="1">
      <c r="A481" s="579"/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  <c r="AV481" s="579"/>
    </row>
    <row r="482" spans="1:48" ht="19.899999999999999" thickBot="1">
      <c r="A482" s="579"/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  <c r="AV482" s="579"/>
    </row>
    <row r="483" spans="1:48" ht="19.899999999999999" thickBot="1">
      <c r="A483" s="579"/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  <c r="AV483" s="579"/>
    </row>
    <row r="484" spans="1:48" ht="19.899999999999999" thickBot="1">
      <c r="A484" s="579"/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  <c r="AV484" s="579"/>
    </row>
    <row r="485" spans="1:48" ht="19.899999999999999" thickBot="1">
      <c r="A485" s="579"/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  <c r="AV485" s="579"/>
    </row>
    <row r="486" spans="1:48" ht="19.899999999999999" thickBot="1">
      <c r="A486" s="579"/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  <c r="AV486" s="579"/>
    </row>
    <row r="487" spans="1:48" ht="19.899999999999999" thickBot="1">
      <c r="A487" s="579"/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  <c r="AV487" s="579"/>
    </row>
    <row r="488" spans="1:48" ht="19.899999999999999" thickBot="1">
      <c r="A488" s="579"/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  <c r="AV488" s="579"/>
    </row>
    <row r="489" spans="1:48" ht="19.899999999999999" thickBot="1">
      <c r="A489" s="579"/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  <c r="AV489" s="579"/>
    </row>
    <row r="490" spans="1:48" ht="19.899999999999999" thickBot="1">
      <c r="A490" s="579"/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  <c r="AV490" s="579"/>
    </row>
    <row r="491" spans="1:48" ht="19.899999999999999" thickBot="1">
      <c r="A491" s="579"/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  <c r="AV491" s="579"/>
    </row>
    <row r="492" spans="1:48" ht="19.899999999999999" thickBot="1">
      <c r="A492" s="579"/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  <c r="AV492" s="579"/>
    </row>
    <row r="493" spans="1:48" ht="19.899999999999999" thickBot="1">
      <c r="A493" s="579"/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  <c r="AV493" s="579"/>
    </row>
    <row r="494" spans="1:48" ht="19.899999999999999" thickBot="1">
      <c r="A494" s="579"/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  <c r="AV494" s="579"/>
    </row>
    <row r="495" spans="1:48" ht="19.899999999999999" thickBot="1">
      <c r="A495" s="579"/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  <c r="AV495" s="579"/>
    </row>
    <row r="496" spans="1:48" ht="19.899999999999999" thickBot="1">
      <c r="A496" s="579"/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  <c r="AV496" s="579"/>
    </row>
    <row r="497" spans="1:48" ht="19.899999999999999" thickBot="1">
      <c r="A497" s="579"/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  <c r="AV497" s="579"/>
    </row>
    <row r="498" spans="1:48" ht="19.899999999999999" thickBot="1">
      <c r="A498" s="579"/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  <c r="AV498" s="579"/>
    </row>
    <row r="499" spans="1:48" ht="19.899999999999999" thickBot="1">
      <c r="A499" s="579"/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  <c r="AV499" s="579"/>
    </row>
    <row r="500" spans="1:48" ht="19.899999999999999" thickBot="1">
      <c r="A500" s="579"/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  <c r="AV500" s="579"/>
    </row>
    <row r="501" spans="1:48" ht="19.899999999999999" thickBot="1">
      <c r="A501" s="579"/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  <c r="AV501" s="579"/>
    </row>
    <row r="502" spans="1:48" ht="19.899999999999999" thickBot="1">
      <c r="A502" s="579"/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  <c r="AV502" s="579"/>
    </row>
    <row r="503" spans="1:48" ht="19.899999999999999" thickBot="1">
      <c r="A503" s="579"/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  <c r="AV503" s="579"/>
    </row>
    <row r="504" spans="1:48" ht="19.899999999999999" thickBot="1">
      <c r="A504" s="579"/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  <c r="AV504" s="579"/>
    </row>
    <row r="505" spans="1:48" ht="19.899999999999999" thickBot="1">
      <c r="A505" s="579"/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  <c r="AV505" s="579"/>
    </row>
    <row r="506" spans="1:48" ht="19.899999999999999" thickBot="1">
      <c r="A506" s="579"/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  <c r="AV506" s="579"/>
    </row>
    <row r="507" spans="1:48" ht="19.899999999999999" thickBot="1">
      <c r="A507" s="579"/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  <c r="AV507" s="579"/>
    </row>
    <row r="508" spans="1:48" ht="19.899999999999999" thickBot="1">
      <c r="A508" s="579"/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  <c r="AV508" s="579"/>
    </row>
    <row r="509" spans="1:48" ht="19.899999999999999" thickBot="1">
      <c r="A509" s="579"/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  <c r="AV509" s="579"/>
    </row>
    <row r="510" spans="1:48" ht="19.899999999999999" thickBot="1">
      <c r="A510" s="579"/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  <c r="AV510" s="579"/>
    </row>
    <row r="511" spans="1:48" ht="19.899999999999999" thickBot="1">
      <c r="A511" s="579"/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  <c r="AV511" s="579"/>
    </row>
    <row r="512" spans="1:48" ht="19.899999999999999" thickBot="1">
      <c r="A512" s="579"/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  <c r="AV512" s="579"/>
    </row>
    <row r="513" spans="1:48" ht="19.899999999999999" thickBot="1">
      <c r="A513" s="579"/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  <c r="AV513" s="579"/>
    </row>
    <row r="514" spans="1:48" ht="19.899999999999999" thickBot="1">
      <c r="A514" s="579"/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  <c r="AV514" s="579"/>
    </row>
    <row r="515" spans="1:48" ht="19.899999999999999" thickBot="1">
      <c r="A515" s="579"/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  <c r="AV515" s="579"/>
    </row>
    <row r="516" spans="1:48" ht="19.899999999999999" thickBot="1">
      <c r="A516" s="579"/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  <c r="AV516" s="579"/>
    </row>
    <row r="517" spans="1:48" ht="19.899999999999999" thickBot="1">
      <c r="A517" s="579"/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  <c r="AV517" s="579"/>
    </row>
    <row r="518" spans="1:48" ht="19.899999999999999" thickBot="1">
      <c r="A518" s="579"/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  <c r="AV518" s="579"/>
    </row>
    <row r="519" spans="1:48" ht="19.899999999999999" thickBot="1">
      <c r="A519" s="579"/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  <c r="AV519" s="579"/>
    </row>
    <row r="520" spans="1:48" ht="19.899999999999999" thickBot="1">
      <c r="A520" s="579"/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  <c r="AV520" s="579"/>
    </row>
    <row r="521" spans="1:48" ht="19.899999999999999" thickBot="1">
      <c r="A521" s="579"/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  <c r="AV521" s="579"/>
    </row>
    <row r="522" spans="1:48" ht="19.899999999999999" thickBot="1">
      <c r="A522" s="579"/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  <c r="AV522" s="579"/>
    </row>
    <row r="523" spans="1:48" ht="19.899999999999999" thickBot="1">
      <c r="A523" s="579"/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  <c r="AV523" s="579"/>
    </row>
    <row r="524" spans="1:48" ht="19.899999999999999" thickBot="1">
      <c r="A524" s="579"/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  <c r="AV524" s="579"/>
    </row>
    <row r="525" spans="1:48" ht="19.899999999999999" thickBot="1">
      <c r="A525" s="579"/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  <c r="AV525" s="579"/>
    </row>
    <row r="526" spans="1:48" ht="19.899999999999999" thickBot="1">
      <c r="A526" s="579"/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  <c r="AV526" s="579"/>
    </row>
    <row r="527" spans="1:48" ht="19.899999999999999" thickBot="1">
      <c r="A527" s="579"/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  <c r="AV527" s="579"/>
    </row>
    <row r="528" spans="1:48" ht="19.899999999999999" thickBot="1">
      <c r="A528" s="579"/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  <c r="AV528" s="579"/>
    </row>
    <row r="529" spans="1:48" ht="19.899999999999999" thickBot="1">
      <c r="A529" s="579"/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  <c r="AV529" s="579"/>
    </row>
    <row r="530" spans="1:48" ht="19.899999999999999" thickBot="1">
      <c r="A530" s="579"/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  <c r="AV530" s="579"/>
    </row>
    <row r="531" spans="1:48" ht="19.899999999999999" thickBot="1">
      <c r="A531" s="579"/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  <c r="AV531" s="579"/>
    </row>
    <row r="532" spans="1:48" ht="19.899999999999999" thickBot="1">
      <c r="A532" s="579"/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  <c r="AV532" s="579"/>
    </row>
    <row r="533" spans="1:48" ht="19.899999999999999" thickBot="1">
      <c r="A533" s="579"/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  <c r="AV533" s="579"/>
    </row>
    <row r="534" spans="1:48" ht="19.899999999999999" thickBot="1">
      <c r="A534" s="579"/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  <c r="AV534" s="579"/>
    </row>
    <row r="535" spans="1:48" ht="19.899999999999999" thickBot="1">
      <c r="A535" s="579"/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  <c r="AV535" s="579"/>
    </row>
    <row r="536" spans="1:48" ht="19.899999999999999" thickBot="1">
      <c r="A536" s="579"/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  <c r="AV536" s="579"/>
    </row>
    <row r="537" spans="1:48" ht="19.899999999999999" thickBot="1">
      <c r="A537" s="579"/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  <c r="AV537" s="579"/>
    </row>
    <row r="538" spans="1:48" ht="19.899999999999999" thickBot="1">
      <c r="A538" s="579"/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  <c r="AV538" s="579"/>
    </row>
    <row r="539" spans="1:48" ht="19.899999999999999" thickBot="1">
      <c r="A539" s="579"/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  <c r="AV539" s="579"/>
    </row>
    <row r="540" spans="1:48" ht="19.899999999999999" thickBot="1">
      <c r="A540" s="579"/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  <c r="AV540" s="579"/>
    </row>
    <row r="541" spans="1:48" ht="19.899999999999999" thickBot="1">
      <c r="A541" s="579"/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  <c r="AV541" s="579"/>
    </row>
    <row r="542" spans="1:48" ht="19.899999999999999" thickBot="1">
      <c r="A542" s="579"/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  <c r="AV542" s="579"/>
    </row>
    <row r="543" spans="1:48" ht="19.899999999999999" thickBot="1">
      <c r="A543" s="579"/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  <c r="AV543" s="579"/>
    </row>
    <row r="544" spans="1:48" ht="19.899999999999999" thickBot="1">
      <c r="A544" s="579"/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  <c r="AV544" s="579"/>
    </row>
    <row r="545" spans="1:48" ht="19.899999999999999" thickBot="1">
      <c r="A545" s="579"/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  <c r="AV545" s="579"/>
    </row>
    <row r="546" spans="1:48" ht="19.899999999999999" thickBot="1">
      <c r="A546" s="579"/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  <c r="AV546" s="579"/>
    </row>
    <row r="547" spans="1:48" ht="19.899999999999999" thickBot="1">
      <c r="A547" s="579"/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  <c r="AV547" s="579"/>
    </row>
    <row r="548" spans="1:48" ht="19.899999999999999" thickBot="1">
      <c r="A548" s="579"/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  <c r="AV548" s="579"/>
    </row>
    <row r="549" spans="1:48" ht="19.899999999999999" thickBot="1">
      <c r="A549" s="579"/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  <c r="AV549" s="579"/>
    </row>
    <row r="550" spans="1:48" ht="19.899999999999999" thickBot="1">
      <c r="A550" s="579"/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  <c r="AV550" s="579"/>
    </row>
    <row r="551" spans="1:48" ht="19.899999999999999" thickBot="1">
      <c r="A551" s="579"/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  <c r="AV551" s="579"/>
    </row>
    <row r="552" spans="1:48" ht="19.899999999999999" thickBot="1">
      <c r="A552" s="579"/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  <c r="AV552" s="579"/>
    </row>
    <row r="553" spans="1:48" ht="19.899999999999999" thickBot="1">
      <c r="A553" s="579"/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  <c r="AV553" s="579"/>
    </row>
    <row r="554" spans="1:48" ht="19.899999999999999" thickBot="1">
      <c r="A554" s="579"/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  <c r="AV554" s="579"/>
    </row>
    <row r="555" spans="1:48" ht="19.899999999999999" thickBot="1">
      <c r="A555" s="579"/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  <c r="AV555" s="579"/>
    </row>
    <row r="556" spans="1:48" ht="19.899999999999999" thickBot="1">
      <c r="A556" s="579"/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  <c r="AV556" s="579"/>
    </row>
    <row r="557" spans="1:48" ht="19.899999999999999" thickBot="1">
      <c r="A557" s="579"/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  <c r="AV557" s="579"/>
    </row>
    <row r="558" spans="1:48" ht="19.899999999999999" thickBot="1">
      <c r="A558" s="579"/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  <c r="AV558" s="579"/>
    </row>
    <row r="559" spans="1:48" ht="19.899999999999999" thickBot="1">
      <c r="A559" s="579"/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  <c r="AV559" s="579"/>
    </row>
    <row r="560" spans="1:48" ht="19.899999999999999" thickBot="1">
      <c r="A560" s="579"/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  <c r="AV560" s="579"/>
    </row>
    <row r="561" spans="1:48" ht="19.899999999999999" thickBot="1">
      <c r="A561" s="579"/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  <c r="AV561" s="579"/>
    </row>
    <row r="562" spans="1:48" ht="19.899999999999999" thickBot="1">
      <c r="A562" s="579"/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  <c r="AV562" s="579"/>
    </row>
    <row r="563" spans="1:48" ht="19.899999999999999" thickBot="1">
      <c r="A563" s="579"/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  <c r="AV563" s="579"/>
    </row>
    <row r="564" spans="1:48" ht="19.899999999999999" thickBot="1">
      <c r="A564" s="579"/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  <c r="AV564" s="579"/>
    </row>
    <row r="565" spans="1:48" ht="19.899999999999999" thickBot="1">
      <c r="A565" s="579"/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  <c r="AV565" s="579"/>
    </row>
    <row r="566" spans="1:48" ht="19.899999999999999" thickBot="1">
      <c r="A566" s="579"/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  <c r="AV566" s="579"/>
    </row>
    <row r="567" spans="1:48" ht="19.899999999999999" thickBot="1">
      <c r="A567" s="579"/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  <c r="AV567" s="579"/>
    </row>
    <row r="568" spans="1:48" ht="19.899999999999999" thickBot="1">
      <c r="A568" s="579"/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  <c r="AV568" s="579"/>
    </row>
    <row r="569" spans="1:48" ht="19.899999999999999" thickBot="1">
      <c r="A569" s="579"/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  <c r="AV569" s="579"/>
    </row>
    <row r="570" spans="1:48" ht="19.899999999999999" thickBot="1">
      <c r="A570" s="579"/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  <c r="AV570" s="579"/>
    </row>
    <row r="571" spans="1:48" ht="19.899999999999999" thickBot="1">
      <c r="A571" s="579"/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  <c r="AV571" s="579"/>
    </row>
    <row r="572" spans="1:48" ht="19.899999999999999" thickBot="1">
      <c r="A572" s="579"/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  <c r="AV572" s="579"/>
    </row>
    <row r="573" spans="1:48" ht="19.899999999999999" thickBot="1">
      <c r="A573" s="579"/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  <c r="AV573" s="579"/>
    </row>
    <row r="574" spans="1:48" ht="19.899999999999999" thickBot="1">
      <c r="A574" s="579"/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  <c r="AV574" s="579"/>
    </row>
    <row r="575" spans="1:48" ht="19.899999999999999" thickBot="1">
      <c r="A575" s="579"/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  <c r="AV575" s="579"/>
    </row>
    <row r="576" spans="1:48" ht="19.899999999999999" thickBot="1">
      <c r="A576" s="579"/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  <c r="AV576" s="579"/>
    </row>
    <row r="577" spans="1:48" ht="19.899999999999999" thickBot="1">
      <c r="A577" s="579"/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  <c r="AV577" s="579"/>
    </row>
    <row r="578" spans="1:48" ht="19.899999999999999" thickBot="1">
      <c r="A578" s="579"/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  <c r="AV578" s="579"/>
    </row>
    <row r="579" spans="1:48" ht="19.899999999999999" thickBot="1">
      <c r="A579" s="579"/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  <c r="AV579" s="579"/>
    </row>
    <row r="580" spans="1:48" ht="19.899999999999999" thickBot="1">
      <c r="A580" s="579"/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  <c r="AV580" s="579"/>
    </row>
    <row r="581" spans="1:48" ht="19.899999999999999" thickBot="1">
      <c r="A581" s="579"/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  <c r="AV581" s="579"/>
    </row>
    <row r="582" spans="1:48" ht="19.899999999999999" thickBot="1">
      <c r="A582" s="579"/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  <c r="AV582" s="579"/>
    </row>
    <row r="583" spans="1:48" ht="19.899999999999999" thickBot="1">
      <c r="A583" s="579"/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  <c r="AV583" s="579"/>
    </row>
    <row r="584" spans="1:48" ht="19.899999999999999" thickBot="1">
      <c r="A584" s="579"/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  <c r="AV584" s="579"/>
    </row>
    <row r="585" spans="1:48" ht="19.899999999999999" thickBot="1">
      <c r="A585" s="579"/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  <c r="AV585" s="579"/>
    </row>
    <row r="586" spans="1:48" ht="19.899999999999999" thickBot="1">
      <c r="A586" s="579"/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  <c r="AV586" s="579"/>
    </row>
    <row r="587" spans="1:48" ht="19.899999999999999" thickBot="1">
      <c r="A587" s="579"/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  <c r="AV587" s="579"/>
    </row>
    <row r="588" spans="1:48" ht="19.899999999999999" thickBot="1">
      <c r="A588" s="579"/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  <c r="AV588" s="579"/>
    </row>
    <row r="589" spans="1:48" ht="19.899999999999999" thickBot="1">
      <c r="A589" s="579"/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  <c r="AV589" s="579"/>
    </row>
    <row r="590" spans="1:48" ht="19.899999999999999" thickBot="1">
      <c r="A590" s="579"/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  <c r="AV590" s="579"/>
    </row>
    <row r="591" spans="1:48" ht="19.899999999999999" thickBot="1">
      <c r="A591" s="579"/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  <c r="AV591" s="579"/>
    </row>
    <row r="592" spans="1:48" ht="19.899999999999999" thickBot="1">
      <c r="A592" s="579"/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  <c r="AV592" s="579"/>
    </row>
    <row r="593" spans="1:48" ht="19.899999999999999" thickBot="1">
      <c r="A593" s="579"/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  <c r="AV593" s="579"/>
    </row>
    <row r="594" spans="1:48" ht="19.899999999999999" thickBot="1">
      <c r="A594" s="579"/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  <c r="AV594" s="579"/>
    </row>
    <row r="595" spans="1:48" ht="19.899999999999999" thickBot="1">
      <c r="A595" s="579"/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  <c r="AV595" s="579"/>
    </row>
    <row r="596" spans="1:48" ht="19.899999999999999" thickBot="1">
      <c r="A596" s="579"/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  <c r="AV596" s="579"/>
    </row>
    <row r="597" spans="1:48" ht="19.899999999999999" thickBot="1">
      <c r="A597" s="579"/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  <c r="AV597" s="579"/>
    </row>
    <row r="598" spans="1:48" ht="19.899999999999999" thickBot="1">
      <c r="A598" s="579"/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  <c r="AV598" s="579"/>
    </row>
    <row r="599" spans="1:48" ht="19.899999999999999" thickBot="1">
      <c r="A599" s="579"/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  <c r="AV599" s="579"/>
    </row>
    <row r="600" spans="1:48" ht="19.899999999999999" thickBot="1">
      <c r="A600" s="579"/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  <c r="AV600" s="579"/>
    </row>
    <row r="601" spans="1:48" ht="19.899999999999999" thickBot="1">
      <c r="A601" s="579"/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  <c r="AV601" s="579"/>
    </row>
    <row r="602" spans="1:48" ht="19.899999999999999" thickBot="1">
      <c r="A602" s="579"/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  <c r="AV602" s="579"/>
    </row>
    <row r="603" spans="1:48" ht="19.899999999999999" thickBot="1">
      <c r="A603" s="579"/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  <c r="AV603" s="579"/>
    </row>
    <row r="604" spans="1:48" ht="19.899999999999999" thickBot="1">
      <c r="A604" s="579"/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  <c r="AV604" s="579"/>
    </row>
    <row r="605" spans="1:48" ht="19.899999999999999" thickBot="1">
      <c r="A605" s="579"/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  <c r="AV605" s="579"/>
    </row>
    <row r="606" spans="1:48" ht="19.899999999999999" thickBot="1">
      <c r="A606" s="579"/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  <c r="AV606" s="579"/>
    </row>
    <row r="607" spans="1:48" ht="19.899999999999999" thickBot="1">
      <c r="A607" s="579"/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  <c r="AV607" s="579"/>
    </row>
    <row r="608" spans="1:48" ht="19.899999999999999" thickBot="1">
      <c r="A608" s="579"/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  <c r="AV608" s="579"/>
    </row>
    <row r="609" spans="1:48" ht="19.899999999999999" thickBot="1">
      <c r="A609" s="579"/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  <c r="AV609" s="579"/>
    </row>
    <row r="610" spans="1:48" ht="19.899999999999999" thickBot="1">
      <c r="A610" s="579"/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  <c r="AV610" s="579"/>
    </row>
    <row r="611" spans="1:48" ht="19.899999999999999" thickBot="1">
      <c r="A611" s="579"/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  <c r="AV611" s="579"/>
    </row>
    <row r="612" spans="1:48" ht="19.899999999999999" thickBot="1">
      <c r="A612" s="579"/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  <c r="AV612" s="579"/>
    </row>
    <row r="613" spans="1:48" ht="19.899999999999999" thickBot="1">
      <c r="A613" s="579"/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  <c r="AV613" s="579"/>
    </row>
    <row r="614" spans="1:48" ht="19.899999999999999" thickBot="1">
      <c r="A614" s="579"/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  <c r="AV614" s="579"/>
    </row>
    <row r="615" spans="1:48" ht="19.899999999999999" thickBot="1">
      <c r="A615" s="579"/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  <c r="AV615" s="579"/>
    </row>
    <row r="616" spans="1:48" ht="19.899999999999999" thickBot="1">
      <c r="A616" s="579"/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  <c r="AV616" s="579"/>
    </row>
    <row r="617" spans="1:48" ht="19.899999999999999" thickBot="1">
      <c r="A617" s="579"/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  <c r="AV617" s="579"/>
    </row>
    <row r="618" spans="1:48" ht="19.899999999999999" thickBot="1">
      <c r="A618" s="579"/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  <c r="AV618" s="579"/>
    </row>
    <row r="619" spans="1:48" ht="19.899999999999999" thickBot="1">
      <c r="A619" s="579"/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  <c r="AV619" s="579"/>
    </row>
    <row r="620" spans="1:48" ht="19.899999999999999" thickBot="1">
      <c r="A620" s="579"/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  <c r="AV620" s="579"/>
    </row>
    <row r="621" spans="1:48" ht="19.899999999999999" thickBot="1">
      <c r="A621" s="579"/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  <c r="AV621" s="579"/>
    </row>
    <row r="622" spans="1:48" ht="19.899999999999999" thickBot="1">
      <c r="A622" s="579"/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  <c r="AV622" s="579"/>
    </row>
    <row r="623" spans="1:48" ht="19.899999999999999" thickBot="1">
      <c r="A623" s="579"/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  <c r="AV623" s="579"/>
    </row>
    <row r="624" spans="1:48" ht="19.899999999999999" thickBot="1">
      <c r="A624" s="579"/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  <c r="AV624" s="579"/>
    </row>
    <row r="625" spans="1:48" ht="19.899999999999999" thickBot="1">
      <c r="A625" s="579"/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  <c r="AV625" s="579"/>
    </row>
    <row r="626" spans="1:48" ht="19.899999999999999" thickBot="1">
      <c r="A626" s="579"/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  <c r="AV626" s="579"/>
    </row>
    <row r="627" spans="1:48" ht="19.899999999999999" thickBot="1">
      <c r="A627" s="579"/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  <c r="AV627" s="579"/>
    </row>
    <row r="628" spans="1:48" ht="19.899999999999999" thickBot="1">
      <c r="A628" s="579"/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  <c r="AV628" s="579"/>
    </row>
    <row r="629" spans="1:48" ht="19.899999999999999" thickBot="1">
      <c r="A629" s="579"/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  <c r="AV629" s="579"/>
    </row>
    <row r="630" spans="1:48" ht="19.899999999999999" thickBot="1">
      <c r="A630" s="579"/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  <c r="AV630" s="579"/>
    </row>
    <row r="631" spans="1:48" ht="19.899999999999999" thickBot="1">
      <c r="A631" s="579"/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  <c r="AV631" s="579"/>
    </row>
    <row r="632" spans="1:48" ht="19.899999999999999" thickBot="1">
      <c r="A632" s="579"/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  <c r="AV632" s="579"/>
    </row>
    <row r="633" spans="1:48" ht="19.899999999999999" thickBot="1">
      <c r="A633" s="579"/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  <c r="AV633" s="579"/>
    </row>
    <row r="634" spans="1:48" ht="19.899999999999999" thickBot="1">
      <c r="A634" s="579"/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  <c r="AV634" s="579"/>
    </row>
    <row r="635" spans="1:48" ht="19.899999999999999" thickBot="1">
      <c r="A635" s="579"/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  <c r="AV635" s="579"/>
    </row>
    <row r="636" spans="1:48" ht="19.899999999999999" thickBot="1">
      <c r="A636" s="579"/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  <c r="AV636" s="579"/>
    </row>
    <row r="637" spans="1:48" ht="19.899999999999999" thickBot="1">
      <c r="A637" s="579"/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  <c r="AV637" s="579"/>
    </row>
    <row r="638" spans="1:48" ht="19.899999999999999" thickBot="1">
      <c r="A638" s="579"/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  <c r="AV638" s="579"/>
    </row>
    <row r="639" spans="1:48" ht="19.899999999999999" thickBot="1">
      <c r="A639" s="579"/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  <c r="AV639" s="579"/>
    </row>
    <row r="640" spans="1:48" ht="19.899999999999999" thickBot="1">
      <c r="A640" s="579"/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  <c r="AV640" s="579"/>
    </row>
    <row r="641" spans="1:48" ht="19.899999999999999" thickBot="1">
      <c r="A641" s="579"/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  <c r="AV641" s="579"/>
    </row>
    <row r="642" spans="1:48" ht="19.899999999999999" thickBot="1">
      <c r="A642" s="579"/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  <c r="AV642" s="579"/>
    </row>
    <row r="643" spans="1:48" ht="19.899999999999999" thickBot="1">
      <c r="A643" s="579"/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  <c r="AV643" s="579"/>
    </row>
    <row r="644" spans="1:48" ht="19.899999999999999" thickBot="1">
      <c r="A644" s="579"/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  <c r="AV644" s="579"/>
    </row>
    <row r="645" spans="1:48" ht="19.899999999999999" thickBot="1">
      <c r="A645" s="579"/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  <c r="AV645" s="579"/>
    </row>
    <row r="646" spans="1:48" ht="19.899999999999999" thickBot="1">
      <c r="A646" s="579"/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  <c r="AV646" s="579"/>
    </row>
    <row r="647" spans="1:48" ht="19.899999999999999" thickBot="1">
      <c r="A647" s="579"/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  <c r="AV647" s="579"/>
    </row>
    <row r="648" spans="1:48" ht="19.899999999999999" thickBot="1">
      <c r="A648" s="579"/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  <c r="AV648" s="579"/>
    </row>
    <row r="649" spans="1:48" ht="19.899999999999999" thickBot="1">
      <c r="A649" s="579"/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  <c r="AV649" s="579"/>
    </row>
    <row r="650" spans="1:48" ht="19.899999999999999" thickBot="1">
      <c r="A650" s="579"/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  <c r="AV650" s="579"/>
    </row>
    <row r="651" spans="1:48" ht="19.899999999999999" thickBot="1">
      <c r="A651" s="579"/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  <c r="AV651" s="579"/>
    </row>
    <row r="652" spans="1:48" ht="19.899999999999999" thickBot="1">
      <c r="A652" s="579"/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  <c r="AV652" s="579"/>
    </row>
    <row r="653" spans="1:48" ht="19.899999999999999" thickBot="1">
      <c r="A653" s="579"/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  <c r="AV653" s="579"/>
    </row>
    <row r="654" spans="1:48" ht="19.899999999999999" thickBot="1">
      <c r="A654" s="579"/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  <c r="AV654" s="579"/>
    </row>
    <row r="655" spans="1:48" ht="19.899999999999999" thickBot="1">
      <c r="A655" s="579"/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  <c r="AV655" s="579"/>
    </row>
    <row r="656" spans="1:48" ht="19.899999999999999" thickBot="1">
      <c r="A656" s="579"/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  <c r="AV656" s="579"/>
    </row>
    <row r="657" spans="1:48" ht="19.899999999999999" thickBot="1">
      <c r="A657" s="579"/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  <c r="AV657" s="579"/>
    </row>
    <row r="658" spans="1:48" ht="19.899999999999999" thickBot="1">
      <c r="A658" s="579"/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  <c r="AV658" s="579"/>
    </row>
    <row r="659" spans="1:48" ht="19.899999999999999" thickBot="1">
      <c r="A659" s="579"/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  <c r="AV659" s="579"/>
    </row>
    <row r="660" spans="1:48" ht="19.899999999999999" thickBot="1">
      <c r="A660" s="579"/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  <c r="AV660" s="579"/>
    </row>
    <row r="661" spans="1:48" ht="19.899999999999999" thickBot="1">
      <c r="A661" s="579"/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  <c r="AV661" s="579"/>
    </row>
    <row r="662" spans="1:48" ht="19.899999999999999" thickBot="1">
      <c r="A662" s="579"/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  <c r="AV662" s="579"/>
    </row>
    <row r="663" spans="1:48" ht="19.899999999999999" thickBot="1">
      <c r="A663" s="579"/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  <c r="AV663" s="579"/>
    </row>
    <row r="664" spans="1:48" ht="19.899999999999999" thickBot="1">
      <c r="A664" s="579"/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  <c r="AV664" s="579"/>
    </row>
    <row r="665" spans="1:48" ht="19.899999999999999" thickBot="1">
      <c r="A665" s="579"/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  <c r="AV665" s="579"/>
    </row>
    <row r="666" spans="1:48" ht="19.899999999999999" thickBot="1">
      <c r="A666" s="579"/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  <c r="AV666" s="579"/>
    </row>
    <row r="667" spans="1:48" ht="19.899999999999999" thickBot="1">
      <c r="A667" s="579"/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  <c r="AV667" s="579"/>
    </row>
    <row r="668" spans="1:48" ht="19.899999999999999" thickBot="1">
      <c r="A668" s="579"/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  <c r="AV668" s="579"/>
    </row>
    <row r="669" spans="1:48" ht="19.899999999999999" thickBot="1">
      <c r="A669" s="579"/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  <c r="AV669" s="579"/>
    </row>
    <row r="670" spans="1:48" ht="19.899999999999999" thickBot="1">
      <c r="A670" s="579"/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  <c r="AV670" s="579"/>
    </row>
    <row r="671" spans="1:48" ht="19.899999999999999" thickBot="1">
      <c r="A671" s="579"/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  <c r="AV671" s="579"/>
    </row>
    <row r="672" spans="1:48" ht="19.899999999999999" thickBot="1">
      <c r="A672" s="579"/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  <c r="AV672" s="579"/>
    </row>
    <row r="673" spans="1:48" ht="19.899999999999999" thickBot="1">
      <c r="A673" s="579"/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  <c r="AV673" s="579"/>
    </row>
    <row r="674" spans="1:48" ht="19.899999999999999" thickBot="1">
      <c r="A674" s="579"/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  <c r="AV674" s="579"/>
    </row>
    <row r="675" spans="1:48" ht="19.899999999999999" thickBot="1">
      <c r="A675" s="579"/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  <c r="AV675" s="579"/>
    </row>
    <row r="676" spans="1:48" ht="19.899999999999999" thickBot="1">
      <c r="A676" s="579"/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  <c r="AV676" s="579"/>
    </row>
    <row r="677" spans="1:48" ht="19.899999999999999" thickBot="1">
      <c r="A677" s="579"/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  <c r="AV677" s="579"/>
    </row>
    <row r="678" spans="1:48" ht="19.899999999999999" thickBot="1">
      <c r="A678" s="579"/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  <c r="AV678" s="579"/>
    </row>
    <row r="679" spans="1:48" ht="19.899999999999999" thickBot="1">
      <c r="A679" s="579"/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  <c r="AV679" s="579"/>
    </row>
    <row r="680" spans="1:48" ht="19.899999999999999" thickBot="1">
      <c r="A680" s="579"/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  <c r="AV680" s="579"/>
    </row>
    <row r="681" spans="1:48" ht="19.899999999999999" thickBot="1">
      <c r="A681" s="579"/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  <c r="AV681" s="579"/>
    </row>
    <row r="682" spans="1:48" ht="19.899999999999999" thickBot="1">
      <c r="A682" s="579"/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  <c r="AV682" s="579"/>
    </row>
    <row r="683" spans="1:48" ht="19.899999999999999" thickBot="1">
      <c r="A683" s="579"/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  <c r="AV683" s="579"/>
    </row>
    <row r="684" spans="1:48" ht="19.899999999999999" thickBot="1">
      <c r="A684" s="579"/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  <c r="AV684" s="579"/>
    </row>
    <row r="685" spans="1:48" ht="19.899999999999999" thickBot="1">
      <c r="A685" s="579"/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  <c r="AV685" s="579"/>
    </row>
    <row r="686" spans="1:48" ht="19.899999999999999" thickBot="1">
      <c r="A686" s="579"/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  <c r="AV686" s="579"/>
    </row>
    <row r="687" spans="1:48" ht="19.899999999999999" thickBot="1">
      <c r="A687" s="579"/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  <c r="AV687" s="579"/>
    </row>
    <row r="688" spans="1:48" ht="19.899999999999999" thickBot="1">
      <c r="A688" s="579"/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  <c r="AV688" s="579"/>
    </row>
    <row r="689" spans="1:48" ht="19.899999999999999" thickBot="1">
      <c r="A689" s="579"/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  <c r="AV689" s="579"/>
    </row>
    <row r="690" spans="1:48" ht="19.899999999999999" thickBot="1">
      <c r="A690" s="579"/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  <c r="AV690" s="579"/>
    </row>
    <row r="691" spans="1:48" ht="19.899999999999999" thickBot="1">
      <c r="A691" s="579"/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  <c r="AV691" s="579"/>
    </row>
    <row r="692" spans="1:48" ht="19.899999999999999" thickBot="1">
      <c r="A692" s="579"/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  <c r="AV692" s="579"/>
    </row>
    <row r="693" spans="1:48" ht="19.899999999999999" thickBot="1">
      <c r="A693" s="579"/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  <c r="AV693" s="579"/>
    </row>
    <row r="694" spans="1:48" ht="19.899999999999999" thickBot="1">
      <c r="A694" s="579"/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  <c r="AV694" s="579"/>
    </row>
    <row r="695" spans="1:48" ht="19.899999999999999" thickBot="1">
      <c r="A695" s="579"/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  <c r="AV695" s="579"/>
    </row>
    <row r="696" spans="1:48" ht="19.899999999999999" thickBot="1">
      <c r="A696" s="579"/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  <c r="AV696" s="579"/>
    </row>
    <row r="697" spans="1:48" ht="19.899999999999999" thickBot="1">
      <c r="A697" s="579"/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  <c r="AV697" s="579"/>
    </row>
    <row r="698" spans="1:48" ht="19.899999999999999" thickBot="1">
      <c r="A698" s="579"/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  <c r="AV698" s="579"/>
    </row>
    <row r="699" spans="1:48" ht="19.899999999999999" thickBot="1">
      <c r="A699" s="579"/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  <c r="AV699" s="579"/>
    </row>
    <row r="700" spans="1:48" ht="19.899999999999999" thickBot="1">
      <c r="A700" s="579"/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  <c r="AV700" s="579"/>
    </row>
    <row r="701" spans="1:48" ht="19.899999999999999" thickBot="1">
      <c r="A701" s="579"/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  <c r="AV701" s="579"/>
    </row>
    <row r="702" spans="1:48" ht="19.899999999999999" thickBot="1">
      <c r="A702" s="579"/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  <c r="AV702" s="579"/>
    </row>
    <row r="703" spans="1:48" ht="19.899999999999999" thickBot="1">
      <c r="A703" s="579"/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  <c r="AV703" s="579"/>
    </row>
    <row r="704" spans="1:48" ht="19.899999999999999" thickBot="1">
      <c r="A704" s="579"/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  <c r="AV704" s="579"/>
    </row>
    <row r="705" spans="1:48" ht="19.899999999999999" thickBot="1">
      <c r="A705" s="579"/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  <c r="AV705" s="579"/>
    </row>
    <row r="706" spans="1:48" ht="19.899999999999999" thickBot="1">
      <c r="A706" s="579"/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  <c r="AV706" s="579"/>
    </row>
    <row r="707" spans="1:48" ht="19.899999999999999" thickBot="1">
      <c r="A707" s="579"/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  <c r="AV707" s="579"/>
    </row>
    <row r="708" spans="1:48" ht="19.899999999999999" thickBot="1">
      <c r="A708" s="579"/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  <c r="AV708" s="579"/>
    </row>
    <row r="709" spans="1:48" ht="19.899999999999999" thickBot="1">
      <c r="A709" s="579"/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  <c r="AV709" s="579"/>
    </row>
    <row r="710" spans="1:48" ht="19.899999999999999" thickBot="1">
      <c r="A710" s="579"/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  <c r="AV710" s="579"/>
    </row>
    <row r="711" spans="1:48" ht="19.899999999999999" thickBot="1">
      <c r="A711" s="579"/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  <c r="AV711" s="579"/>
    </row>
    <row r="712" spans="1:48" ht="19.899999999999999" thickBot="1">
      <c r="A712" s="579"/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  <c r="AV712" s="579"/>
    </row>
    <row r="713" spans="1:48" ht="19.899999999999999" thickBot="1">
      <c r="A713" s="579"/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  <c r="AV713" s="579"/>
    </row>
    <row r="714" spans="1:48" ht="19.899999999999999" thickBot="1">
      <c r="A714" s="579"/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  <c r="AV714" s="579"/>
    </row>
    <row r="715" spans="1:48" ht="19.899999999999999" thickBot="1">
      <c r="A715" s="579"/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  <c r="AV715" s="579"/>
    </row>
    <row r="716" spans="1:48" ht="19.899999999999999" thickBot="1">
      <c r="A716" s="579"/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  <c r="AV716" s="579"/>
    </row>
    <row r="717" spans="1:48" ht="19.899999999999999" thickBot="1">
      <c r="A717" s="579"/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  <c r="AV717" s="579"/>
    </row>
    <row r="718" spans="1:48" ht="19.899999999999999" thickBot="1">
      <c r="A718" s="579"/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  <c r="AV718" s="579"/>
    </row>
    <row r="719" spans="1:48" ht="19.899999999999999" thickBot="1">
      <c r="A719" s="579"/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  <c r="AV719" s="579"/>
    </row>
    <row r="720" spans="1:48" ht="19.899999999999999" thickBot="1">
      <c r="A720" s="579"/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  <c r="AV720" s="579"/>
    </row>
    <row r="721" spans="1:48" ht="19.899999999999999" thickBot="1">
      <c r="A721" s="579"/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  <c r="AV721" s="579"/>
    </row>
    <row r="722" spans="1:48" ht="19.899999999999999" thickBot="1">
      <c r="A722" s="579"/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  <c r="AV722" s="579"/>
    </row>
    <row r="723" spans="1:48" ht="19.899999999999999" thickBot="1">
      <c r="A723" s="579"/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  <c r="AV723" s="579"/>
    </row>
    <row r="724" spans="1:48" ht="19.899999999999999" thickBot="1">
      <c r="A724" s="579"/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  <c r="AV724" s="579"/>
    </row>
    <row r="725" spans="1:48" ht="19.899999999999999" thickBot="1">
      <c r="A725" s="579"/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  <c r="AV725" s="579"/>
    </row>
    <row r="726" spans="1:48" ht="19.899999999999999" thickBot="1">
      <c r="A726" s="579"/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  <c r="AV726" s="579"/>
    </row>
    <row r="727" spans="1:48" ht="19.899999999999999" thickBot="1">
      <c r="A727" s="579"/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  <c r="AV727" s="579"/>
    </row>
    <row r="728" spans="1:48" ht="19.899999999999999" thickBot="1">
      <c r="A728" s="579"/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  <c r="AV728" s="579"/>
    </row>
    <row r="729" spans="1:48" ht="19.899999999999999" thickBot="1">
      <c r="A729" s="579"/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  <c r="AV729" s="579"/>
    </row>
    <row r="730" spans="1:48" ht="19.899999999999999" thickBot="1">
      <c r="A730" s="579"/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  <c r="AV730" s="579"/>
    </row>
    <row r="731" spans="1:48" ht="19.899999999999999" thickBot="1">
      <c r="A731" s="579"/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  <c r="AV731" s="579"/>
    </row>
    <row r="732" spans="1:48" ht="19.899999999999999" thickBot="1">
      <c r="A732" s="579"/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  <c r="AV732" s="579"/>
    </row>
    <row r="733" spans="1:48" ht="19.899999999999999" thickBot="1">
      <c r="A733" s="579"/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  <c r="AV733" s="579"/>
    </row>
    <row r="734" spans="1:48" ht="19.899999999999999" thickBot="1">
      <c r="A734" s="579"/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  <c r="AV734" s="579"/>
    </row>
    <row r="735" spans="1:48" ht="19.899999999999999" thickBot="1">
      <c r="A735" s="579"/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  <c r="AV735" s="579"/>
    </row>
    <row r="736" spans="1:48" ht="19.899999999999999" thickBot="1">
      <c r="A736" s="579"/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  <c r="AV736" s="579"/>
    </row>
    <row r="737" spans="1:48" ht="19.899999999999999" thickBot="1">
      <c r="A737" s="579"/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  <c r="AV737" s="579"/>
    </row>
    <row r="738" spans="1:48" ht="19.899999999999999" thickBot="1">
      <c r="A738" s="579"/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  <c r="AV738" s="579"/>
    </row>
    <row r="739" spans="1:48" ht="19.899999999999999" thickBot="1">
      <c r="A739" s="579"/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  <c r="AV739" s="579"/>
    </row>
    <row r="740" spans="1:48" ht="19.899999999999999" thickBot="1">
      <c r="A740" s="579"/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  <c r="AV740" s="579"/>
    </row>
    <row r="741" spans="1:48" ht="19.899999999999999" thickBot="1">
      <c r="A741" s="579"/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  <c r="AV741" s="579"/>
    </row>
    <row r="742" spans="1:48" ht="19.899999999999999" thickBot="1">
      <c r="A742" s="579"/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  <c r="AV742" s="579"/>
    </row>
    <row r="743" spans="1:48" ht="19.899999999999999" thickBot="1">
      <c r="A743" s="579"/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  <c r="AV743" s="579"/>
    </row>
    <row r="744" spans="1:48" ht="19.899999999999999" thickBot="1">
      <c r="A744" s="579"/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  <c r="AV744" s="579"/>
    </row>
    <row r="745" spans="1:48" ht="19.899999999999999" thickBot="1">
      <c r="A745" s="579"/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  <c r="AV745" s="579"/>
    </row>
    <row r="746" spans="1:48" ht="19.899999999999999" thickBot="1">
      <c r="A746" s="579"/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  <c r="AV746" s="579"/>
    </row>
    <row r="747" spans="1:48" ht="19.899999999999999" thickBot="1">
      <c r="A747" s="579"/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  <c r="AV747" s="579"/>
    </row>
    <row r="748" spans="1:48" ht="19.899999999999999" thickBot="1">
      <c r="A748" s="579"/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  <c r="AV748" s="579"/>
    </row>
    <row r="749" spans="1:48" ht="19.899999999999999" thickBot="1">
      <c r="A749" s="579"/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  <c r="AV749" s="579"/>
    </row>
    <row r="750" spans="1:48" ht="19.899999999999999" thickBot="1">
      <c r="A750" s="579"/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  <c r="AV750" s="579"/>
    </row>
    <row r="751" spans="1:48" ht="19.899999999999999" thickBot="1">
      <c r="A751" s="579"/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  <c r="AV751" s="579"/>
    </row>
    <row r="752" spans="1:48" ht="19.899999999999999" thickBot="1">
      <c r="A752" s="579"/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  <c r="AV752" s="579"/>
    </row>
    <row r="753" spans="1:48" ht="19.899999999999999" thickBot="1">
      <c r="A753" s="579"/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  <c r="AV753" s="579"/>
    </row>
    <row r="754" spans="1:48" ht="19.899999999999999" thickBot="1">
      <c r="A754" s="579"/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  <c r="AV754" s="579"/>
    </row>
    <row r="755" spans="1:48" ht="19.899999999999999" thickBot="1">
      <c r="A755" s="579"/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  <c r="AV755" s="579"/>
    </row>
    <row r="756" spans="1:48" ht="19.899999999999999" thickBot="1">
      <c r="A756" s="579"/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  <c r="AV756" s="579"/>
    </row>
    <row r="757" spans="1:48" ht="19.899999999999999" thickBot="1">
      <c r="A757" s="579"/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  <c r="AV757" s="579"/>
    </row>
    <row r="758" spans="1:48" ht="19.899999999999999" thickBot="1">
      <c r="A758" s="579"/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  <c r="AV758" s="579"/>
    </row>
    <row r="759" spans="1:48" ht="19.899999999999999" thickBot="1">
      <c r="A759" s="579"/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  <c r="AV759" s="579"/>
    </row>
    <row r="760" spans="1:48" ht="19.899999999999999" thickBot="1">
      <c r="A760" s="579"/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  <c r="AV760" s="579"/>
    </row>
    <row r="761" spans="1:48" ht="19.899999999999999" thickBot="1">
      <c r="A761" s="579"/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  <c r="AV761" s="579"/>
    </row>
    <row r="762" spans="1:48" ht="19.899999999999999" thickBot="1">
      <c r="A762" s="579"/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  <c r="AV762" s="579"/>
    </row>
    <row r="763" spans="1:48" ht="19.899999999999999" thickBot="1">
      <c r="A763" s="579"/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  <c r="AV763" s="579"/>
    </row>
    <row r="764" spans="1:48" ht="19.899999999999999" thickBot="1">
      <c r="A764" s="579"/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  <c r="AV764" s="579"/>
    </row>
    <row r="765" spans="1:48" ht="19.899999999999999" thickBot="1">
      <c r="A765" s="579"/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  <c r="AV765" s="579"/>
    </row>
    <row r="766" spans="1:48" ht="19.899999999999999" thickBot="1">
      <c r="A766" s="579"/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  <c r="AV766" s="579"/>
    </row>
    <row r="767" spans="1:48" ht="19.899999999999999" thickBot="1">
      <c r="A767" s="579"/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  <c r="AV767" s="579"/>
    </row>
    <row r="768" spans="1:48" ht="19.899999999999999" thickBot="1">
      <c r="A768" s="579"/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  <c r="AV768" s="579"/>
    </row>
    <row r="769" spans="1:48" ht="19.899999999999999" thickBot="1">
      <c r="A769" s="579"/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  <c r="AV769" s="579"/>
    </row>
    <row r="770" spans="1:48" ht="19.899999999999999" thickBot="1">
      <c r="A770" s="579"/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  <c r="AV770" s="579"/>
    </row>
    <row r="771" spans="1:48" ht="19.899999999999999" thickBot="1">
      <c r="A771" s="579"/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  <c r="AV771" s="579"/>
    </row>
    <row r="772" spans="1:48" ht="19.899999999999999" thickBot="1">
      <c r="A772" s="579"/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  <c r="AV772" s="579"/>
    </row>
    <row r="773" spans="1:48" ht="19.899999999999999" thickBot="1">
      <c r="A773" s="579"/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  <c r="AV773" s="579"/>
    </row>
    <row r="774" spans="1:48" ht="19.899999999999999" thickBot="1">
      <c r="A774" s="579"/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  <c r="AV774" s="579"/>
    </row>
    <row r="775" spans="1:48" ht="19.899999999999999" thickBot="1">
      <c r="A775" s="579"/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  <c r="AV775" s="579"/>
    </row>
    <row r="776" spans="1:48" ht="19.899999999999999" thickBot="1">
      <c r="A776" s="579"/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  <c r="AV776" s="579"/>
    </row>
    <row r="777" spans="1:48" ht="19.899999999999999" thickBot="1">
      <c r="A777" s="579"/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  <c r="AV777" s="579"/>
    </row>
    <row r="778" spans="1:48" ht="19.899999999999999" thickBot="1">
      <c r="A778" s="579"/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  <c r="AV778" s="579"/>
    </row>
    <row r="779" spans="1:48" ht="19.899999999999999" thickBot="1">
      <c r="A779" s="579"/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  <c r="AV779" s="579"/>
    </row>
    <row r="780" spans="1:48" ht="19.899999999999999" thickBot="1">
      <c r="A780" s="579"/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  <c r="AV780" s="579"/>
    </row>
    <row r="781" spans="1:48" ht="19.899999999999999" thickBot="1">
      <c r="A781" s="579"/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  <c r="AV781" s="579"/>
    </row>
    <row r="782" spans="1:48" ht="19.899999999999999" thickBot="1">
      <c r="A782" s="579"/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  <c r="AV782" s="579"/>
    </row>
    <row r="783" spans="1:48" ht="19.899999999999999" thickBot="1">
      <c r="A783" s="579"/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  <c r="AV783" s="579"/>
    </row>
    <row r="784" spans="1:48" ht="19.899999999999999" thickBot="1">
      <c r="A784" s="579"/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  <c r="AV784" s="579"/>
    </row>
    <row r="785" spans="1:48" ht="19.899999999999999" thickBot="1">
      <c r="A785" s="579"/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  <c r="AV785" s="579"/>
    </row>
    <row r="786" spans="1:48" ht="19.899999999999999" thickBot="1">
      <c r="A786" s="579"/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  <c r="AV786" s="579"/>
    </row>
    <row r="787" spans="1:48" ht="19.899999999999999" thickBot="1">
      <c r="A787" s="579"/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  <c r="AV787" s="579"/>
    </row>
    <row r="788" spans="1:48" ht="19.899999999999999" thickBot="1">
      <c r="A788" s="579"/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  <c r="AV788" s="579"/>
    </row>
    <row r="789" spans="1:48" ht="19.899999999999999" thickBot="1">
      <c r="A789" s="579"/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  <c r="AV789" s="579"/>
    </row>
    <row r="790" spans="1:48" ht="19.899999999999999" thickBot="1">
      <c r="A790" s="579"/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  <c r="AV790" s="579"/>
    </row>
    <row r="791" spans="1:48" ht="19.899999999999999" thickBot="1">
      <c r="A791" s="579"/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  <c r="AV791" s="579"/>
    </row>
    <row r="792" spans="1:48" ht="19.899999999999999" thickBot="1">
      <c r="A792" s="579"/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  <c r="AV792" s="579"/>
    </row>
    <row r="793" spans="1:48" ht="19.899999999999999" thickBot="1">
      <c r="A793" s="579"/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  <c r="AV793" s="579"/>
    </row>
    <row r="794" spans="1:48" ht="19.899999999999999" thickBot="1">
      <c r="A794" s="579"/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  <c r="AV794" s="579"/>
    </row>
    <row r="795" spans="1:48" ht="19.899999999999999" thickBot="1">
      <c r="A795" s="579"/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  <c r="AV795" s="579"/>
    </row>
    <row r="796" spans="1:48" ht="19.899999999999999" thickBot="1">
      <c r="A796" s="579"/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  <c r="AV796" s="579"/>
    </row>
    <row r="797" spans="1:48" ht="19.899999999999999" thickBot="1">
      <c r="A797" s="579"/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  <c r="AV797" s="579"/>
    </row>
    <row r="798" spans="1:48" ht="19.899999999999999" thickBot="1">
      <c r="A798" s="579"/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  <c r="AV798" s="579"/>
    </row>
    <row r="799" spans="1:48" ht="19.899999999999999" thickBot="1">
      <c r="A799" s="579"/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  <c r="AV799" s="579"/>
    </row>
    <row r="800" spans="1:48" ht="19.899999999999999" thickBot="1">
      <c r="A800" s="579"/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  <c r="AV800" s="579"/>
    </row>
    <row r="801" spans="1:48" ht="19.899999999999999" thickBot="1">
      <c r="A801" s="579"/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  <c r="AV801" s="579"/>
    </row>
    <row r="802" spans="1:48" ht="19.899999999999999" thickBot="1">
      <c r="A802" s="579"/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  <c r="AV802" s="579"/>
    </row>
    <row r="803" spans="1:48" ht="19.899999999999999" thickBot="1">
      <c r="A803" s="579"/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  <c r="AV803" s="579"/>
    </row>
    <row r="804" spans="1:48" ht="19.899999999999999" thickBot="1">
      <c r="A804" s="579"/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  <c r="AV804" s="579"/>
    </row>
    <row r="805" spans="1:48" ht="19.899999999999999" thickBot="1">
      <c r="A805" s="579"/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  <c r="AV805" s="579"/>
    </row>
    <row r="806" spans="1:48" ht="19.899999999999999" thickBot="1">
      <c r="A806" s="579"/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  <c r="AV806" s="579"/>
    </row>
    <row r="807" spans="1:48" ht="19.899999999999999" thickBot="1">
      <c r="A807" s="579"/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  <c r="AV807" s="579"/>
    </row>
    <row r="808" spans="1:48" ht="19.899999999999999" thickBot="1">
      <c r="A808" s="579"/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  <c r="AV808" s="579"/>
    </row>
    <row r="809" spans="1:48" ht="19.899999999999999" thickBot="1">
      <c r="A809" s="579"/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  <c r="AV809" s="579"/>
    </row>
    <row r="810" spans="1:48" ht="19.899999999999999" thickBot="1">
      <c r="A810" s="579"/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  <c r="AV810" s="579"/>
    </row>
    <row r="811" spans="1:48" ht="19.899999999999999" thickBot="1">
      <c r="A811" s="579"/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  <c r="AV811" s="579"/>
    </row>
    <row r="812" spans="1:48" ht="19.899999999999999" thickBot="1">
      <c r="A812" s="579"/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  <c r="AV812" s="579"/>
    </row>
    <row r="813" spans="1:48" ht="19.899999999999999" thickBot="1">
      <c r="A813" s="579"/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  <c r="AV813" s="579"/>
    </row>
    <row r="814" spans="1:48" ht="19.899999999999999" thickBot="1">
      <c r="A814" s="579"/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  <c r="AV814" s="579"/>
    </row>
    <row r="815" spans="1:48" ht="19.899999999999999" thickBot="1">
      <c r="A815" s="579"/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  <c r="AV815" s="579"/>
    </row>
    <row r="816" spans="1:48" ht="19.899999999999999" thickBot="1">
      <c r="A816" s="579"/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  <c r="AV816" s="579"/>
    </row>
    <row r="817" spans="1:48" ht="19.899999999999999" thickBot="1">
      <c r="A817" s="579"/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  <c r="AV817" s="579"/>
    </row>
    <row r="818" spans="1:48" ht="19.899999999999999" thickBot="1">
      <c r="A818" s="579"/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  <c r="AV818" s="579"/>
    </row>
    <row r="819" spans="1:48" ht="19.899999999999999" thickBot="1">
      <c r="A819" s="579"/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  <c r="AV819" s="579"/>
    </row>
    <row r="820" spans="1:48" ht="19.899999999999999" thickBot="1">
      <c r="A820" s="579"/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  <c r="AV820" s="579"/>
    </row>
    <row r="821" spans="1:48" ht="19.899999999999999" thickBot="1">
      <c r="A821" s="579"/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  <c r="AV821" s="579"/>
    </row>
    <row r="822" spans="1:48" ht="19.899999999999999" thickBot="1">
      <c r="A822" s="579"/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  <c r="AV822" s="579"/>
    </row>
    <row r="823" spans="1:48" ht="19.899999999999999" thickBot="1">
      <c r="A823" s="579"/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  <c r="AV823" s="579"/>
    </row>
    <row r="824" spans="1:48" ht="19.899999999999999" thickBot="1">
      <c r="A824" s="579"/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  <c r="AV824" s="579"/>
    </row>
    <row r="825" spans="1:48" ht="19.899999999999999" thickBot="1">
      <c r="A825" s="579"/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  <c r="AV825" s="579"/>
    </row>
    <row r="826" spans="1:48" ht="19.899999999999999" thickBot="1">
      <c r="A826" s="579"/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  <c r="AV826" s="579"/>
    </row>
    <row r="827" spans="1:48" ht="19.899999999999999" thickBot="1">
      <c r="A827" s="579"/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  <c r="AV827" s="579"/>
    </row>
    <row r="828" spans="1:48" ht="19.899999999999999" thickBot="1">
      <c r="A828" s="579"/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</row>
    <row r="829" spans="1:48" ht="19.899999999999999" thickBot="1">
      <c r="A829" s="579"/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  <c r="AV829" s="579"/>
    </row>
    <row r="830" spans="1:48" ht="19.899999999999999" thickBot="1">
      <c r="A830" s="579"/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  <c r="AV830" s="579"/>
    </row>
    <row r="831" spans="1:48" ht="19.899999999999999" thickBot="1">
      <c r="A831" s="579"/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  <c r="AV831" s="579"/>
    </row>
    <row r="832" spans="1:48" ht="19.899999999999999" thickBot="1">
      <c r="A832" s="579"/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  <c r="AV832" s="579"/>
    </row>
    <row r="833" spans="1:48" ht="19.899999999999999" thickBot="1">
      <c r="A833" s="579"/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  <c r="AV833" s="579"/>
    </row>
    <row r="834" spans="1:48" ht="19.899999999999999" thickBot="1">
      <c r="A834" s="579"/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  <c r="AV834" s="579"/>
    </row>
    <row r="835" spans="1:48" ht="19.899999999999999" thickBot="1">
      <c r="A835" s="579"/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  <c r="AV835" s="579"/>
    </row>
    <row r="836" spans="1:48" ht="19.899999999999999" thickBot="1">
      <c r="A836" s="579"/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  <c r="AV836" s="579"/>
    </row>
    <row r="837" spans="1:48" ht="19.899999999999999" thickBot="1">
      <c r="A837" s="579"/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  <c r="AV837" s="579"/>
    </row>
    <row r="838" spans="1:48" ht="19.899999999999999" thickBot="1">
      <c r="A838" s="579"/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  <c r="AV838" s="579"/>
    </row>
    <row r="839" spans="1:48" ht="19.899999999999999" thickBot="1">
      <c r="A839" s="579"/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  <c r="AV839" s="579"/>
    </row>
    <row r="840" spans="1:48" ht="19.899999999999999" thickBot="1">
      <c r="A840" s="579"/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  <c r="AV840" s="579"/>
    </row>
    <row r="841" spans="1:48" ht="19.899999999999999" thickBot="1">
      <c r="A841" s="579"/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  <c r="AV841" s="579"/>
    </row>
    <row r="842" spans="1:48" ht="19.899999999999999" thickBot="1">
      <c r="A842" s="579"/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  <c r="AV842" s="579"/>
    </row>
    <row r="843" spans="1:48" ht="19.899999999999999" thickBot="1">
      <c r="A843" s="579"/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  <c r="AV843" s="579"/>
    </row>
    <row r="844" spans="1:48" ht="19.899999999999999" thickBot="1">
      <c r="A844" s="579"/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  <c r="AV844" s="579"/>
    </row>
    <row r="845" spans="1:48" ht="19.899999999999999" thickBot="1">
      <c r="A845" s="579"/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  <c r="AV845" s="579"/>
    </row>
    <row r="846" spans="1:48" ht="19.899999999999999" thickBot="1">
      <c r="A846" s="579"/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  <c r="AV846" s="579"/>
    </row>
    <row r="847" spans="1:48" ht="19.899999999999999" thickBot="1">
      <c r="A847" s="579"/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  <c r="AV847" s="579"/>
    </row>
    <row r="848" spans="1:48" ht="19.899999999999999" thickBot="1">
      <c r="A848" s="579"/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  <c r="AV848" s="579"/>
    </row>
    <row r="849" spans="1:48" ht="19.899999999999999" thickBot="1">
      <c r="A849" s="579"/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</row>
    <row r="850" spans="1:48" ht="19.899999999999999" thickBot="1">
      <c r="A850" s="579"/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  <c r="AV850" s="579"/>
    </row>
    <row r="851" spans="1:48" ht="19.899999999999999" thickBot="1">
      <c r="A851" s="579"/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  <c r="AV851" s="579"/>
    </row>
    <row r="852" spans="1:48" ht="19.899999999999999" thickBot="1">
      <c r="A852" s="579"/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</row>
    <row r="853" spans="1:48" ht="19.899999999999999" thickBot="1">
      <c r="A853" s="579"/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  <c r="AV853" s="579"/>
    </row>
    <row r="854" spans="1:48" ht="19.899999999999999" thickBot="1">
      <c r="A854" s="579"/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  <c r="AV854" s="579"/>
    </row>
    <row r="855" spans="1:48" ht="19.899999999999999" thickBot="1">
      <c r="A855" s="579"/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  <c r="AV855" s="579"/>
    </row>
    <row r="856" spans="1:48" ht="19.899999999999999" thickBot="1">
      <c r="A856" s="579"/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  <c r="AV856" s="579"/>
    </row>
    <row r="857" spans="1:48" ht="19.899999999999999" thickBot="1">
      <c r="A857" s="579"/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</row>
    <row r="858" spans="1:48" ht="19.899999999999999" thickBot="1">
      <c r="A858" s="579"/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  <c r="AV858" s="579"/>
    </row>
    <row r="859" spans="1:48" ht="19.899999999999999" thickBot="1">
      <c r="A859" s="579"/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  <c r="AV859" s="579"/>
    </row>
    <row r="860" spans="1:48" ht="19.899999999999999" thickBot="1">
      <c r="A860" s="579"/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  <c r="AV860" s="579"/>
    </row>
    <row r="861" spans="1:48" ht="19.899999999999999" thickBot="1">
      <c r="A861" s="579"/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  <c r="AV861" s="579"/>
    </row>
    <row r="862" spans="1:48" ht="19.899999999999999" thickBot="1">
      <c r="A862" s="579"/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  <c r="AV862" s="579"/>
    </row>
    <row r="863" spans="1:48" ht="19.899999999999999" thickBot="1">
      <c r="A863" s="579"/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  <c r="AV863" s="579"/>
    </row>
    <row r="864" spans="1:48" ht="19.899999999999999" thickBot="1">
      <c r="A864" s="579"/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  <c r="AV864" s="579"/>
    </row>
    <row r="865" spans="1:48" ht="19.899999999999999" thickBot="1">
      <c r="A865" s="579"/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  <c r="AV865" s="579"/>
    </row>
    <row r="866" spans="1:48" ht="19.899999999999999" thickBot="1">
      <c r="A866" s="579"/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  <c r="AV866" s="579"/>
    </row>
    <row r="867" spans="1:48" ht="19.899999999999999" thickBot="1">
      <c r="A867" s="579"/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  <c r="AV867" s="579"/>
    </row>
    <row r="868" spans="1:48" ht="19.899999999999999" thickBot="1">
      <c r="A868" s="579"/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  <c r="AV868" s="579"/>
    </row>
    <row r="869" spans="1:48" ht="19.899999999999999" thickBot="1">
      <c r="A869" s="579"/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  <c r="AV869" s="579"/>
    </row>
    <row r="870" spans="1:48" ht="19.899999999999999" thickBot="1">
      <c r="A870" s="579"/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  <c r="AV870" s="579"/>
    </row>
    <row r="871" spans="1:48" ht="19.899999999999999" thickBot="1">
      <c r="A871" s="579"/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  <c r="AV871" s="579"/>
    </row>
    <row r="872" spans="1:48" ht="19.899999999999999" thickBot="1">
      <c r="A872" s="579"/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  <c r="AV872" s="579"/>
    </row>
    <row r="873" spans="1:48" ht="19.899999999999999" thickBot="1">
      <c r="A873" s="579"/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  <c r="AV873" s="579"/>
    </row>
    <row r="874" spans="1:48" ht="19.899999999999999" thickBot="1">
      <c r="A874" s="579"/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  <c r="AV874" s="579"/>
    </row>
    <row r="875" spans="1:48" ht="19.899999999999999" thickBot="1">
      <c r="A875" s="579"/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  <c r="AV875" s="579"/>
    </row>
    <row r="876" spans="1:48" ht="19.899999999999999" thickBot="1">
      <c r="A876" s="579"/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  <c r="AV876" s="579"/>
    </row>
    <row r="877" spans="1:48" ht="19.899999999999999" thickBot="1">
      <c r="A877" s="579"/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  <c r="AV877" s="579"/>
    </row>
    <row r="878" spans="1:48" ht="19.899999999999999" thickBot="1">
      <c r="A878" s="579"/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  <c r="AV878" s="579"/>
    </row>
    <row r="879" spans="1:48" ht="19.899999999999999" thickBot="1">
      <c r="A879" s="579"/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  <c r="AV879" s="579"/>
    </row>
    <row r="880" spans="1:48" ht="19.899999999999999" thickBot="1">
      <c r="A880" s="579"/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  <c r="AV880" s="579"/>
    </row>
    <row r="881" spans="1:48" ht="19.899999999999999" thickBot="1">
      <c r="A881" s="579"/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  <c r="AV881" s="579"/>
    </row>
    <row r="882" spans="1:48" ht="19.899999999999999" thickBot="1">
      <c r="A882" s="579"/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  <c r="AV882" s="579"/>
    </row>
    <row r="883" spans="1:48" ht="19.899999999999999" thickBot="1">
      <c r="A883" s="579"/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  <c r="AV883" s="579"/>
    </row>
    <row r="884" spans="1:48" ht="19.899999999999999" thickBot="1">
      <c r="A884" s="579"/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  <c r="AV884" s="579"/>
    </row>
    <row r="885" spans="1:48" ht="19.899999999999999" thickBot="1">
      <c r="A885" s="579"/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  <c r="AV885" s="579"/>
    </row>
    <row r="886" spans="1:48" ht="19.899999999999999" thickBot="1">
      <c r="A886" s="579"/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  <c r="AV886" s="579"/>
    </row>
    <row r="887" spans="1:48" ht="19.899999999999999" thickBot="1">
      <c r="A887" s="579"/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</row>
    <row r="888" spans="1:48" ht="19.899999999999999" thickBot="1">
      <c r="A888" s="579"/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  <c r="AV888" s="579"/>
    </row>
    <row r="889" spans="1:48" ht="19.899999999999999" thickBot="1">
      <c r="A889" s="579"/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  <c r="AV889" s="579"/>
    </row>
    <row r="890" spans="1:48" ht="19.899999999999999" thickBot="1">
      <c r="A890" s="579"/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  <c r="AV890" s="579"/>
    </row>
    <row r="891" spans="1:48" ht="19.899999999999999" thickBot="1">
      <c r="A891" s="579"/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  <c r="AV891" s="579"/>
    </row>
    <row r="892" spans="1:48" ht="19.899999999999999" thickBot="1">
      <c r="A892" s="579"/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  <c r="AV892" s="579"/>
    </row>
    <row r="893" spans="1:48" ht="19.899999999999999" thickBot="1">
      <c r="A893" s="579"/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  <c r="AV893" s="579"/>
    </row>
    <row r="894" spans="1:48" ht="19.899999999999999" thickBot="1">
      <c r="A894" s="579"/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</row>
    <row r="895" spans="1:48" ht="19.899999999999999" thickBot="1">
      <c r="A895" s="579"/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  <c r="AV895" s="579"/>
    </row>
    <row r="896" spans="1:48" ht="19.899999999999999" thickBot="1">
      <c r="A896" s="579"/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  <c r="AV896" s="579"/>
    </row>
    <row r="897" spans="1:48" ht="19.899999999999999" thickBot="1">
      <c r="A897" s="579"/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  <c r="AV897" s="579"/>
    </row>
    <row r="898" spans="1:48" ht="19.899999999999999" thickBot="1">
      <c r="A898" s="579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</row>
    <row r="899" spans="1:48" ht="19.899999999999999" thickBot="1">
      <c r="A899" s="579"/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  <c r="AV899" s="579"/>
    </row>
    <row r="900" spans="1:48" ht="19.899999999999999" thickBot="1">
      <c r="A900" s="579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</row>
    <row r="901" spans="1:48" ht="19.899999999999999" thickBot="1">
      <c r="A901" s="579"/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  <c r="AV901" s="579"/>
    </row>
    <row r="902" spans="1:48" ht="19.899999999999999" thickBot="1">
      <c r="A902" s="579"/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  <c r="AV902" s="579"/>
    </row>
    <row r="903" spans="1:48" ht="19.899999999999999" thickBot="1">
      <c r="A903" s="579"/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  <c r="AV903" s="579"/>
    </row>
    <row r="904" spans="1:48" ht="19.899999999999999" thickBot="1">
      <c r="A904" s="579"/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  <c r="AV904" s="579"/>
    </row>
    <row r="905" spans="1:48" ht="19.899999999999999" thickBot="1">
      <c r="A905" s="579"/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  <c r="AV905" s="579"/>
    </row>
    <row r="906" spans="1:48" ht="19.899999999999999" thickBot="1">
      <c r="A906" s="579"/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  <c r="AV906" s="579"/>
    </row>
    <row r="907" spans="1:48" ht="19.899999999999999" thickBot="1">
      <c r="A907" s="579"/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  <c r="AV907" s="579"/>
    </row>
    <row r="908" spans="1:48" ht="19.899999999999999" thickBot="1">
      <c r="A908" s="579"/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  <c r="AV908" s="579"/>
    </row>
    <row r="909" spans="1:48" ht="19.899999999999999" thickBot="1">
      <c r="A909" s="579"/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  <c r="AV909" s="579"/>
    </row>
    <row r="910" spans="1:48" ht="19.899999999999999" thickBot="1">
      <c r="A910" s="579"/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  <c r="AV910" s="579"/>
    </row>
    <row r="911" spans="1:48" ht="19.899999999999999" thickBot="1">
      <c r="A911" s="579"/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  <c r="AV911" s="579"/>
    </row>
    <row r="912" spans="1:48" ht="19.899999999999999" thickBot="1">
      <c r="A912" s="579"/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  <c r="AV912" s="579"/>
    </row>
    <row r="913" spans="1:48" ht="19.899999999999999" thickBot="1">
      <c r="A913" s="579"/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  <c r="AV913" s="579"/>
    </row>
    <row r="914" spans="1:48" ht="19.899999999999999" thickBot="1">
      <c r="A914" s="579"/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  <c r="AV914" s="579"/>
    </row>
    <row r="915" spans="1:48" ht="19.899999999999999" thickBot="1">
      <c r="A915" s="579"/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  <c r="AV915" s="579"/>
    </row>
    <row r="916" spans="1:48" ht="19.899999999999999" thickBot="1">
      <c r="A916" s="579"/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  <c r="AV916" s="579"/>
    </row>
    <row r="917" spans="1:48" ht="19.899999999999999" thickBot="1">
      <c r="A917" s="579"/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  <c r="AV917" s="579"/>
    </row>
    <row r="918" spans="1:48" ht="19.899999999999999" thickBot="1">
      <c r="A918" s="579"/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  <c r="AV918" s="579"/>
    </row>
    <row r="919" spans="1:48" ht="19.899999999999999" thickBot="1">
      <c r="A919" s="579"/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  <c r="AV919" s="579"/>
    </row>
    <row r="920" spans="1:48" ht="19.899999999999999" thickBot="1">
      <c r="A920" s="579"/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  <c r="AV920" s="579"/>
    </row>
    <row r="921" spans="1:48" ht="19.899999999999999" thickBot="1">
      <c r="A921" s="579"/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  <c r="AV921" s="579"/>
    </row>
    <row r="922" spans="1:48" ht="19.899999999999999" thickBot="1">
      <c r="A922" s="579"/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  <c r="AV922" s="579"/>
    </row>
    <row r="923" spans="1:48" ht="19.899999999999999" thickBot="1">
      <c r="A923" s="579"/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  <c r="AV923" s="579"/>
    </row>
    <row r="924" spans="1:48" ht="19.899999999999999" thickBot="1">
      <c r="A924" s="579"/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  <c r="AV924" s="579"/>
    </row>
    <row r="925" spans="1:48" ht="19.899999999999999" thickBot="1">
      <c r="A925" s="579"/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  <c r="AV925" s="579"/>
    </row>
    <row r="926" spans="1:48" ht="19.899999999999999" thickBot="1">
      <c r="A926" s="579"/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  <c r="AV926" s="579"/>
    </row>
    <row r="927" spans="1:48" ht="19.899999999999999" thickBot="1">
      <c r="A927" s="579"/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  <c r="AV927" s="579"/>
    </row>
    <row r="928" spans="1:48" ht="19.899999999999999" thickBot="1">
      <c r="A928" s="579"/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  <c r="AV928" s="579"/>
    </row>
    <row r="929" spans="1:48" ht="19.899999999999999" thickBot="1">
      <c r="A929" s="579"/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  <c r="AV929" s="579"/>
    </row>
    <row r="930" spans="1:48" ht="19.899999999999999" thickBot="1">
      <c r="A930" s="579"/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  <c r="AV930" s="579"/>
    </row>
    <row r="931" spans="1:48" ht="19.899999999999999" thickBot="1">
      <c r="A931" s="579"/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  <c r="AV931" s="579"/>
    </row>
    <row r="932" spans="1:48" ht="19.899999999999999" thickBot="1">
      <c r="A932" s="579"/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  <c r="AV932" s="579"/>
    </row>
    <row r="933" spans="1:48" ht="19.899999999999999" thickBot="1">
      <c r="A933" s="579"/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  <c r="AV933" s="579"/>
    </row>
    <row r="934" spans="1:48" ht="19.899999999999999" thickBot="1">
      <c r="A934" s="579"/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  <c r="AV934" s="579"/>
    </row>
    <row r="935" spans="1:48" ht="19.899999999999999" thickBot="1">
      <c r="A935" s="579"/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  <c r="AV935" s="579"/>
    </row>
    <row r="936" spans="1:48" ht="19.899999999999999" thickBot="1">
      <c r="A936" s="579"/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  <c r="AV936" s="579"/>
    </row>
    <row r="937" spans="1:48" ht="19.899999999999999" thickBot="1">
      <c r="A937" s="579"/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  <c r="AV937" s="579"/>
    </row>
    <row r="938" spans="1:48" ht="19.899999999999999" thickBot="1">
      <c r="A938" s="579"/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  <c r="AV938" s="579"/>
    </row>
    <row r="939" spans="1:48" ht="19.899999999999999" thickBot="1">
      <c r="A939" s="579"/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  <c r="AV939" s="579"/>
    </row>
    <row r="940" spans="1:48" ht="19.899999999999999" thickBot="1">
      <c r="A940" s="579"/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  <c r="AV940" s="579"/>
    </row>
    <row r="941" spans="1:48" ht="19.899999999999999" thickBot="1">
      <c r="A941" s="579"/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  <c r="AV941" s="579"/>
    </row>
    <row r="942" spans="1:48" ht="19.899999999999999" thickBot="1">
      <c r="A942" s="579"/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  <c r="AV942" s="579"/>
    </row>
    <row r="943" spans="1:48" ht="19.899999999999999" thickBot="1">
      <c r="A943" s="579"/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  <c r="AV943" s="579"/>
    </row>
    <row r="944" spans="1:48" ht="19.899999999999999" thickBot="1">
      <c r="A944" s="579"/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  <c r="AV944" s="579"/>
    </row>
    <row r="945" spans="1:48" ht="19.899999999999999" thickBot="1">
      <c r="A945" s="579"/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  <c r="AV945" s="579"/>
    </row>
    <row r="946" spans="1:48" ht="19.899999999999999" thickBot="1">
      <c r="A946" s="579"/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  <c r="AV946" s="579"/>
    </row>
    <row r="947" spans="1:48" ht="19.899999999999999" thickBot="1">
      <c r="A947" s="579"/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  <c r="AV947" s="579"/>
    </row>
    <row r="948" spans="1:48" ht="19.899999999999999" thickBot="1">
      <c r="A948" s="579"/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  <c r="AV948" s="579"/>
    </row>
    <row r="949" spans="1:48" ht="19.899999999999999" thickBot="1">
      <c r="A949" s="579"/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  <c r="AV949" s="579"/>
    </row>
    <row r="950" spans="1:48" ht="19.899999999999999" thickBot="1">
      <c r="A950" s="579"/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  <c r="AV950" s="579"/>
    </row>
    <row r="951" spans="1:48" ht="19.899999999999999" thickBot="1">
      <c r="A951" s="579"/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  <c r="AV951" s="579"/>
    </row>
    <row r="952" spans="1:48" ht="19.899999999999999" thickBot="1">
      <c r="A952" s="579"/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  <c r="AV952" s="579"/>
    </row>
    <row r="953" spans="1:48" ht="19.899999999999999" thickBot="1">
      <c r="A953" s="579"/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  <c r="AV953" s="579"/>
    </row>
    <row r="954" spans="1:48" ht="19.899999999999999" thickBot="1">
      <c r="A954" s="579"/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  <c r="AV954" s="579"/>
    </row>
    <row r="955" spans="1:48" ht="19.899999999999999" thickBot="1">
      <c r="A955" s="579"/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  <c r="AV955" s="579"/>
    </row>
    <row r="956" spans="1:48" ht="19.899999999999999" thickBot="1">
      <c r="A956" s="579"/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  <c r="AV956" s="579"/>
    </row>
    <row r="957" spans="1:48" ht="19.899999999999999" thickBot="1">
      <c r="A957" s="579"/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  <c r="AV957" s="579"/>
    </row>
    <row r="958" spans="1:48" ht="19.899999999999999" thickBot="1">
      <c r="A958" s="579"/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  <c r="AV958" s="579"/>
    </row>
    <row r="959" spans="1:48" ht="19.899999999999999" thickBot="1">
      <c r="A959" s="579"/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  <c r="AV959" s="579"/>
    </row>
    <row r="960" spans="1:48" ht="19.899999999999999" thickBot="1">
      <c r="A960" s="579"/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  <c r="AV960" s="579"/>
    </row>
    <row r="961" spans="1:48" ht="19.899999999999999" thickBot="1">
      <c r="A961" s="579"/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  <c r="AV961" s="579"/>
    </row>
    <row r="962" spans="1:48" ht="19.899999999999999" thickBot="1">
      <c r="A962" s="579"/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  <c r="AV962" s="579"/>
    </row>
    <row r="963" spans="1:48" ht="19.899999999999999" thickBot="1">
      <c r="A963" s="579"/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  <c r="AV963" s="579"/>
    </row>
    <row r="964" spans="1:48" ht="19.899999999999999" thickBot="1">
      <c r="A964" s="579"/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  <c r="AV964" s="579"/>
    </row>
    <row r="965" spans="1:48" ht="19.899999999999999" thickBot="1">
      <c r="A965" s="579"/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  <c r="AV965" s="579"/>
    </row>
    <row r="966" spans="1:48" ht="19.899999999999999" thickBot="1">
      <c r="A966" s="579"/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  <c r="AV966" s="579"/>
    </row>
    <row r="967" spans="1:48" ht="19.899999999999999" thickBot="1">
      <c r="A967" s="579"/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  <c r="AV967" s="579"/>
    </row>
    <row r="968" spans="1:48" ht="19.899999999999999" thickBot="1">
      <c r="A968" s="579"/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  <c r="AV968" s="579"/>
    </row>
    <row r="969" spans="1:48" ht="19.899999999999999" thickBot="1">
      <c r="A969" s="579"/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  <c r="AV969" s="579"/>
    </row>
    <row r="970" spans="1:48" ht="19.899999999999999" thickBot="1">
      <c r="A970" s="579"/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  <c r="AV970" s="579"/>
    </row>
    <row r="971" spans="1:48" ht="19.899999999999999" thickBot="1">
      <c r="A971" s="579"/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  <c r="AV971" s="579"/>
    </row>
    <row r="972" spans="1:48" ht="19.899999999999999" thickBot="1">
      <c r="A972" s="579"/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  <c r="AV972" s="579"/>
    </row>
    <row r="973" spans="1:48" ht="19.899999999999999" thickBot="1">
      <c r="A973" s="579"/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  <c r="AV973" s="579"/>
    </row>
    <row r="974" spans="1:48" ht="19.899999999999999" thickBot="1">
      <c r="A974" s="579"/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  <c r="AV974" s="579"/>
    </row>
    <row r="975" spans="1:48" ht="19.899999999999999" thickBot="1">
      <c r="A975" s="579"/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  <c r="AV975" s="579"/>
    </row>
    <row r="976" spans="1:48" ht="19.899999999999999" thickBot="1">
      <c r="A976" s="579"/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  <c r="AV976" s="579"/>
    </row>
    <row r="977" spans="1:48" ht="19.899999999999999" thickBot="1">
      <c r="A977" s="579"/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  <c r="AV977" s="579"/>
    </row>
    <row r="978" spans="1:48" ht="19.899999999999999" thickBot="1">
      <c r="A978" s="579"/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  <c r="AV978" s="579"/>
    </row>
    <row r="979" spans="1:48" ht="19.899999999999999" thickBot="1">
      <c r="A979" s="579"/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  <c r="AV979" s="579"/>
    </row>
    <row r="980" spans="1:48" ht="19.899999999999999" thickBot="1">
      <c r="A980" s="579"/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  <c r="AV980" s="579"/>
    </row>
    <row r="981" spans="1:48" ht="19.899999999999999" thickBot="1">
      <c r="A981" s="579"/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  <c r="AV981" s="579"/>
    </row>
    <row r="982" spans="1:48" ht="19.899999999999999" thickBot="1">
      <c r="A982" s="579"/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  <c r="AV982" s="579"/>
    </row>
    <row r="983" spans="1:48" ht="19.899999999999999" thickBot="1">
      <c r="A983" s="579"/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  <c r="AV983" s="579"/>
    </row>
    <row r="984" spans="1:48" ht="19.899999999999999" thickBot="1">
      <c r="A984" s="579"/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  <c r="AV984" s="579"/>
    </row>
    <row r="985" spans="1:48" ht="19.899999999999999" thickBot="1">
      <c r="A985" s="579"/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  <c r="AV985" s="579"/>
    </row>
    <row r="986" spans="1:48" ht="19.899999999999999" thickBot="1">
      <c r="A986" s="579"/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  <c r="AV986" s="579"/>
    </row>
    <row r="987" spans="1:48" ht="19.899999999999999" thickBot="1">
      <c r="A987" s="579"/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  <c r="AV987" s="579"/>
    </row>
    <row r="988" spans="1:48" ht="19.899999999999999" thickBot="1">
      <c r="A988" s="579"/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  <c r="AV988" s="579"/>
    </row>
    <row r="989" spans="1:48" ht="19.899999999999999" thickBot="1">
      <c r="A989" s="579"/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  <c r="AV989" s="579"/>
    </row>
    <row r="990" spans="1:48" ht="19.899999999999999" thickBot="1">
      <c r="A990" s="579"/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  <c r="AV990" s="579"/>
    </row>
    <row r="991" spans="1:48" ht="19.899999999999999" thickBot="1">
      <c r="A991" s="579"/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  <c r="AV991" s="579"/>
    </row>
    <row r="992" spans="1:48" ht="19.899999999999999" thickBot="1">
      <c r="A992" s="579"/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  <c r="AV992" s="579"/>
    </row>
    <row r="993" spans="1:48" ht="19.899999999999999" thickBot="1">
      <c r="A993" s="579"/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  <c r="AV993" s="579"/>
    </row>
    <row r="994" spans="1:48" ht="19.899999999999999" thickBot="1">
      <c r="A994" s="579"/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  <c r="AV994" s="579"/>
    </row>
    <row r="995" spans="1:48" ht="19.899999999999999" thickBot="1">
      <c r="A995" s="579"/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  <c r="AV995" s="579"/>
    </row>
    <row r="996" spans="1:48" ht="19.899999999999999" thickBot="1">
      <c r="A996" s="579"/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  <c r="AV996" s="579"/>
    </row>
    <row r="997" spans="1:48" ht="19.899999999999999" thickBot="1">
      <c r="A997" s="579"/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  <c r="AV997" s="579"/>
    </row>
    <row r="998" spans="1:48" ht="19.899999999999999" thickBot="1">
      <c r="A998" s="579"/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  <c r="AV998" s="579"/>
    </row>
    <row r="999" spans="1:48" ht="19.899999999999999" thickBot="1">
      <c r="A999" s="579"/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  <c r="AV999" s="579"/>
    </row>
    <row r="1000" spans="1:48" ht="19.899999999999999" thickBot="1">
      <c r="A1000" s="579"/>
      <c r="B1000" s="579"/>
      <c r="C1000" s="579"/>
      <c r="D1000" s="579"/>
      <c r="E1000" s="579"/>
      <c r="F1000" s="579"/>
      <c r="G1000" s="579"/>
      <c r="H1000" s="579"/>
      <c r="I1000" s="579"/>
      <c r="J1000" s="579"/>
      <c r="K1000" s="579"/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  <c r="AV1000" s="579"/>
    </row>
    <row r="1001" spans="1:48" ht="19.899999999999999" thickBot="1">
      <c r="A1001" s="579"/>
      <c r="B1001" s="579"/>
      <c r="C1001" s="579"/>
      <c r="D1001" s="579"/>
      <c r="E1001" s="579"/>
      <c r="F1001" s="579"/>
      <c r="G1001" s="579"/>
      <c r="H1001" s="579"/>
      <c r="I1001" s="579"/>
      <c r="J1001" s="579"/>
      <c r="K1001" s="579"/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  <c r="AV1001" s="579"/>
    </row>
  </sheetData>
  <mergeCells count="9">
    <mergeCell ref="C81:E81"/>
    <mergeCell ref="C84:K84"/>
    <mergeCell ref="C91:E91"/>
    <mergeCell ref="C2:K2"/>
    <mergeCell ref="C4:K4"/>
    <mergeCell ref="D19:E19"/>
    <mergeCell ref="C22:K22"/>
    <mergeCell ref="C48:E48"/>
    <mergeCell ref="C52:K5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3:AG65"/>
  <sheetViews>
    <sheetView showGridLines="0" zoomScale="60" zoomScaleNormal="60" workbookViewId="0">
      <pane xSplit="2" ySplit="4" topLeftCell="C5" activePane="bottomRight" state="frozen"/>
      <selection pane="bottomRight" activeCell="C5" sqref="C5:F5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5.21875" customWidth="1"/>
    <col min="3" max="3" width="16.21875" customWidth="1"/>
    <col min="4" max="4" width="14.6640625" customWidth="1"/>
    <col min="5" max="5" width="13" customWidth="1"/>
    <col min="6" max="6" width="10.5546875" customWidth="1"/>
    <col min="7" max="9" width="11.6640625" customWidth="1"/>
    <col min="10" max="10" width="12.66406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5" width="10.6640625" style="1" customWidth="1"/>
    <col min="16" max="16" width="11.109375" bestFit="1" customWidth="1"/>
    <col min="18" max="18" width="14.6640625" customWidth="1"/>
    <col min="19" max="20" width="14.77734375" customWidth="1"/>
    <col min="21" max="22" width="14.33203125" customWidth="1"/>
    <col min="23" max="23" width="14.6640625" customWidth="1"/>
    <col min="24" max="24" width="13.77734375" customWidth="1"/>
    <col min="25" max="25" width="11.5546875" customWidth="1"/>
  </cols>
  <sheetData>
    <row r="3" spans="2:33" ht="25.15" thickBot="1">
      <c r="R3" s="142"/>
      <c r="S3" s="142"/>
      <c r="T3" s="1227" t="s">
        <v>0</v>
      </c>
      <c r="U3" s="1227"/>
      <c r="V3" s="1227"/>
      <c r="W3" s="1227"/>
      <c r="X3" s="1227"/>
    </row>
    <row r="4" spans="2:33" ht="81" customHeight="1" thickBot="1">
      <c r="B4" s="123" t="s">
        <v>1</v>
      </c>
      <c r="C4" s="125" t="s">
        <v>3</v>
      </c>
      <c r="D4" s="126" t="s">
        <v>5</v>
      </c>
      <c r="E4" s="124" t="s">
        <v>2</v>
      </c>
      <c r="F4" s="125" t="s">
        <v>4</v>
      </c>
      <c r="G4" s="128" t="s">
        <v>7</v>
      </c>
      <c r="H4" s="129" t="s">
        <v>9</v>
      </c>
      <c r="I4" s="127" t="s">
        <v>6</v>
      </c>
      <c r="J4" s="128" t="s">
        <v>8</v>
      </c>
      <c r="K4" s="274" t="s">
        <v>182</v>
      </c>
      <c r="L4" s="128" t="s">
        <v>338</v>
      </c>
      <c r="M4" s="129" t="s">
        <v>339</v>
      </c>
      <c r="N4" s="127" t="s">
        <v>340</v>
      </c>
      <c r="O4" s="128" t="s">
        <v>341</v>
      </c>
      <c r="R4" s="142"/>
      <c r="S4" s="143" t="s">
        <v>14</v>
      </c>
      <c r="T4" s="143" t="s">
        <v>147</v>
      </c>
      <c r="U4" s="143" t="s">
        <v>147</v>
      </c>
      <c r="V4" s="143" t="s">
        <v>147</v>
      </c>
      <c r="W4" s="143" t="s">
        <v>147</v>
      </c>
      <c r="X4" s="143" t="s">
        <v>147</v>
      </c>
    </row>
    <row r="5" spans="2:33" ht="41.25" customHeight="1">
      <c r="B5" s="130">
        <v>44287</v>
      </c>
      <c r="C5" s="135">
        <v>22550</v>
      </c>
      <c r="D5" s="136">
        <v>14890</v>
      </c>
      <c r="E5" s="131">
        <v>9500</v>
      </c>
      <c r="F5" s="135">
        <v>4270</v>
      </c>
      <c r="G5" s="137">
        <v>22188</v>
      </c>
      <c r="H5" s="137">
        <v>13888</v>
      </c>
      <c r="I5" s="137">
        <v>4812</v>
      </c>
      <c r="J5" s="137">
        <v>4298</v>
      </c>
      <c r="K5" s="276">
        <f t="shared" ref="K5:K38" si="0">G5+H5+I5+J5</f>
        <v>45186</v>
      </c>
      <c r="L5" s="131">
        <f>Table2523467891011101213[[#This Row],[Jones Creek Target (bopd)]]-Table2523467891011101213[[#This Row],[Jones Creek Prod (bopd)]]</f>
        <v>362</v>
      </c>
      <c r="M5" s="132">
        <f>Table2523467891011101213[[#This Row],[Odidi Target (bopd)]]-Table2523467891011101213[[#This Row],[Odidi prod (bopd)]]</f>
        <v>1002</v>
      </c>
      <c r="N5" s="132">
        <f>Table2523467891011101213[[#This Row],[Batan Target (bopd)]]-Table2523467891011101213[[#This Row],[Batan Daily Prod (bopd)]]</f>
        <v>4688</v>
      </c>
      <c r="O5" s="134">
        <f>Table2523467891011101213[[#This Row],[Egwa Target (bopd)]]-Table2523467891011101213[[#This Row],[Egwa Prod (bopd)]]</f>
        <v>-28</v>
      </c>
      <c r="R5" s="144"/>
      <c r="S5" s="148" t="s">
        <v>148</v>
      </c>
      <c r="T5" s="152">
        <f>B34</f>
        <v>44316</v>
      </c>
      <c r="U5" s="152">
        <f>T5+1</f>
        <v>44317</v>
      </c>
      <c r="V5" s="152">
        <f>U5+1</f>
        <v>44318</v>
      </c>
      <c r="W5" s="152">
        <f>V5+1</f>
        <v>44319</v>
      </c>
      <c r="X5" s="152">
        <f>W5+1</f>
        <v>44320</v>
      </c>
    </row>
    <row r="6" spans="2:33" ht="21.6">
      <c r="B6" s="130">
        <v>44288</v>
      </c>
      <c r="C6" s="135">
        <v>22550</v>
      </c>
      <c r="D6" s="136">
        <v>14890</v>
      </c>
      <c r="E6" s="131">
        <v>9500</v>
      </c>
      <c r="F6" s="135">
        <v>4270</v>
      </c>
      <c r="G6" s="137">
        <v>22315</v>
      </c>
      <c r="H6" s="137">
        <v>13968</v>
      </c>
      <c r="I6" s="137">
        <v>4836</v>
      </c>
      <c r="J6" s="137">
        <v>4289</v>
      </c>
      <c r="K6" s="276">
        <f t="shared" si="0"/>
        <v>45408</v>
      </c>
      <c r="L6" s="131">
        <f>Table2523467891011101213[[#This Row],[Jones Creek Target (bopd)]]-Table2523467891011101213[[#This Row],[Jones Creek Prod (bopd)]]</f>
        <v>235</v>
      </c>
      <c r="M6" s="132">
        <f>Table2523467891011101213[[#This Row],[Odidi Target (bopd)]]-Table2523467891011101213[[#This Row],[Odidi prod (bopd)]]</f>
        <v>922</v>
      </c>
      <c r="N6" s="132">
        <f>Table2523467891011101213[[#This Row],[Batan Target (bopd)]]-Table2523467891011101213[[#This Row],[Batan Daily Prod (bopd)]]</f>
        <v>4664</v>
      </c>
      <c r="O6" s="134">
        <f>Table2523467891011101213[[#This Row],[Egwa Target (bopd)]]-Table2523467891011101213[[#This Row],[Egwa Prod (bopd)]]</f>
        <v>-19</v>
      </c>
      <c r="R6" s="145" t="s">
        <v>17</v>
      </c>
      <c r="S6" s="272">
        <v>22.55</v>
      </c>
      <c r="T6" s="268">
        <v>19.657</v>
      </c>
      <c r="U6" s="267">
        <v>20.172000000000001</v>
      </c>
      <c r="V6" s="268">
        <v>19.724</v>
      </c>
      <c r="W6" s="267">
        <v>19.247</v>
      </c>
      <c r="X6" s="268">
        <v>18.504000000000001</v>
      </c>
      <c r="Z6" s="297"/>
      <c r="AA6" s="452"/>
      <c r="AB6" s="452"/>
      <c r="AC6" s="453"/>
      <c r="AD6" s="452"/>
      <c r="AE6" s="452"/>
      <c r="AF6" s="453"/>
      <c r="AG6" s="452"/>
    </row>
    <row r="7" spans="2:33" ht="21.6">
      <c r="B7" s="130">
        <v>44289</v>
      </c>
      <c r="C7" s="135">
        <v>22550</v>
      </c>
      <c r="D7" s="136">
        <v>14890</v>
      </c>
      <c r="E7" s="131">
        <v>9500</v>
      </c>
      <c r="F7" s="135">
        <v>4270</v>
      </c>
      <c r="G7" s="137">
        <v>21962</v>
      </c>
      <c r="H7" s="137">
        <v>4377</v>
      </c>
      <c r="I7" s="137">
        <v>1397</v>
      </c>
      <c r="J7" s="137">
        <v>4323</v>
      </c>
      <c r="K7" s="276">
        <f t="shared" si="0"/>
        <v>32059</v>
      </c>
      <c r="L7" s="131">
        <f>Table2523467891011101213[[#This Row],[Jones Creek Target (bopd)]]-Table2523467891011101213[[#This Row],[Jones Creek Prod (bopd)]]</f>
        <v>588</v>
      </c>
      <c r="M7" s="132">
        <f>Table2523467891011101213[[#This Row],[Odidi Target (bopd)]]-Table2523467891011101213[[#This Row],[Odidi prod (bopd)]]</f>
        <v>10513</v>
      </c>
      <c r="N7" s="132">
        <f>Table2523467891011101213[[#This Row],[Batan Target (bopd)]]-Table2523467891011101213[[#This Row],[Batan Daily Prod (bopd)]]</f>
        <v>8103</v>
      </c>
      <c r="O7" s="134">
        <f>Table2523467891011101213[[#This Row],[Egwa Target (bopd)]]-Table2523467891011101213[[#This Row],[Egwa Prod (bopd)]]</f>
        <v>-53</v>
      </c>
      <c r="R7" s="145" t="s">
        <v>19</v>
      </c>
      <c r="S7" s="272">
        <v>14.89</v>
      </c>
      <c r="T7" s="268">
        <v>11.192</v>
      </c>
      <c r="U7" s="267">
        <v>11.342000000000001</v>
      </c>
      <c r="V7" s="268">
        <v>11.807</v>
      </c>
      <c r="W7" s="267">
        <v>10.275</v>
      </c>
      <c r="X7" s="268">
        <v>9.6389999999999993</v>
      </c>
      <c r="Z7" s="297"/>
      <c r="AA7" s="454"/>
      <c r="AB7" s="454"/>
      <c r="AC7" s="454"/>
      <c r="AD7" s="454"/>
      <c r="AE7" s="454"/>
      <c r="AF7" s="454"/>
      <c r="AG7" s="454"/>
    </row>
    <row r="8" spans="2:33" ht="21.6">
      <c r="B8" s="130">
        <v>44290</v>
      </c>
      <c r="C8" s="135">
        <v>22550</v>
      </c>
      <c r="D8" s="136">
        <v>14890</v>
      </c>
      <c r="E8" s="131">
        <v>9500</v>
      </c>
      <c r="F8" s="135">
        <v>4270</v>
      </c>
      <c r="G8" s="137">
        <v>21889</v>
      </c>
      <c r="H8" s="137">
        <v>4155</v>
      </c>
      <c r="I8" s="137">
        <v>0</v>
      </c>
      <c r="J8" s="137">
        <v>4319</v>
      </c>
      <c r="K8" s="276">
        <f t="shared" si="0"/>
        <v>30363</v>
      </c>
      <c r="L8" s="131">
        <f>Table2523467891011101213[[#This Row],[Jones Creek Target (bopd)]]-Table2523467891011101213[[#This Row],[Jones Creek Prod (bopd)]]</f>
        <v>661</v>
      </c>
      <c r="M8" s="132">
        <f>Table2523467891011101213[[#This Row],[Odidi Target (bopd)]]-Table2523467891011101213[[#This Row],[Odidi prod (bopd)]]</f>
        <v>10735</v>
      </c>
      <c r="N8" s="132">
        <f>Table2523467891011101213[[#This Row],[Batan Target (bopd)]]-Table2523467891011101213[[#This Row],[Batan Daily Prod (bopd)]]</f>
        <v>9500</v>
      </c>
      <c r="O8" s="134">
        <f>Table2523467891011101213[[#This Row],[Egwa Target (bopd)]]-Table2523467891011101213[[#This Row],[Egwa Prod (bopd)]]</f>
        <v>-49</v>
      </c>
      <c r="R8" s="145" t="s">
        <v>16</v>
      </c>
      <c r="S8" s="272">
        <v>9.5</v>
      </c>
      <c r="T8" s="268">
        <v>2.536</v>
      </c>
      <c r="U8" s="267">
        <v>3.278</v>
      </c>
      <c r="V8" s="268">
        <v>3.2170000000000001</v>
      </c>
      <c r="W8" s="269">
        <v>3.2010000000000001</v>
      </c>
      <c r="X8" s="268">
        <v>2.8439999999999999</v>
      </c>
      <c r="Z8" s="298"/>
      <c r="AA8" s="452"/>
      <c r="AB8" s="452"/>
      <c r="AC8" s="452"/>
      <c r="AD8" s="452"/>
      <c r="AE8" s="452"/>
      <c r="AF8" s="452"/>
      <c r="AG8" s="452"/>
    </row>
    <row r="9" spans="2:33" ht="21.6">
      <c r="B9" s="130">
        <v>44291</v>
      </c>
      <c r="C9" s="135">
        <v>22550</v>
      </c>
      <c r="D9" s="136">
        <v>14890</v>
      </c>
      <c r="E9" s="131">
        <v>9500</v>
      </c>
      <c r="F9" s="135">
        <v>4270</v>
      </c>
      <c r="G9" s="137">
        <v>21066</v>
      </c>
      <c r="H9" s="137">
        <v>9689</v>
      </c>
      <c r="I9" s="137">
        <v>0</v>
      </c>
      <c r="J9" s="137">
        <v>4099</v>
      </c>
      <c r="K9" s="276">
        <f t="shared" si="0"/>
        <v>34854</v>
      </c>
      <c r="L9" s="131">
        <f>Table2523467891011101213[[#This Row],[Jones Creek Target (bopd)]]-Table2523467891011101213[[#This Row],[Jones Creek Prod (bopd)]]</f>
        <v>1484</v>
      </c>
      <c r="M9" s="132">
        <f>Table2523467891011101213[[#This Row],[Odidi Target (bopd)]]-Table2523467891011101213[[#This Row],[Odidi prod (bopd)]]</f>
        <v>5201</v>
      </c>
      <c r="N9" s="132">
        <f>Table2523467891011101213[[#This Row],[Batan Target (bopd)]]-Table2523467891011101213[[#This Row],[Batan Daily Prod (bopd)]]</f>
        <v>9500</v>
      </c>
      <c r="O9" s="134">
        <f>Table2523467891011101213[[#This Row],[Egwa Target (bopd)]]-Table2523467891011101213[[#This Row],[Egwa Prod (bopd)]]</f>
        <v>171</v>
      </c>
      <c r="R9" s="145" t="s">
        <v>18</v>
      </c>
      <c r="S9" s="273">
        <v>4.2699999999999996</v>
      </c>
      <c r="T9" s="270">
        <v>0</v>
      </c>
      <c r="U9" s="269">
        <v>0</v>
      </c>
      <c r="V9" s="270">
        <v>0</v>
      </c>
      <c r="W9" s="269">
        <v>0</v>
      </c>
      <c r="X9" s="270">
        <v>0</v>
      </c>
      <c r="AA9" s="454"/>
      <c r="AB9" s="454"/>
      <c r="AC9" s="454"/>
      <c r="AD9" s="454"/>
      <c r="AE9" s="454"/>
      <c r="AF9" s="454"/>
      <c r="AG9" s="454"/>
    </row>
    <row r="10" spans="2:33" ht="21.6">
      <c r="B10" s="130">
        <v>44292</v>
      </c>
      <c r="C10" s="135">
        <v>22550</v>
      </c>
      <c r="D10" s="136">
        <v>14890</v>
      </c>
      <c r="E10" s="131">
        <v>9500</v>
      </c>
      <c r="F10" s="135">
        <v>4270</v>
      </c>
      <c r="G10" s="137">
        <v>22502</v>
      </c>
      <c r="H10" s="137">
        <v>10871</v>
      </c>
      <c r="I10" s="137">
        <v>0</v>
      </c>
      <c r="J10" s="132">
        <v>4465</v>
      </c>
      <c r="K10" s="276">
        <f t="shared" si="0"/>
        <v>37838</v>
      </c>
      <c r="L10" s="131">
        <f>Table2523467891011101213[[#This Row],[Jones Creek Target (bopd)]]-Table2523467891011101213[[#This Row],[Jones Creek Prod (bopd)]]</f>
        <v>48</v>
      </c>
      <c r="M10" s="132">
        <f>Table2523467891011101213[[#This Row],[Odidi Target (bopd)]]-Table2523467891011101213[[#This Row],[Odidi prod (bopd)]]</f>
        <v>4019</v>
      </c>
      <c r="N10" s="132">
        <f>Table2523467891011101213[[#This Row],[Batan Target (bopd)]]-Table2523467891011101213[[#This Row],[Batan Daily Prod (bopd)]]</f>
        <v>9500</v>
      </c>
      <c r="O10" s="134">
        <f>Table2523467891011101213[[#This Row],[Egwa Target (bopd)]]-Table2523467891011101213[[#This Row],[Egwa Prod (bopd)]]</f>
        <v>-195</v>
      </c>
      <c r="AA10" s="453"/>
      <c r="AB10" s="453"/>
      <c r="AC10" s="453"/>
      <c r="AD10" s="453"/>
      <c r="AE10" s="452"/>
      <c r="AF10" s="453"/>
      <c r="AG10" s="452"/>
    </row>
    <row r="11" spans="2:33" ht="21.6">
      <c r="B11" s="130">
        <v>44293</v>
      </c>
      <c r="C11" s="135">
        <v>22550</v>
      </c>
      <c r="D11" s="136">
        <v>14890</v>
      </c>
      <c r="E11" s="131">
        <v>9500</v>
      </c>
      <c r="F11" s="135">
        <v>4270</v>
      </c>
      <c r="G11" s="137">
        <v>21201</v>
      </c>
      <c r="H11" s="137">
        <v>11571</v>
      </c>
      <c r="I11" s="137">
        <v>0</v>
      </c>
      <c r="J11" s="137">
        <v>4475</v>
      </c>
      <c r="K11" s="276">
        <f t="shared" si="0"/>
        <v>37247</v>
      </c>
      <c r="L11" s="131">
        <f>Table2523467891011101213[[#This Row],[Jones Creek Target (bopd)]]-Table2523467891011101213[[#This Row],[Jones Creek Prod (bopd)]]</f>
        <v>1349</v>
      </c>
      <c r="M11" s="132">
        <f>Table2523467891011101213[[#This Row],[Odidi Target (bopd)]]-Table2523467891011101213[[#This Row],[Odidi prod (bopd)]]</f>
        <v>3319</v>
      </c>
      <c r="N11" s="132">
        <f>Table2523467891011101213[[#This Row],[Batan Target (bopd)]]-Table2523467891011101213[[#This Row],[Batan Daily Prod (bopd)]]</f>
        <v>9500</v>
      </c>
      <c r="O11" s="134">
        <f>Table2523467891011101213[[#This Row],[Egwa Target (bopd)]]-Table2523467891011101213[[#This Row],[Egwa Prod (bopd)]]</f>
        <v>-205</v>
      </c>
    </row>
    <row r="12" spans="2:33" ht="21.6">
      <c r="B12" s="130">
        <v>44294</v>
      </c>
      <c r="C12" s="135">
        <v>22550</v>
      </c>
      <c r="D12" s="136">
        <v>14890</v>
      </c>
      <c r="E12" s="131">
        <v>9500</v>
      </c>
      <c r="F12" s="135">
        <v>4270</v>
      </c>
      <c r="G12" s="132"/>
      <c r="H12" s="137">
        <v>6435</v>
      </c>
      <c r="I12" s="137">
        <v>0</v>
      </c>
      <c r="J12" s="132">
        <v>4472.5</v>
      </c>
      <c r="K12" s="276">
        <f t="shared" si="0"/>
        <v>10907.5</v>
      </c>
      <c r="L12" s="131">
        <f>Table2523467891011101213[[#This Row],[Jones Creek Target (bopd)]]-Table2523467891011101213[[#This Row],[Jones Creek Prod (bopd)]]</f>
        <v>22550</v>
      </c>
      <c r="M12" s="132">
        <f>Table2523467891011101213[[#This Row],[Odidi Target (bopd)]]-Table2523467891011101213[[#This Row],[Odidi prod (bopd)]]</f>
        <v>8455</v>
      </c>
      <c r="N12" s="132">
        <f>Table2523467891011101213[[#This Row],[Batan Target (bopd)]]-Table2523467891011101213[[#This Row],[Batan Daily Prod (bopd)]]</f>
        <v>9500</v>
      </c>
      <c r="O12" s="134">
        <f>Table2523467891011101213[[#This Row],[Egwa Target (bopd)]]-Table2523467891011101213[[#This Row],[Egwa Prod (bopd)]]</f>
        <v>-202.5</v>
      </c>
      <c r="P12" s="42"/>
      <c r="Q12" s="42"/>
    </row>
    <row r="13" spans="2:33" ht="21.6">
      <c r="B13" s="130">
        <v>44295</v>
      </c>
      <c r="C13" s="135">
        <v>22550</v>
      </c>
      <c r="D13" s="136">
        <v>14890</v>
      </c>
      <c r="E13" s="131">
        <v>9500</v>
      </c>
      <c r="F13" s="135">
        <v>4270</v>
      </c>
      <c r="G13" s="132">
        <v>3870</v>
      </c>
      <c r="H13" s="137">
        <v>0</v>
      </c>
      <c r="I13" s="132">
        <v>0</v>
      </c>
      <c r="J13" s="132">
        <v>4470</v>
      </c>
      <c r="K13" s="276">
        <f t="shared" si="0"/>
        <v>8340</v>
      </c>
      <c r="L13" s="131">
        <f>Table2523467891011101213[[#This Row],[Jones Creek Target (bopd)]]-Table2523467891011101213[[#This Row],[Jones Creek Prod (bopd)]]</f>
        <v>18680</v>
      </c>
      <c r="M13" s="132">
        <f>Table2523467891011101213[[#This Row],[Odidi Target (bopd)]]-Table2523467891011101213[[#This Row],[Odidi prod (bopd)]]</f>
        <v>14890</v>
      </c>
      <c r="N13" s="132">
        <f>Table2523467891011101213[[#This Row],[Batan Target (bopd)]]-Table2523467891011101213[[#This Row],[Batan Daily Prod (bopd)]]</f>
        <v>9500</v>
      </c>
      <c r="O13" s="134">
        <f>Table2523467891011101213[[#This Row],[Egwa Target (bopd)]]-Table2523467891011101213[[#This Row],[Egwa Prod (bopd)]]</f>
        <v>-200</v>
      </c>
    </row>
    <row r="14" spans="2:33" ht="21.6">
      <c r="B14" s="130">
        <v>44296</v>
      </c>
      <c r="C14" s="135">
        <v>22550</v>
      </c>
      <c r="D14" s="136">
        <v>14890</v>
      </c>
      <c r="E14" s="131">
        <v>9500</v>
      </c>
      <c r="F14" s="135">
        <v>4270</v>
      </c>
      <c r="G14" s="132">
        <v>2811</v>
      </c>
      <c r="H14" s="132">
        <v>0</v>
      </c>
      <c r="I14" s="132">
        <v>0</v>
      </c>
      <c r="J14" s="132">
        <v>873</v>
      </c>
      <c r="K14" s="276">
        <f t="shared" si="0"/>
        <v>3684</v>
      </c>
      <c r="L14" s="131">
        <f>Table2523467891011101213[[#This Row],[Jones Creek Target (bopd)]]-Table2523467891011101213[[#This Row],[Jones Creek Prod (bopd)]]</f>
        <v>19739</v>
      </c>
      <c r="M14" s="132">
        <f>Table2523467891011101213[[#This Row],[Odidi Target (bopd)]]-Table2523467891011101213[[#This Row],[Odidi prod (bopd)]]</f>
        <v>14890</v>
      </c>
      <c r="N14" s="132">
        <f>Table2523467891011101213[[#This Row],[Batan Target (bopd)]]-Table2523467891011101213[[#This Row],[Batan Daily Prod (bopd)]]</f>
        <v>9500</v>
      </c>
      <c r="O14" s="134">
        <f>Table2523467891011101213[[#This Row],[Egwa Target (bopd)]]-Table2523467891011101213[[#This Row],[Egwa Prod (bopd)]]</f>
        <v>3397</v>
      </c>
    </row>
    <row r="15" spans="2:33" ht="21.6">
      <c r="B15" s="130">
        <v>44297</v>
      </c>
      <c r="C15" s="135">
        <v>22550</v>
      </c>
      <c r="D15" s="136">
        <v>14890</v>
      </c>
      <c r="E15" s="131">
        <v>9500</v>
      </c>
      <c r="F15" s="135">
        <v>4270</v>
      </c>
      <c r="G15" s="137">
        <v>18525</v>
      </c>
      <c r="H15" s="132">
        <v>0</v>
      </c>
      <c r="I15" s="137">
        <v>0</v>
      </c>
      <c r="J15" s="132">
        <v>0</v>
      </c>
      <c r="K15" s="276">
        <f t="shared" si="0"/>
        <v>18525</v>
      </c>
      <c r="L15" s="131">
        <f>Table2523467891011101213[[#This Row],[Jones Creek Target (bopd)]]-Table2523467891011101213[[#This Row],[Jones Creek Prod (bopd)]]</f>
        <v>4025</v>
      </c>
      <c r="M15" s="132">
        <f>Table2523467891011101213[[#This Row],[Odidi Target (bopd)]]-Table2523467891011101213[[#This Row],[Odidi prod (bopd)]]</f>
        <v>14890</v>
      </c>
      <c r="N15" s="132">
        <f>Table2523467891011101213[[#This Row],[Batan Target (bopd)]]-Table2523467891011101213[[#This Row],[Batan Daily Prod (bopd)]]</f>
        <v>9500</v>
      </c>
      <c r="O15" s="134">
        <f>Table2523467891011101213[[#This Row],[Egwa Target (bopd)]]-Table2523467891011101213[[#This Row],[Egwa Prod (bopd)]]</f>
        <v>4270</v>
      </c>
    </row>
    <row r="16" spans="2:33" ht="21.6">
      <c r="B16" s="130">
        <v>44298</v>
      </c>
      <c r="C16" s="135">
        <v>22550</v>
      </c>
      <c r="D16" s="136">
        <v>14890</v>
      </c>
      <c r="E16" s="131">
        <v>9500</v>
      </c>
      <c r="F16" s="135">
        <v>4270</v>
      </c>
      <c r="G16" s="137">
        <v>18405</v>
      </c>
      <c r="H16" s="137">
        <v>0</v>
      </c>
      <c r="I16" s="577">
        <v>0</v>
      </c>
      <c r="J16" s="132">
        <v>0</v>
      </c>
      <c r="K16" s="276">
        <f t="shared" si="0"/>
        <v>18405</v>
      </c>
      <c r="L16" s="131">
        <f>Table2523467891011101213[[#This Row],[Jones Creek Target (bopd)]]-Table2523467891011101213[[#This Row],[Jones Creek Prod (bopd)]]</f>
        <v>4145</v>
      </c>
      <c r="M16" s="132">
        <f>Table2523467891011101213[[#This Row],[Odidi Target (bopd)]]-Table2523467891011101213[[#This Row],[Odidi prod (bopd)]]</f>
        <v>14890</v>
      </c>
      <c r="N16" s="132">
        <f>Table2523467891011101213[[#This Row],[Batan Target (bopd)]]-Table2523467891011101213[[#This Row],[Batan Daily Prod (bopd)]]</f>
        <v>9500</v>
      </c>
      <c r="O16" s="134">
        <f>Table2523467891011101213[[#This Row],[Egwa Target (bopd)]]-Table2523467891011101213[[#This Row],[Egwa Prod (bopd)]]</f>
        <v>4270</v>
      </c>
    </row>
    <row r="17" spans="2:15" ht="21.6">
      <c r="B17" s="130">
        <v>44299</v>
      </c>
      <c r="C17" s="135">
        <v>22550</v>
      </c>
      <c r="D17" s="136">
        <v>14890</v>
      </c>
      <c r="E17" s="131">
        <v>9500</v>
      </c>
      <c r="F17" s="135">
        <v>4270</v>
      </c>
      <c r="G17" s="137">
        <v>19483</v>
      </c>
      <c r="H17" s="137">
        <v>4012</v>
      </c>
      <c r="I17" s="577">
        <v>0</v>
      </c>
      <c r="J17" s="132">
        <v>1980</v>
      </c>
      <c r="K17" s="276">
        <f t="shared" si="0"/>
        <v>25475</v>
      </c>
      <c r="L17" s="131">
        <f>Table2523467891011101213[[#This Row],[Jones Creek Target (bopd)]]-Table2523467891011101213[[#This Row],[Jones Creek Prod (bopd)]]</f>
        <v>3067</v>
      </c>
      <c r="M17" s="132">
        <f>Table2523467891011101213[[#This Row],[Odidi Target (bopd)]]-Table2523467891011101213[[#This Row],[Odidi prod (bopd)]]</f>
        <v>10878</v>
      </c>
      <c r="N17" s="132">
        <f>Table2523467891011101213[[#This Row],[Batan Target (bopd)]]-Table2523467891011101213[[#This Row],[Batan Daily Prod (bopd)]]</f>
        <v>9500</v>
      </c>
      <c r="O17" s="134">
        <f>Table2523467891011101213[[#This Row],[Egwa Target (bopd)]]-Table2523467891011101213[[#This Row],[Egwa Prod (bopd)]]</f>
        <v>2290</v>
      </c>
    </row>
    <row r="18" spans="2:15" ht="21.6">
      <c r="B18" s="130">
        <v>44300</v>
      </c>
      <c r="C18" s="135">
        <v>22550</v>
      </c>
      <c r="D18" s="136">
        <v>14890</v>
      </c>
      <c r="E18" s="131">
        <v>9500</v>
      </c>
      <c r="F18" s="135">
        <v>4270</v>
      </c>
      <c r="G18" s="137">
        <v>20407</v>
      </c>
      <c r="H18" s="137">
        <v>14165</v>
      </c>
      <c r="I18" s="578">
        <v>0</v>
      </c>
      <c r="J18" s="132">
        <v>3740</v>
      </c>
      <c r="K18" s="276">
        <f t="shared" si="0"/>
        <v>38312</v>
      </c>
      <c r="L18" s="131">
        <f>Table2523467891011101213[[#This Row],[Jones Creek Target (bopd)]]-Table2523467891011101213[[#This Row],[Jones Creek Prod (bopd)]]</f>
        <v>2143</v>
      </c>
      <c r="M18" s="132">
        <f>Table2523467891011101213[[#This Row],[Odidi Target (bopd)]]-Table2523467891011101213[[#This Row],[Odidi prod (bopd)]]</f>
        <v>725</v>
      </c>
      <c r="N18" s="132">
        <f>Table2523467891011101213[[#This Row],[Batan Target (bopd)]]-Table2523467891011101213[[#This Row],[Batan Daily Prod (bopd)]]</f>
        <v>9500</v>
      </c>
      <c r="O18" s="134">
        <f>Table2523467891011101213[[#This Row],[Egwa Target (bopd)]]-Table2523467891011101213[[#This Row],[Egwa Prod (bopd)]]</f>
        <v>530</v>
      </c>
    </row>
    <row r="19" spans="2:15" ht="21.6">
      <c r="B19" s="130">
        <v>44301</v>
      </c>
      <c r="C19" s="135">
        <v>22550</v>
      </c>
      <c r="D19" s="136">
        <v>14890</v>
      </c>
      <c r="E19" s="131">
        <v>9500</v>
      </c>
      <c r="F19" s="135">
        <v>4270</v>
      </c>
      <c r="G19" s="137">
        <v>21113</v>
      </c>
      <c r="H19" s="137">
        <v>9455</v>
      </c>
      <c r="I19" s="577">
        <v>0</v>
      </c>
      <c r="J19" s="132">
        <v>3758</v>
      </c>
      <c r="K19" s="276">
        <f t="shared" si="0"/>
        <v>34326</v>
      </c>
      <c r="L19" s="131">
        <f>Table2523467891011101213[[#This Row],[Jones Creek Target (bopd)]]-Table2523467891011101213[[#This Row],[Jones Creek Prod (bopd)]]</f>
        <v>1437</v>
      </c>
      <c r="M19" s="132">
        <f>Table2523467891011101213[[#This Row],[Odidi Target (bopd)]]-Table2523467891011101213[[#This Row],[Odidi prod (bopd)]]</f>
        <v>5435</v>
      </c>
      <c r="N19" s="132">
        <f>Table2523467891011101213[[#This Row],[Batan Target (bopd)]]-Table2523467891011101213[[#This Row],[Batan Daily Prod (bopd)]]</f>
        <v>9500</v>
      </c>
      <c r="O19" s="134">
        <f>Table2523467891011101213[[#This Row],[Egwa Target (bopd)]]-Table2523467891011101213[[#This Row],[Egwa Prod (bopd)]]</f>
        <v>512</v>
      </c>
    </row>
    <row r="20" spans="2:15" ht="21.6">
      <c r="B20" s="130">
        <v>44302</v>
      </c>
      <c r="C20" s="135">
        <v>22550</v>
      </c>
      <c r="D20" s="136">
        <v>14890</v>
      </c>
      <c r="E20" s="131">
        <v>9500</v>
      </c>
      <c r="F20" s="135">
        <v>4270</v>
      </c>
      <c r="G20" s="137">
        <v>21609</v>
      </c>
      <c r="H20" s="137">
        <v>9250</v>
      </c>
      <c r="I20" s="577">
        <v>0</v>
      </c>
      <c r="J20" s="137">
        <v>3778</v>
      </c>
      <c r="K20" s="276">
        <f t="shared" si="0"/>
        <v>34637</v>
      </c>
      <c r="L20" s="131">
        <f>Table2523467891011101213[[#This Row],[Jones Creek Target (bopd)]]-Table2523467891011101213[[#This Row],[Jones Creek Prod (bopd)]]</f>
        <v>941</v>
      </c>
      <c r="M20" s="132">
        <f>Table2523467891011101213[[#This Row],[Odidi Target (bopd)]]-Table2523467891011101213[[#This Row],[Odidi prod (bopd)]]</f>
        <v>5640</v>
      </c>
      <c r="N20" s="132">
        <f>Table2523467891011101213[[#This Row],[Batan Target (bopd)]]-Table2523467891011101213[[#This Row],[Batan Daily Prod (bopd)]]</f>
        <v>9500</v>
      </c>
      <c r="O20" s="134">
        <f>Table2523467891011101213[[#This Row],[Egwa Target (bopd)]]-Table2523467891011101213[[#This Row],[Egwa Prod (bopd)]]</f>
        <v>492</v>
      </c>
    </row>
    <row r="21" spans="2:15" ht="21.6">
      <c r="B21" s="130">
        <v>44303</v>
      </c>
      <c r="C21" s="135">
        <v>22550</v>
      </c>
      <c r="D21" s="136">
        <v>14890</v>
      </c>
      <c r="E21" s="131">
        <v>9500</v>
      </c>
      <c r="F21" s="135">
        <v>4270</v>
      </c>
      <c r="G21" s="137">
        <v>21270</v>
      </c>
      <c r="H21" s="137">
        <v>9095</v>
      </c>
      <c r="I21" s="577">
        <v>0</v>
      </c>
      <c r="J21" s="132">
        <v>3784</v>
      </c>
      <c r="K21" s="276">
        <f t="shared" si="0"/>
        <v>34149</v>
      </c>
      <c r="L21" s="131">
        <f>Table2523467891011101213[[#This Row],[Jones Creek Target (bopd)]]-Table2523467891011101213[[#This Row],[Jones Creek Prod (bopd)]]</f>
        <v>1280</v>
      </c>
      <c r="M21" s="132">
        <f>Table2523467891011101213[[#This Row],[Odidi Target (bopd)]]-Table2523467891011101213[[#This Row],[Odidi prod (bopd)]]</f>
        <v>5795</v>
      </c>
      <c r="N21" s="132">
        <f>Table2523467891011101213[[#This Row],[Batan Target (bopd)]]-Table2523467891011101213[[#This Row],[Batan Daily Prod (bopd)]]</f>
        <v>9500</v>
      </c>
      <c r="O21" s="134">
        <f>Table2523467891011101213[[#This Row],[Egwa Target (bopd)]]-Table2523467891011101213[[#This Row],[Egwa Prod (bopd)]]</f>
        <v>486</v>
      </c>
    </row>
    <row r="22" spans="2:15" ht="21.6">
      <c r="B22" s="130">
        <v>44304</v>
      </c>
      <c r="C22" s="135">
        <v>22550</v>
      </c>
      <c r="D22" s="136">
        <v>14890</v>
      </c>
      <c r="E22" s="131">
        <v>9500</v>
      </c>
      <c r="F22" s="135">
        <v>4270</v>
      </c>
      <c r="G22" s="137">
        <v>21303</v>
      </c>
      <c r="H22" s="137">
        <v>9178</v>
      </c>
      <c r="I22" s="137">
        <v>0</v>
      </c>
      <c r="J22" s="137">
        <v>3768.8</v>
      </c>
      <c r="K22" s="276">
        <f t="shared" si="0"/>
        <v>34249.800000000003</v>
      </c>
      <c r="L22" s="131">
        <f>Table2523467891011101213[[#This Row],[Jones Creek Target (bopd)]]-Table2523467891011101213[[#This Row],[Jones Creek Prod (bopd)]]</f>
        <v>1247</v>
      </c>
      <c r="M22" s="132">
        <f>Table2523467891011101213[[#This Row],[Odidi Target (bopd)]]-Table2523467891011101213[[#This Row],[Odidi prod (bopd)]]</f>
        <v>5712</v>
      </c>
      <c r="N22" s="132">
        <f>Table2523467891011101213[[#This Row],[Batan Target (bopd)]]-Table2523467891011101213[[#This Row],[Batan Daily Prod (bopd)]]</f>
        <v>9500</v>
      </c>
      <c r="O22" s="134">
        <f>Table2523467891011101213[[#This Row],[Egwa Target (bopd)]]-Table2523467891011101213[[#This Row],[Egwa Prod (bopd)]]</f>
        <v>501.19999999999982</v>
      </c>
    </row>
    <row r="23" spans="2:15" ht="21.6">
      <c r="B23" s="130">
        <v>44305</v>
      </c>
      <c r="C23" s="135">
        <v>22550</v>
      </c>
      <c r="D23" s="136">
        <v>14890</v>
      </c>
      <c r="E23" s="131">
        <v>9500</v>
      </c>
      <c r="F23" s="135">
        <v>4270</v>
      </c>
      <c r="G23" s="137">
        <v>16307</v>
      </c>
      <c r="H23" s="137">
        <v>9534</v>
      </c>
      <c r="I23" s="137">
        <v>0</v>
      </c>
      <c r="J23" s="137">
        <v>3802</v>
      </c>
      <c r="K23" s="276">
        <f t="shared" si="0"/>
        <v>29643</v>
      </c>
      <c r="L23" s="131">
        <f>Table2523467891011101213[[#This Row],[Jones Creek Target (bopd)]]-Table2523467891011101213[[#This Row],[Jones Creek Prod (bopd)]]</f>
        <v>6243</v>
      </c>
      <c r="M23" s="132">
        <f>Table2523467891011101213[[#This Row],[Odidi Target (bopd)]]-Table2523467891011101213[[#This Row],[Odidi prod (bopd)]]</f>
        <v>5356</v>
      </c>
      <c r="N23" s="132">
        <f>Table2523467891011101213[[#This Row],[Batan Target (bopd)]]-Table2523467891011101213[[#This Row],[Batan Daily Prod (bopd)]]</f>
        <v>9500</v>
      </c>
      <c r="O23" s="134">
        <f>Table2523467891011101213[[#This Row],[Egwa Target (bopd)]]-Table2523467891011101213[[#This Row],[Egwa Prod (bopd)]]</f>
        <v>468</v>
      </c>
    </row>
    <row r="24" spans="2:15" ht="21.6">
      <c r="B24" s="130">
        <v>44306</v>
      </c>
      <c r="C24" s="135">
        <v>22550</v>
      </c>
      <c r="D24" s="136">
        <v>14890</v>
      </c>
      <c r="E24" s="131">
        <v>9500</v>
      </c>
      <c r="F24" s="135">
        <v>4270</v>
      </c>
      <c r="G24" s="132">
        <v>13528</v>
      </c>
      <c r="H24" s="132">
        <v>9869</v>
      </c>
      <c r="I24" s="132">
        <v>0</v>
      </c>
      <c r="J24" s="137">
        <v>3800</v>
      </c>
      <c r="K24" s="276">
        <f t="shared" si="0"/>
        <v>27197</v>
      </c>
      <c r="L24" s="131">
        <f>Table2523467891011101213[[#This Row],[Jones Creek Target (bopd)]]-Table2523467891011101213[[#This Row],[Jones Creek Prod (bopd)]]</f>
        <v>9022</v>
      </c>
      <c r="M24" s="132">
        <f>Table2523467891011101213[[#This Row],[Odidi Target (bopd)]]-Table2523467891011101213[[#This Row],[Odidi prod (bopd)]]</f>
        <v>5021</v>
      </c>
      <c r="N24" s="132">
        <f>Table2523467891011101213[[#This Row],[Batan Target (bopd)]]-Table2523467891011101213[[#This Row],[Batan Daily Prod (bopd)]]</f>
        <v>9500</v>
      </c>
      <c r="O24" s="134">
        <f>Table2523467891011101213[[#This Row],[Egwa Target (bopd)]]-Table2523467891011101213[[#This Row],[Egwa Prod (bopd)]]</f>
        <v>470</v>
      </c>
    </row>
    <row r="25" spans="2:15" ht="21.6">
      <c r="B25" s="130">
        <v>44307</v>
      </c>
      <c r="C25" s="135">
        <v>22550</v>
      </c>
      <c r="D25" s="136">
        <v>14890</v>
      </c>
      <c r="E25" s="131">
        <v>9500</v>
      </c>
      <c r="F25" s="135">
        <v>4270</v>
      </c>
      <c r="G25" s="137">
        <v>14056</v>
      </c>
      <c r="H25" s="137">
        <v>10129</v>
      </c>
      <c r="I25" s="137">
        <v>0</v>
      </c>
      <c r="J25" s="137">
        <v>3788</v>
      </c>
      <c r="K25" s="276">
        <f t="shared" si="0"/>
        <v>27973</v>
      </c>
      <c r="L25" s="131">
        <f>Table2523467891011101213[[#This Row],[Jones Creek Target (bopd)]]-Table2523467891011101213[[#This Row],[Jones Creek Prod (bopd)]]</f>
        <v>8494</v>
      </c>
      <c r="M25" s="132">
        <f>Table2523467891011101213[[#This Row],[Odidi Target (bopd)]]-Table2523467891011101213[[#This Row],[Odidi prod (bopd)]]</f>
        <v>4761</v>
      </c>
      <c r="N25" s="132">
        <f>Table2523467891011101213[[#This Row],[Batan Target (bopd)]]-Table2523467891011101213[[#This Row],[Batan Daily Prod (bopd)]]</f>
        <v>9500</v>
      </c>
      <c r="O25" s="134">
        <f>Table2523467891011101213[[#This Row],[Egwa Target (bopd)]]-Table2523467891011101213[[#This Row],[Egwa Prod (bopd)]]</f>
        <v>482</v>
      </c>
    </row>
    <row r="26" spans="2:15" ht="21.6">
      <c r="B26" s="130">
        <v>44308</v>
      </c>
      <c r="C26" s="135">
        <v>22550</v>
      </c>
      <c r="D26" s="136">
        <v>14890</v>
      </c>
      <c r="E26" s="131">
        <v>9500</v>
      </c>
      <c r="F26" s="135">
        <v>4270</v>
      </c>
      <c r="G26" s="137">
        <v>18831</v>
      </c>
      <c r="H26" s="137">
        <v>11237</v>
      </c>
      <c r="I26" s="137">
        <v>0</v>
      </c>
      <c r="J26" s="132">
        <v>3801</v>
      </c>
      <c r="K26" s="276">
        <f t="shared" si="0"/>
        <v>33869</v>
      </c>
      <c r="L26" s="131">
        <f>Table2523467891011101213[[#This Row],[Jones Creek Target (bopd)]]-Table2523467891011101213[[#This Row],[Jones Creek Prod (bopd)]]</f>
        <v>3719</v>
      </c>
      <c r="M26" s="132">
        <f>Table2523467891011101213[[#This Row],[Odidi Target (bopd)]]-Table2523467891011101213[[#This Row],[Odidi prod (bopd)]]</f>
        <v>3653</v>
      </c>
      <c r="N26" s="132">
        <f>Table2523467891011101213[[#This Row],[Batan Target (bopd)]]-Table2523467891011101213[[#This Row],[Batan Daily Prod (bopd)]]</f>
        <v>9500</v>
      </c>
      <c r="O26" s="134">
        <f>Table2523467891011101213[[#This Row],[Egwa Target (bopd)]]-Table2523467891011101213[[#This Row],[Egwa Prod (bopd)]]</f>
        <v>469</v>
      </c>
    </row>
    <row r="27" spans="2:15" ht="21.6">
      <c r="B27" s="130">
        <v>44309</v>
      </c>
      <c r="C27" s="135">
        <v>22550</v>
      </c>
      <c r="D27" s="136">
        <v>14890</v>
      </c>
      <c r="E27" s="131">
        <v>9500</v>
      </c>
      <c r="F27" s="135">
        <v>4270</v>
      </c>
      <c r="G27" s="137">
        <v>21124</v>
      </c>
      <c r="H27" s="137">
        <v>12353</v>
      </c>
      <c r="I27" s="137">
        <v>0</v>
      </c>
      <c r="J27" s="132">
        <v>3802</v>
      </c>
      <c r="K27" s="276">
        <f t="shared" si="0"/>
        <v>37279</v>
      </c>
      <c r="L27" s="131">
        <f>Table2523467891011101213[[#This Row],[Jones Creek Target (bopd)]]-Table2523467891011101213[[#This Row],[Jones Creek Prod (bopd)]]</f>
        <v>1426</v>
      </c>
      <c r="M27" s="132">
        <f>Table2523467891011101213[[#This Row],[Odidi Target (bopd)]]-Table2523467891011101213[[#This Row],[Odidi prod (bopd)]]</f>
        <v>2537</v>
      </c>
      <c r="N27" s="132">
        <f>Table2523467891011101213[[#This Row],[Batan Target (bopd)]]-Table2523467891011101213[[#This Row],[Batan Daily Prod (bopd)]]</f>
        <v>9500</v>
      </c>
      <c r="O27" s="134">
        <f>Table2523467891011101213[[#This Row],[Egwa Target (bopd)]]-Table2523467891011101213[[#This Row],[Egwa Prod (bopd)]]</f>
        <v>468</v>
      </c>
    </row>
    <row r="28" spans="2:15" ht="21.6">
      <c r="B28" s="130">
        <v>44310</v>
      </c>
      <c r="C28" s="135">
        <v>22550</v>
      </c>
      <c r="D28" s="136">
        <v>14890</v>
      </c>
      <c r="E28" s="131">
        <v>9500</v>
      </c>
      <c r="F28" s="135">
        <v>4270</v>
      </c>
      <c r="G28" s="137">
        <v>20590</v>
      </c>
      <c r="H28" s="137">
        <v>12833</v>
      </c>
      <c r="I28" s="137">
        <v>0</v>
      </c>
      <c r="J28" s="132">
        <v>3804</v>
      </c>
      <c r="K28" s="276">
        <f t="shared" si="0"/>
        <v>37227</v>
      </c>
      <c r="L28" s="131">
        <f>Table2523467891011101213[[#This Row],[Jones Creek Target (bopd)]]-Table2523467891011101213[[#This Row],[Jones Creek Prod (bopd)]]</f>
        <v>1960</v>
      </c>
      <c r="M28" s="132">
        <f>Table2523467891011101213[[#This Row],[Odidi Target (bopd)]]-Table2523467891011101213[[#This Row],[Odidi prod (bopd)]]</f>
        <v>2057</v>
      </c>
      <c r="N28" s="132">
        <f>Table2523467891011101213[[#This Row],[Batan Target (bopd)]]-Table2523467891011101213[[#This Row],[Batan Daily Prod (bopd)]]</f>
        <v>9500</v>
      </c>
      <c r="O28" s="134">
        <f>Table2523467891011101213[[#This Row],[Egwa Target (bopd)]]-Table2523467891011101213[[#This Row],[Egwa Prod (bopd)]]</f>
        <v>466</v>
      </c>
    </row>
    <row r="29" spans="2:15" ht="21.6">
      <c r="B29" s="130">
        <v>44311</v>
      </c>
      <c r="C29" s="135">
        <v>22550</v>
      </c>
      <c r="D29" s="136">
        <v>14890</v>
      </c>
      <c r="E29" s="131">
        <v>9500</v>
      </c>
      <c r="F29" s="135">
        <v>4270</v>
      </c>
      <c r="G29" s="137">
        <v>20708</v>
      </c>
      <c r="H29" s="137">
        <v>12537</v>
      </c>
      <c r="I29" s="137">
        <v>2529</v>
      </c>
      <c r="J29" s="132">
        <v>3827</v>
      </c>
      <c r="K29" s="276">
        <f t="shared" si="0"/>
        <v>39601</v>
      </c>
      <c r="L29" s="131">
        <f>Table2523467891011101213[[#This Row],[Jones Creek Target (bopd)]]-Table2523467891011101213[[#This Row],[Jones Creek Prod (bopd)]]</f>
        <v>1842</v>
      </c>
      <c r="M29" s="132">
        <f>Table2523467891011101213[[#This Row],[Odidi Target (bopd)]]-Table2523467891011101213[[#This Row],[Odidi prod (bopd)]]</f>
        <v>2353</v>
      </c>
      <c r="N29" s="132">
        <f>Table2523467891011101213[[#This Row],[Batan Target (bopd)]]-Table2523467891011101213[[#This Row],[Batan Daily Prod (bopd)]]</f>
        <v>6971</v>
      </c>
      <c r="O29" s="134">
        <f>Table2523467891011101213[[#This Row],[Egwa Target (bopd)]]-Table2523467891011101213[[#This Row],[Egwa Prod (bopd)]]</f>
        <v>443</v>
      </c>
    </row>
    <row r="30" spans="2:15" ht="21.6">
      <c r="B30" s="130">
        <v>44312</v>
      </c>
      <c r="C30" s="135">
        <v>22550</v>
      </c>
      <c r="D30" s="136">
        <v>14890</v>
      </c>
      <c r="E30" s="131">
        <v>9500</v>
      </c>
      <c r="F30" s="135">
        <v>4270</v>
      </c>
      <c r="G30" s="137">
        <v>20611</v>
      </c>
      <c r="H30" s="137">
        <v>12622</v>
      </c>
      <c r="I30" s="137">
        <v>3358</v>
      </c>
      <c r="J30" s="137">
        <v>3802</v>
      </c>
      <c r="K30" s="276">
        <f t="shared" si="0"/>
        <v>40393</v>
      </c>
      <c r="L30" s="131">
        <f>Table2523467891011101213[[#This Row],[Jones Creek Target (bopd)]]-Table2523467891011101213[[#This Row],[Jones Creek Prod (bopd)]]</f>
        <v>1939</v>
      </c>
      <c r="M30" s="132">
        <f>Table2523467891011101213[[#This Row],[Odidi Target (bopd)]]-Table2523467891011101213[[#This Row],[Odidi prod (bopd)]]</f>
        <v>2268</v>
      </c>
      <c r="N30" s="132">
        <f>Table2523467891011101213[[#This Row],[Batan Target (bopd)]]-Table2523467891011101213[[#This Row],[Batan Daily Prod (bopd)]]</f>
        <v>6142</v>
      </c>
      <c r="O30" s="134">
        <f>Table2523467891011101213[[#This Row],[Egwa Target (bopd)]]-Table2523467891011101213[[#This Row],[Egwa Prod (bopd)]]</f>
        <v>468</v>
      </c>
    </row>
    <row r="31" spans="2:15" ht="21.6">
      <c r="B31" s="130">
        <v>44313</v>
      </c>
      <c r="C31" s="135">
        <v>22550</v>
      </c>
      <c r="D31" s="136">
        <v>14890</v>
      </c>
      <c r="E31" s="131">
        <v>9500</v>
      </c>
      <c r="F31" s="135">
        <v>4270</v>
      </c>
      <c r="G31" s="137">
        <v>10971</v>
      </c>
      <c r="H31" s="137">
        <v>13198</v>
      </c>
      <c r="I31" s="137">
        <v>3471</v>
      </c>
      <c r="J31" s="137">
        <v>3800</v>
      </c>
      <c r="K31" s="276">
        <f t="shared" si="0"/>
        <v>31440</v>
      </c>
      <c r="L31" s="131">
        <f>Table2523467891011101213[[#This Row],[Jones Creek Target (bopd)]]-Table2523467891011101213[[#This Row],[Jones Creek Prod (bopd)]]</f>
        <v>11579</v>
      </c>
      <c r="M31" s="132">
        <f>Table2523467891011101213[[#This Row],[Odidi Target (bopd)]]-Table2523467891011101213[[#This Row],[Odidi prod (bopd)]]</f>
        <v>1692</v>
      </c>
      <c r="N31" s="132">
        <f>Table2523467891011101213[[#This Row],[Batan Target (bopd)]]-Table2523467891011101213[[#This Row],[Batan Daily Prod (bopd)]]</f>
        <v>6029</v>
      </c>
      <c r="O31" s="134">
        <f>Table2523467891011101213[[#This Row],[Egwa Target (bopd)]]-Table2523467891011101213[[#This Row],[Egwa Prod (bopd)]]</f>
        <v>470</v>
      </c>
    </row>
    <row r="32" spans="2:15" ht="21.6">
      <c r="B32" s="130">
        <v>44314</v>
      </c>
      <c r="C32" s="135">
        <v>22550</v>
      </c>
      <c r="D32" s="136">
        <v>14890</v>
      </c>
      <c r="E32" s="131">
        <v>9500</v>
      </c>
      <c r="F32" s="135">
        <v>4270</v>
      </c>
      <c r="G32" s="132">
        <v>16541</v>
      </c>
      <c r="H32" s="132">
        <v>13497</v>
      </c>
      <c r="I32" s="132">
        <v>3349</v>
      </c>
      <c r="J32" s="132">
        <v>415.7</v>
      </c>
      <c r="K32" s="276">
        <f t="shared" si="0"/>
        <v>33802.699999999997</v>
      </c>
      <c r="L32" s="131">
        <f>Table2523467891011101213[[#This Row],[Jones Creek Target (bopd)]]-Table2523467891011101213[[#This Row],[Jones Creek Prod (bopd)]]</f>
        <v>6009</v>
      </c>
      <c r="M32" s="132">
        <f>Table2523467891011101213[[#This Row],[Odidi Target (bopd)]]-Table2523467891011101213[[#This Row],[Odidi prod (bopd)]]</f>
        <v>1393</v>
      </c>
      <c r="N32" s="132">
        <f>Table2523467891011101213[[#This Row],[Batan Target (bopd)]]-Table2523467891011101213[[#This Row],[Batan Daily Prod (bopd)]]</f>
        <v>6151</v>
      </c>
      <c r="O32" s="134">
        <f>Table2523467891011101213[[#This Row],[Egwa Target (bopd)]]-Table2523467891011101213[[#This Row],[Egwa Prod (bopd)]]</f>
        <v>3854.3</v>
      </c>
    </row>
    <row r="33" spans="2:18" ht="21.6">
      <c r="B33" s="130">
        <v>44315</v>
      </c>
      <c r="C33" s="135">
        <v>22550</v>
      </c>
      <c r="D33" s="136">
        <v>14890</v>
      </c>
      <c r="E33" s="131">
        <v>9500</v>
      </c>
      <c r="F33" s="135">
        <v>4270</v>
      </c>
      <c r="G33" s="132">
        <v>19754</v>
      </c>
      <c r="H33" s="132">
        <v>12106</v>
      </c>
      <c r="I33" s="137">
        <v>3301</v>
      </c>
      <c r="J33" s="137">
        <v>0</v>
      </c>
      <c r="K33" s="276">
        <f t="shared" si="0"/>
        <v>35161</v>
      </c>
      <c r="L33" s="131">
        <f>Table2523467891011101213[[#This Row],[Jones Creek Target (bopd)]]-Table2523467891011101213[[#This Row],[Jones Creek Prod (bopd)]]</f>
        <v>2796</v>
      </c>
      <c r="M33" s="132">
        <f>Table2523467891011101213[[#This Row],[Odidi Target (bopd)]]-Table2523467891011101213[[#This Row],[Odidi prod (bopd)]]</f>
        <v>2784</v>
      </c>
      <c r="N33" s="132">
        <f>Table2523467891011101213[[#This Row],[Batan Target (bopd)]]-Table2523467891011101213[[#This Row],[Batan Daily Prod (bopd)]]</f>
        <v>6199</v>
      </c>
      <c r="O33" s="134">
        <f>Table2523467891011101213[[#This Row],[Egwa Target (bopd)]]-Table2523467891011101213[[#This Row],[Egwa Prod (bopd)]]</f>
        <v>4270</v>
      </c>
    </row>
    <row r="34" spans="2:18" ht="21.6">
      <c r="B34" s="130">
        <v>44316</v>
      </c>
      <c r="C34" s="135">
        <v>22550</v>
      </c>
      <c r="D34" s="136">
        <v>14890</v>
      </c>
      <c r="E34" s="131">
        <v>9500</v>
      </c>
      <c r="F34" s="135">
        <v>4270</v>
      </c>
      <c r="G34" s="137">
        <v>19657</v>
      </c>
      <c r="H34" s="132">
        <v>11192</v>
      </c>
      <c r="I34" s="137">
        <v>2536</v>
      </c>
      <c r="J34" s="137">
        <v>0</v>
      </c>
      <c r="K34" s="276">
        <f t="shared" si="0"/>
        <v>33385</v>
      </c>
      <c r="L34" s="131">
        <f>Table2523467891011101213[[#This Row],[Jones Creek Target (bopd)]]-Table2523467891011101213[[#This Row],[Jones Creek Prod (bopd)]]</f>
        <v>2893</v>
      </c>
      <c r="M34" s="132">
        <f>Table2523467891011101213[[#This Row],[Odidi Target (bopd)]]-Table2523467891011101213[[#This Row],[Odidi prod (bopd)]]</f>
        <v>3698</v>
      </c>
      <c r="N34" s="132">
        <f>Table2523467891011101213[[#This Row],[Batan Target (bopd)]]-Table2523467891011101213[[#This Row],[Batan Daily Prod (bopd)]]</f>
        <v>6964</v>
      </c>
      <c r="O34" s="134">
        <f>Table2523467891011101213[[#This Row],[Egwa Target (bopd)]]-Table2523467891011101213[[#This Row],[Egwa Prod (bopd)]]</f>
        <v>4270</v>
      </c>
    </row>
    <row r="35" spans="2:18" ht="21.6">
      <c r="B35" s="130">
        <v>44317</v>
      </c>
      <c r="C35" s="135">
        <v>22550</v>
      </c>
      <c r="D35" s="136">
        <v>14890</v>
      </c>
      <c r="E35" s="131">
        <v>9500</v>
      </c>
      <c r="F35" s="135">
        <v>4270</v>
      </c>
      <c r="G35" s="137">
        <v>20172</v>
      </c>
      <c r="H35" s="137">
        <v>11342</v>
      </c>
      <c r="I35" s="137">
        <v>3278</v>
      </c>
      <c r="J35" s="137">
        <v>0</v>
      </c>
      <c r="K35" s="276">
        <f t="shared" si="0"/>
        <v>34792</v>
      </c>
      <c r="L35" s="131">
        <f>Table2523467891011101213[[#This Row],[Jones Creek Target (bopd)]]-Table2523467891011101213[[#This Row],[Jones Creek Prod (bopd)]]</f>
        <v>2378</v>
      </c>
      <c r="M35" s="132">
        <f>Table2523467891011101213[[#This Row],[Odidi Target (bopd)]]-Table2523467891011101213[[#This Row],[Odidi prod (bopd)]]</f>
        <v>3548</v>
      </c>
      <c r="N35" s="132">
        <f>Table2523467891011101213[[#This Row],[Batan Target (bopd)]]-Table2523467891011101213[[#This Row],[Batan Daily Prod (bopd)]]</f>
        <v>6222</v>
      </c>
      <c r="O35" s="134">
        <f>Table2523467891011101213[[#This Row],[Egwa Target (bopd)]]-Table2523467891011101213[[#This Row],[Egwa Prod (bopd)]]</f>
        <v>4270</v>
      </c>
    </row>
    <row r="36" spans="2:18" ht="21.6">
      <c r="B36" s="130">
        <v>44318</v>
      </c>
      <c r="C36" s="135">
        <v>22550</v>
      </c>
      <c r="D36" s="136">
        <v>14890</v>
      </c>
      <c r="E36" s="131">
        <v>9500</v>
      </c>
      <c r="F36" s="135">
        <v>4270</v>
      </c>
      <c r="G36" s="137">
        <v>19724</v>
      </c>
      <c r="H36" s="137">
        <v>11807</v>
      </c>
      <c r="I36" s="137">
        <v>3212.6</v>
      </c>
      <c r="J36" s="137">
        <v>0</v>
      </c>
      <c r="K36" s="276">
        <f t="shared" si="0"/>
        <v>34743.599999999999</v>
      </c>
      <c r="L36" s="131">
        <f>Table2523467891011101213[[#This Row],[Jones Creek Target (bopd)]]-Table2523467891011101213[[#This Row],[Jones Creek Prod (bopd)]]</f>
        <v>2826</v>
      </c>
      <c r="M36" s="132">
        <f>Table2523467891011101213[[#This Row],[Odidi Target (bopd)]]-Table2523467891011101213[[#This Row],[Odidi prod (bopd)]]</f>
        <v>3083</v>
      </c>
      <c r="N36" s="132">
        <f>Table2523467891011101213[[#This Row],[Batan Target (bopd)]]-Table2523467891011101213[[#This Row],[Batan Daily Prod (bopd)]]</f>
        <v>6287.4</v>
      </c>
      <c r="O36" s="134">
        <f>Table2523467891011101213[[#This Row],[Egwa Target (bopd)]]-Table2523467891011101213[[#This Row],[Egwa Prod (bopd)]]</f>
        <v>4270</v>
      </c>
    </row>
    <row r="37" spans="2:18" ht="21.6">
      <c r="B37" s="130">
        <v>44319</v>
      </c>
      <c r="C37" s="135">
        <v>22550</v>
      </c>
      <c r="D37" s="136">
        <v>14890</v>
      </c>
      <c r="E37" s="131">
        <v>9500</v>
      </c>
      <c r="F37" s="135">
        <v>4270</v>
      </c>
      <c r="G37" s="137">
        <v>19247</v>
      </c>
      <c r="H37" s="137">
        <v>10275</v>
      </c>
      <c r="I37" s="137">
        <v>3200.6</v>
      </c>
      <c r="J37" s="137">
        <v>0</v>
      </c>
      <c r="K37" s="276">
        <f t="shared" si="0"/>
        <v>32722.6</v>
      </c>
      <c r="L37" s="131">
        <f>Table2523467891011101213[[#This Row],[Jones Creek Target (bopd)]]-Table2523467891011101213[[#This Row],[Jones Creek Prod (bopd)]]</f>
        <v>3303</v>
      </c>
      <c r="M37" s="132">
        <f>Table2523467891011101213[[#This Row],[Odidi Target (bopd)]]-Table2523467891011101213[[#This Row],[Odidi prod (bopd)]]</f>
        <v>4615</v>
      </c>
      <c r="N37" s="132">
        <f>Table2523467891011101213[[#This Row],[Batan Target (bopd)]]-Table2523467891011101213[[#This Row],[Batan Daily Prod (bopd)]]</f>
        <v>6299.4</v>
      </c>
      <c r="O37" s="134">
        <f>Table2523467891011101213[[#This Row],[Egwa Target (bopd)]]-Table2523467891011101213[[#This Row],[Egwa Prod (bopd)]]</f>
        <v>4270</v>
      </c>
    </row>
    <row r="38" spans="2:18" ht="21.6">
      <c r="B38" s="130">
        <v>44320</v>
      </c>
      <c r="C38" s="135">
        <v>22550</v>
      </c>
      <c r="D38" s="136">
        <v>14890</v>
      </c>
      <c r="E38" s="131">
        <v>9500</v>
      </c>
      <c r="F38" s="135">
        <v>4270</v>
      </c>
      <c r="G38" s="137">
        <v>18504</v>
      </c>
      <c r="H38" s="137">
        <v>9639</v>
      </c>
      <c r="I38" s="137">
        <v>2844</v>
      </c>
      <c r="J38" s="132">
        <v>0</v>
      </c>
      <c r="K38" s="276">
        <f t="shared" si="0"/>
        <v>30987</v>
      </c>
      <c r="L38" s="131">
        <f>Table2523467891011101213[[#This Row],[Jones Creek Target (bopd)]]-Table2523467891011101213[[#This Row],[Jones Creek Prod (bopd)]]</f>
        <v>4046</v>
      </c>
      <c r="M38" s="132">
        <f>Table2523467891011101213[[#This Row],[Odidi Target (bopd)]]-Table2523467891011101213[[#This Row],[Odidi prod (bopd)]]</f>
        <v>5251</v>
      </c>
      <c r="N38" s="132">
        <f>Table2523467891011101213[[#This Row],[Batan Target (bopd)]]-Table2523467891011101213[[#This Row],[Batan Daily Prod (bopd)]]</f>
        <v>6656</v>
      </c>
      <c r="O38" s="134">
        <f>Table2523467891011101213[[#This Row],[Egwa Target (bopd)]]-Table2523467891011101213[[#This Row],[Egwa Prod (bopd)]]</f>
        <v>4270</v>
      </c>
    </row>
    <row r="39" spans="2:18" ht="21.6">
      <c r="B39" s="130"/>
      <c r="C39" s="135"/>
      <c r="D39" s="136"/>
      <c r="E39" s="131"/>
      <c r="F39" s="135"/>
      <c r="G39" s="137"/>
      <c r="H39" s="137"/>
      <c r="I39" s="137"/>
      <c r="J39" s="137"/>
      <c r="K39" s="276"/>
      <c r="L39" s="131"/>
      <c r="M39" s="132"/>
      <c r="N39" s="132"/>
      <c r="O39" s="134"/>
    </row>
    <row r="40" spans="2:18" ht="21.6">
      <c r="B40" s="130"/>
      <c r="C40" s="135"/>
      <c r="D40" s="136"/>
      <c r="E40" s="131"/>
      <c r="F40" s="135"/>
      <c r="G40" s="132"/>
      <c r="H40" s="301"/>
      <c r="I40" s="137"/>
      <c r="J40" s="132"/>
      <c r="K40" s="276"/>
      <c r="L40" s="131"/>
      <c r="M40" s="132"/>
      <c r="N40" s="132"/>
      <c r="O40" s="134"/>
    </row>
    <row r="41" spans="2:18" ht="21.6">
      <c r="B41" s="130"/>
      <c r="C41" s="135"/>
      <c r="D41" s="136"/>
      <c r="E41" s="131"/>
      <c r="F41" s="135"/>
      <c r="G41" s="132"/>
      <c r="H41" s="132"/>
      <c r="I41" s="132"/>
      <c r="J41" s="132"/>
      <c r="K41" s="276"/>
      <c r="L41" s="131"/>
      <c r="M41" s="132"/>
      <c r="N41" s="132"/>
      <c r="O41" s="134"/>
    </row>
    <row r="42" spans="2:18" ht="21.6">
      <c r="B42" s="130"/>
      <c r="C42" s="135"/>
      <c r="D42" s="136"/>
      <c r="E42" s="131"/>
      <c r="F42" s="135"/>
      <c r="G42" s="132"/>
      <c r="H42" s="132"/>
      <c r="I42" s="132"/>
      <c r="J42" s="132"/>
      <c r="K42" s="276"/>
      <c r="L42" s="131"/>
      <c r="M42" s="132"/>
      <c r="N42" s="132"/>
      <c r="O42" s="134"/>
      <c r="Q42" s="42"/>
    </row>
    <row r="43" spans="2:18" ht="21.6">
      <c r="B43" s="130"/>
      <c r="C43" s="135"/>
      <c r="D43" s="136"/>
      <c r="E43" s="131"/>
      <c r="F43" s="135"/>
      <c r="G43" s="137"/>
      <c r="H43" s="137"/>
      <c r="I43" s="137"/>
      <c r="J43" s="132"/>
      <c r="K43" s="276"/>
      <c r="L43" s="131"/>
      <c r="M43" s="132"/>
      <c r="N43" s="132"/>
      <c r="O43" s="134"/>
    </row>
    <row r="44" spans="2:18" ht="21.6">
      <c r="B44" s="130"/>
      <c r="C44" s="135"/>
      <c r="D44" s="136"/>
      <c r="E44" s="131"/>
      <c r="F44" s="135"/>
      <c r="G44" s="137"/>
      <c r="H44" s="137"/>
      <c r="I44" s="137"/>
      <c r="J44" s="132"/>
      <c r="K44" s="276"/>
      <c r="L44" s="131"/>
      <c r="M44" s="132"/>
      <c r="N44" s="132"/>
      <c r="O44" s="134"/>
    </row>
    <row r="46" spans="2:18" ht="15.6" thickBot="1"/>
    <row r="47" spans="2:18" ht="33.950000000000003" customHeight="1" thickBot="1">
      <c r="B47" s="1303" t="s">
        <v>149</v>
      </c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5"/>
      <c r="N47" s="1"/>
      <c r="O47"/>
      <c r="Q47" s="23"/>
      <c r="R47" s="117"/>
    </row>
    <row r="48" spans="2:18" ht="41.45" customHeight="1">
      <c r="B48" s="575" t="s">
        <v>22</v>
      </c>
      <c r="C48" s="576" t="s">
        <v>358</v>
      </c>
      <c r="D48" s="1306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8"/>
      <c r="N48" s="1"/>
      <c r="O48"/>
      <c r="Q48" s="118"/>
      <c r="R48" s="119"/>
    </row>
    <row r="49" spans="2:18" ht="26.25" customHeight="1">
      <c r="B49" s="249" t="s">
        <v>17</v>
      </c>
      <c r="C49" s="250">
        <v>4.0460000000000003</v>
      </c>
      <c r="D49" s="1280" t="s">
        <v>385</v>
      </c>
      <c r="E49" s="1309"/>
      <c r="F49" s="1309"/>
      <c r="G49" s="1309"/>
      <c r="H49" s="1309"/>
      <c r="I49" s="1309"/>
      <c r="J49" s="1309"/>
      <c r="K49" s="1309"/>
      <c r="L49" s="1309"/>
      <c r="M49" s="1310"/>
      <c r="N49" s="1"/>
      <c r="O49" s="42">
        <f>G35-G36</f>
        <v>448</v>
      </c>
      <c r="Q49" s="118"/>
      <c r="R49" s="119"/>
    </row>
    <row r="50" spans="2:18" ht="26.45" customHeight="1">
      <c r="B50" s="249" t="s">
        <v>19</v>
      </c>
      <c r="C50" s="250">
        <v>5.25</v>
      </c>
      <c r="D50" s="1274" t="s">
        <v>386</v>
      </c>
      <c r="E50" s="1285"/>
      <c r="F50" s="1285"/>
      <c r="G50" s="1285"/>
      <c r="H50" s="1285"/>
      <c r="I50" s="1285"/>
      <c r="J50" s="1285"/>
      <c r="K50" s="1285"/>
      <c r="L50" s="1285"/>
      <c r="M50" s="1286"/>
      <c r="N50" s="1"/>
      <c r="O50"/>
      <c r="Q50" s="23"/>
    </row>
    <row r="51" spans="2:18" ht="26.25" customHeight="1">
      <c r="B51" s="249" t="s">
        <v>16</v>
      </c>
      <c r="C51" s="250">
        <v>6.2990000000000004</v>
      </c>
      <c r="D51" s="1274" t="s">
        <v>387</v>
      </c>
      <c r="E51" s="1285"/>
      <c r="F51" s="1285"/>
      <c r="G51" s="1285"/>
      <c r="H51" s="1285"/>
      <c r="I51" s="1285"/>
      <c r="J51" s="1285"/>
      <c r="K51" s="1285"/>
      <c r="L51" s="1285"/>
      <c r="M51" s="1286"/>
      <c r="N51" s="1"/>
      <c r="O51" s="30"/>
      <c r="Q51" s="118"/>
      <c r="R51" s="119"/>
    </row>
    <row r="52" spans="2:18" ht="23.45" customHeight="1">
      <c r="B52" s="249" t="s">
        <v>18</v>
      </c>
      <c r="C52" s="250">
        <v>3.8540000000000001</v>
      </c>
      <c r="D52" s="1274" t="s">
        <v>388</v>
      </c>
      <c r="E52" s="1285"/>
      <c r="F52" s="1285"/>
      <c r="G52" s="1285"/>
      <c r="H52" s="1285"/>
      <c r="I52" s="1285"/>
      <c r="J52" s="1285"/>
      <c r="K52" s="1285"/>
      <c r="L52" s="1285"/>
      <c r="M52" s="1286"/>
      <c r="N52" s="1"/>
      <c r="O52"/>
      <c r="Q52" s="118"/>
      <c r="R52" s="119"/>
    </row>
    <row r="53" spans="2:18" ht="27" customHeight="1" thickBot="1">
      <c r="B53" s="251" t="s">
        <v>187</v>
      </c>
      <c r="C53" s="252">
        <f>SUM(C49:C52)</f>
        <v>19.448999999999998</v>
      </c>
      <c r="D53" s="1277" t="s">
        <v>389</v>
      </c>
      <c r="E53" s="1278"/>
      <c r="F53" s="1278"/>
      <c r="G53" s="1278"/>
      <c r="H53" s="1278"/>
      <c r="I53" s="1278"/>
      <c r="J53" s="1278"/>
      <c r="K53" s="1278"/>
      <c r="L53" s="1278"/>
      <c r="M53" s="1279"/>
      <c r="N53" s="1"/>
      <c r="O53"/>
      <c r="P53" s="402"/>
    </row>
    <row r="56" spans="2:18" ht="21" thickBot="1">
      <c r="F56" s="30"/>
    </row>
    <row r="57" spans="2:18" ht="35.450000000000003" customHeight="1" thickBot="1">
      <c r="C57" s="573"/>
      <c r="D57" s="172">
        <f>2.69+5.7+5.46</f>
        <v>13.850000000000001</v>
      </c>
      <c r="F57" s="271"/>
      <c r="G57" s="31"/>
      <c r="H57" s="31"/>
      <c r="I57" s="31"/>
    </row>
    <row r="58" spans="2:18" ht="24.75" customHeight="1">
      <c r="D58" s="30"/>
      <c r="G58" s="36"/>
      <c r="H58" s="36"/>
      <c r="I58" s="36"/>
    </row>
    <row r="59" spans="2:18" ht="20.25" customHeight="1">
      <c r="G59" s="23"/>
      <c r="H59" s="23"/>
      <c r="I59" s="23"/>
      <c r="J59" s="23"/>
      <c r="K59" s="23"/>
      <c r="L59" s="23"/>
    </row>
    <row r="60" spans="2:18" ht="17.45">
      <c r="C60" s="147"/>
      <c r="G60" s="23"/>
      <c r="H60" s="23"/>
      <c r="I60" s="23"/>
      <c r="J60" s="23"/>
      <c r="K60" s="23"/>
      <c r="L60" s="23"/>
    </row>
    <row r="61" spans="2:18" ht="22.9">
      <c r="C61" s="325"/>
      <c r="G61" s="23"/>
      <c r="H61" s="23"/>
      <c r="I61" s="23"/>
      <c r="J61" s="23"/>
      <c r="K61" s="23"/>
      <c r="L61" s="23"/>
    </row>
    <row r="62" spans="2:18" ht="17.45">
      <c r="C62" s="444"/>
      <c r="D62" s="444"/>
      <c r="F62" s="444"/>
      <c r="G62" s="23"/>
      <c r="H62" s="23"/>
      <c r="I62" s="23"/>
      <c r="J62" s="23"/>
      <c r="K62" s="23"/>
      <c r="L62" s="23"/>
    </row>
    <row r="63" spans="2:18">
      <c r="C63" s="444"/>
      <c r="D63" s="444"/>
      <c r="F63" s="444"/>
    </row>
    <row r="64" spans="2:18">
      <c r="C64" s="444"/>
      <c r="D64" s="444"/>
      <c r="F64" s="444"/>
    </row>
    <row r="65" spans="3:6">
      <c r="C65" s="444"/>
      <c r="D65" s="444"/>
      <c r="F65" s="444"/>
    </row>
  </sheetData>
  <mergeCells count="8">
    <mergeCell ref="D52:M52"/>
    <mergeCell ref="D53:M53"/>
    <mergeCell ref="T3:X3"/>
    <mergeCell ref="B47:M47"/>
    <mergeCell ref="D48:M48"/>
    <mergeCell ref="D49:M49"/>
    <mergeCell ref="D50:M50"/>
    <mergeCell ref="D51:M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AL65"/>
  <sheetViews>
    <sheetView showGridLines="0" zoomScale="60" zoomScaleNormal="60" workbookViewId="0">
      <pane xSplit="2" ySplit="4" topLeftCell="C5" activePane="bottomRight" state="frozen"/>
      <selection pane="bottomRight" activeCell="K30" sqref="K30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5.21875" customWidth="1"/>
    <col min="3" max="3" width="16.21875" customWidth="1"/>
    <col min="4" max="4" width="14.6640625" customWidth="1"/>
    <col min="5" max="5" width="13" customWidth="1"/>
    <col min="6" max="6" width="10.5546875" customWidth="1"/>
    <col min="7" max="9" width="11.6640625" customWidth="1"/>
    <col min="10" max="10" width="12.66406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9" width="10.6640625" style="1" customWidth="1"/>
    <col min="20" max="20" width="11.109375" bestFit="1" customWidth="1"/>
    <col min="21" max="21" width="11.109375" customWidth="1"/>
    <col min="23" max="23" width="14.6640625" customWidth="1"/>
    <col min="24" max="25" width="14.77734375" customWidth="1"/>
    <col min="26" max="27" width="14.33203125" customWidth="1"/>
    <col min="28" max="28" width="14.6640625" customWidth="1"/>
    <col min="29" max="29" width="13.77734375" customWidth="1"/>
    <col min="30" max="30" width="11.5546875" customWidth="1"/>
  </cols>
  <sheetData>
    <row r="3" spans="2:38" ht="25.15" thickBot="1">
      <c r="W3" s="142"/>
      <c r="X3" s="142"/>
      <c r="Y3" s="1227" t="s">
        <v>0</v>
      </c>
      <c r="Z3" s="1227"/>
      <c r="AA3" s="1227"/>
      <c r="AB3" s="1227"/>
      <c r="AC3" s="1227"/>
    </row>
    <row r="4" spans="2:38" ht="81" customHeight="1" thickBot="1">
      <c r="B4" s="123" t="s">
        <v>1</v>
      </c>
      <c r="C4" s="125" t="s">
        <v>3</v>
      </c>
      <c r="D4" s="126" t="s">
        <v>5</v>
      </c>
      <c r="E4" s="124" t="s">
        <v>2</v>
      </c>
      <c r="F4" s="125" t="s">
        <v>4</v>
      </c>
      <c r="G4" s="128" t="s">
        <v>7</v>
      </c>
      <c r="H4" s="129" t="s">
        <v>9</v>
      </c>
      <c r="I4" s="127" t="s">
        <v>6</v>
      </c>
      <c r="J4" s="128" t="s">
        <v>8</v>
      </c>
      <c r="K4" s="274" t="s">
        <v>182</v>
      </c>
      <c r="L4" s="128" t="s">
        <v>338</v>
      </c>
      <c r="M4" s="129" t="s">
        <v>339</v>
      </c>
      <c r="N4" s="127" t="s">
        <v>340</v>
      </c>
      <c r="O4" s="129" t="s">
        <v>341</v>
      </c>
      <c r="P4" s="686" t="s">
        <v>390</v>
      </c>
      <c r="Q4" s="688" t="s">
        <v>391</v>
      </c>
      <c r="R4" s="688" t="s">
        <v>392</v>
      </c>
      <c r="S4" s="688" t="s">
        <v>393</v>
      </c>
      <c r="T4" s="687" t="s">
        <v>394</v>
      </c>
      <c r="U4" s="728"/>
      <c r="W4" s="142"/>
      <c r="X4" s="143" t="s">
        <v>14</v>
      </c>
      <c r="Y4" s="143" t="s">
        <v>147</v>
      </c>
      <c r="Z4" s="143" t="s">
        <v>147</v>
      </c>
      <c r="AA4" s="143" t="s">
        <v>147</v>
      </c>
      <c r="AB4" s="143" t="s">
        <v>147</v>
      </c>
      <c r="AC4" s="143" t="s">
        <v>147</v>
      </c>
    </row>
    <row r="5" spans="2:38" ht="41.25" customHeight="1">
      <c r="B5" s="130">
        <v>44317</v>
      </c>
      <c r="C5" s="135">
        <v>22550</v>
      </c>
      <c r="D5" s="136">
        <v>14890</v>
      </c>
      <c r="E5" s="131">
        <v>9500</v>
      </c>
      <c r="F5" s="135">
        <v>4270</v>
      </c>
      <c r="G5" s="137">
        <v>20172</v>
      </c>
      <c r="H5" s="137">
        <v>11342</v>
      </c>
      <c r="I5" s="137">
        <v>3278</v>
      </c>
      <c r="J5" s="137">
        <v>0</v>
      </c>
      <c r="K5" s="276">
        <f t="shared" ref="K5:K44" si="0">G5+H5+I5+J5</f>
        <v>34792</v>
      </c>
      <c r="L5" s="131">
        <f>Table25234678910111012131214[[#This Row],[Jones Creek Target (bopd)]]-Table25234678910111012131214[[#This Row],[Jones Creek Prod (bopd)]]</f>
        <v>2378</v>
      </c>
      <c r="M5" s="132">
        <f>Table25234678910111012131214[[#This Row],[Odidi Target (bopd)]]-Table25234678910111012131214[[#This Row],[Odidi prod (bopd)]]</f>
        <v>3548</v>
      </c>
      <c r="N5" s="132">
        <f>Table25234678910111012131214[[#This Row],[Batan Target (bopd)]]-Table25234678910111012131214[[#This Row],[Batan Daily Prod (bopd)]]</f>
        <v>6222</v>
      </c>
      <c r="O5" s="133">
        <f>Table25234678910111012131214[[#This Row],[Egwa Target (bopd)]]-Table25234678910111012131214[[#This Row],[Egwa Prod (bopd)]]</f>
        <v>4270</v>
      </c>
      <c r="P5" s="131"/>
      <c r="Q5" s="132"/>
      <c r="R5" s="132"/>
      <c r="S5" s="133"/>
      <c r="T5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5" s="142"/>
      <c r="W5" s="144"/>
      <c r="X5" s="148" t="s">
        <v>148</v>
      </c>
      <c r="Y5" s="152">
        <f>B38</f>
        <v>44350</v>
      </c>
      <c r="Z5" s="152">
        <f>Y5+1</f>
        <v>44351</v>
      </c>
      <c r="AA5" s="152">
        <f>Z5+1</f>
        <v>44352</v>
      </c>
      <c r="AB5" s="152">
        <f>AA5+1</f>
        <v>44353</v>
      </c>
      <c r="AC5" s="152">
        <f>AB5+1</f>
        <v>44354</v>
      </c>
    </row>
    <row r="6" spans="2:38" ht="21.6">
      <c r="B6" s="130">
        <v>44318</v>
      </c>
      <c r="C6" s="135">
        <v>22550</v>
      </c>
      <c r="D6" s="136">
        <v>14890</v>
      </c>
      <c r="E6" s="131">
        <v>9500</v>
      </c>
      <c r="F6" s="135">
        <v>4270</v>
      </c>
      <c r="G6" s="137">
        <v>19724</v>
      </c>
      <c r="H6" s="137">
        <v>11807</v>
      </c>
      <c r="I6" s="137">
        <v>3212.6</v>
      </c>
      <c r="J6" s="137">
        <v>0</v>
      </c>
      <c r="K6" s="276">
        <f t="shared" si="0"/>
        <v>34743.599999999999</v>
      </c>
      <c r="L6" s="131">
        <f>Table25234678910111012131214[[#This Row],[Jones Creek Target (bopd)]]-Table25234678910111012131214[[#This Row],[Jones Creek Prod (bopd)]]</f>
        <v>2826</v>
      </c>
      <c r="M6" s="132">
        <f>Table25234678910111012131214[[#This Row],[Odidi Target (bopd)]]-Table25234678910111012131214[[#This Row],[Odidi prod (bopd)]]</f>
        <v>3083</v>
      </c>
      <c r="N6" s="132">
        <f>Table25234678910111012131214[[#This Row],[Batan Target (bopd)]]-Table25234678910111012131214[[#This Row],[Batan Daily Prod (bopd)]]</f>
        <v>6287.4</v>
      </c>
      <c r="O6" s="133">
        <f>Table25234678910111012131214[[#This Row],[Egwa Target (bopd)]]-Table25234678910111012131214[[#This Row],[Egwa Prod (bopd)]]</f>
        <v>4270</v>
      </c>
      <c r="P6" s="131"/>
      <c r="Q6" s="132"/>
      <c r="R6" s="132"/>
      <c r="S6" s="133"/>
      <c r="T6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6" s="142"/>
      <c r="W6" s="145" t="s">
        <v>17</v>
      </c>
      <c r="X6" s="272">
        <v>22.41</v>
      </c>
      <c r="Y6" s="268">
        <v>19.600000000000001</v>
      </c>
      <c r="Z6" s="267">
        <v>19.867000000000001</v>
      </c>
      <c r="AA6" s="268">
        <v>19.832000000000001</v>
      </c>
      <c r="AB6" s="267">
        <v>19.742000000000001</v>
      </c>
      <c r="AC6" s="270">
        <v>19.417000000000002</v>
      </c>
      <c r="AE6" s="297"/>
      <c r="AF6" s="452"/>
      <c r="AG6" s="452"/>
      <c r="AH6" s="453"/>
      <c r="AI6" s="452"/>
      <c r="AJ6" s="452"/>
      <c r="AK6" s="453"/>
      <c r="AL6" s="452"/>
    </row>
    <row r="7" spans="2:38" ht="21.6">
      <c r="B7" s="130">
        <v>44319</v>
      </c>
      <c r="C7" s="135">
        <v>22550</v>
      </c>
      <c r="D7" s="136">
        <v>14890</v>
      </c>
      <c r="E7" s="131">
        <v>9500</v>
      </c>
      <c r="F7" s="135">
        <v>4270</v>
      </c>
      <c r="G7" s="137">
        <v>19247</v>
      </c>
      <c r="H7" s="137">
        <v>10275</v>
      </c>
      <c r="I7" s="137">
        <v>3200.6</v>
      </c>
      <c r="J7" s="137">
        <v>0</v>
      </c>
      <c r="K7" s="276">
        <f t="shared" si="0"/>
        <v>32722.6</v>
      </c>
      <c r="L7" s="131">
        <f>Table25234678910111012131214[[#This Row],[Jones Creek Target (bopd)]]-Table25234678910111012131214[[#This Row],[Jones Creek Prod (bopd)]]</f>
        <v>3303</v>
      </c>
      <c r="M7" s="132">
        <f>Table25234678910111012131214[[#This Row],[Odidi Target (bopd)]]-Table25234678910111012131214[[#This Row],[Odidi prod (bopd)]]</f>
        <v>4615</v>
      </c>
      <c r="N7" s="132">
        <f>Table25234678910111012131214[[#This Row],[Batan Target (bopd)]]-Table25234678910111012131214[[#This Row],[Batan Daily Prod (bopd)]]</f>
        <v>6299.4</v>
      </c>
      <c r="O7" s="133">
        <f>Table25234678910111012131214[[#This Row],[Egwa Target (bopd)]]-Table25234678910111012131214[[#This Row],[Egwa Prod (bopd)]]</f>
        <v>4270</v>
      </c>
      <c r="P7" s="131"/>
      <c r="Q7" s="132"/>
      <c r="R7" s="132"/>
      <c r="S7" s="133"/>
      <c r="T7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7" s="142"/>
      <c r="W7" s="145" t="s">
        <v>19</v>
      </c>
      <c r="X7" s="272">
        <v>14.99</v>
      </c>
      <c r="Y7" s="268">
        <v>13.494999999999999</v>
      </c>
      <c r="Z7" s="267">
        <v>14.996</v>
      </c>
      <c r="AA7" s="268">
        <v>14.935</v>
      </c>
      <c r="AB7" s="267">
        <v>14.081</v>
      </c>
      <c r="AC7" s="270">
        <v>15.525</v>
      </c>
      <c r="AE7" s="297"/>
      <c r="AF7" s="454"/>
      <c r="AG7" s="454"/>
      <c r="AH7" s="454"/>
      <c r="AI7" s="454"/>
      <c r="AJ7" s="454"/>
      <c r="AK7" s="454"/>
      <c r="AL7" s="454"/>
    </row>
    <row r="8" spans="2:38" ht="21.6">
      <c r="B8" s="130">
        <v>44320</v>
      </c>
      <c r="C8" s="135">
        <v>22550</v>
      </c>
      <c r="D8" s="136">
        <v>14890</v>
      </c>
      <c r="E8" s="131">
        <v>9500</v>
      </c>
      <c r="F8" s="135">
        <v>4270</v>
      </c>
      <c r="G8" s="137">
        <v>18504</v>
      </c>
      <c r="H8" s="137">
        <v>9639</v>
      </c>
      <c r="I8" s="137">
        <v>2844</v>
      </c>
      <c r="J8" s="132">
        <v>0</v>
      </c>
      <c r="K8" s="276">
        <f t="shared" si="0"/>
        <v>30987</v>
      </c>
      <c r="L8" s="131">
        <f>Table25234678910111012131214[[#This Row],[Jones Creek Target (bopd)]]-Table25234678910111012131214[[#This Row],[Jones Creek Prod (bopd)]]</f>
        <v>4046</v>
      </c>
      <c r="M8" s="132">
        <f>Table25234678910111012131214[[#This Row],[Odidi Target (bopd)]]-Table25234678910111012131214[[#This Row],[Odidi prod (bopd)]]</f>
        <v>5251</v>
      </c>
      <c r="N8" s="132">
        <f>Table25234678910111012131214[[#This Row],[Batan Target (bopd)]]-Table25234678910111012131214[[#This Row],[Batan Daily Prod (bopd)]]</f>
        <v>6656</v>
      </c>
      <c r="O8" s="133">
        <f>Table25234678910111012131214[[#This Row],[Egwa Target (bopd)]]-Table25234678910111012131214[[#This Row],[Egwa Prod (bopd)]]</f>
        <v>4270</v>
      </c>
      <c r="P8" s="131"/>
      <c r="Q8" s="132"/>
      <c r="R8" s="132"/>
      <c r="S8" s="133"/>
      <c r="T8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8" s="142"/>
      <c r="W8" s="145" t="s">
        <v>16</v>
      </c>
      <c r="X8" s="272">
        <v>9.2200000000000006</v>
      </c>
      <c r="Y8" s="268">
        <v>0</v>
      </c>
      <c r="Z8" s="267">
        <v>0</v>
      </c>
      <c r="AA8" s="268">
        <v>0</v>
      </c>
      <c r="AB8" s="269">
        <v>0</v>
      </c>
      <c r="AC8" s="268">
        <v>0</v>
      </c>
      <c r="AE8" s="298"/>
      <c r="AF8" s="452"/>
      <c r="AG8" s="452"/>
      <c r="AH8" s="452"/>
      <c r="AI8" s="452"/>
      <c r="AJ8" s="452"/>
      <c r="AK8" s="452"/>
      <c r="AL8" s="452"/>
    </row>
    <row r="9" spans="2:38" ht="21.6">
      <c r="B9" s="130">
        <v>44321</v>
      </c>
      <c r="C9" s="135">
        <v>22550</v>
      </c>
      <c r="D9" s="136">
        <v>14890</v>
      </c>
      <c r="E9" s="131">
        <v>9500</v>
      </c>
      <c r="F9" s="135">
        <v>4270</v>
      </c>
      <c r="G9" s="137">
        <v>18802</v>
      </c>
      <c r="H9" s="137">
        <v>9447</v>
      </c>
      <c r="I9" s="137">
        <v>1880</v>
      </c>
      <c r="J9" s="137">
        <v>0</v>
      </c>
      <c r="K9" s="276">
        <f t="shared" si="0"/>
        <v>30129</v>
      </c>
      <c r="L9" s="131">
        <f>Table25234678910111012131214[[#This Row],[Jones Creek Target (bopd)]]-Table25234678910111012131214[[#This Row],[Jones Creek Prod (bopd)]]</f>
        <v>3748</v>
      </c>
      <c r="M9" s="132">
        <f>Table25234678910111012131214[[#This Row],[Odidi Target (bopd)]]-Table25234678910111012131214[[#This Row],[Odidi prod (bopd)]]</f>
        <v>5443</v>
      </c>
      <c r="N9" s="132">
        <f>Table25234678910111012131214[[#This Row],[Batan Target (bopd)]]-Table25234678910111012131214[[#This Row],[Batan Daily Prod (bopd)]]</f>
        <v>7620</v>
      </c>
      <c r="O9" s="133">
        <f>Table25234678910111012131214[[#This Row],[Egwa Target (bopd)]]-Table25234678910111012131214[[#This Row],[Egwa Prod (bopd)]]</f>
        <v>4270</v>
      </c>
      <c r="P9" s="131"/>
      <c r="Q9" s="132"/>
      <c r="R9" s="132"/>
      <c r="S9" s="133"/>
      <c r="T9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9" s="142"/>
      <c r="W9" s="145" t="s">
        <v>18</v>
      </c>
      <c r="X9" s="273">
        <v>4.1399999999999997</v>
      </c>
      <c r="Y9" s="270">
        <v>1.7629999999999999</v>
      </c>
      <c r="Z9" s="269">
        <v>1.7390000000000001</v>
      </c>
      <c r="AA9" s="270">
        <v>1.393</v>
      </c>
      <c r="AB9" s="269">
        <v>1.633</v>
      </c>
      <c r="AC9" s="270">
        <v>2.5510000000000002</v>
      </c>
      <c r="AF9" s="454"/>
      <c r="AG9" s="454"/>
      <c r="AH9" s="454"/>
      <c r="AI9" s="454"/>
      <c r="AJ9" s="454"/>
      <c r="AK9" s="454"/>
      <c r="AL9" s="454"/>
    </row>
    <row r="10" spans="2:38" ht="21.6">
      <c r="B10" s="130">
        <v>44322</v>
      </c>
      <c r="C10" s="135">
        <v>22550</v>
      </c>
      <c r="D10" s="136">
        <v>14890</v>
      </c>
      <c r="E10" s="131">
        <v>9500</v>
      </c>
      <c r="F10" s="135">
        <v>4270</v>
      </c>
      <c r="G10" s="137">
        <v>19498</v>
      </c>
      <c r="H10" s="137">
        <v>9328</v>
      </c>
      <c r="I10" s="137">
        <v>1313</v>
      </c>
      <c r="J10" s="132">
        <v>0</v>
      </c>
      <c r="K10" s="276">
        <f t="shared" si="0"/>
        <v>30139</v>
      </c>
      <c r="L10" s="131">
        <f>Table25234678910111012131214[[#This Row],[Jones Creek Target (bopd)]]-Table25234678910111012131214[[#This Row],[Jones Creek Prod (bopd)]]</f>
        <v>3052</v>
      </c>
      <c r="M10" s="132">
        <f>Table25234678910111012131214[[#This Row],[Odidi Target (bopd)]]-Table25234678910111012131214[[#This Row],[Odidi prod (bopd)]]</f>
        <v>5562</v>
      </c>
      <c r="N10" s="132">
        <f>Table25234678910111012131214[[#This Row],[Batan Target (bopd)]]-Table25234678910111012131214[[#This Row],[Batan Daily Prod (bopd)]]</f>
        <v>8187</v>
      </c>
      <c r="O10" s="133">
        <f>Table25234678910111012131214[[#This Row],[Egwa Target (bopd)]]-Table25234678910111012131214[[#This Row],[Egwa Prod (bopd)]]</f>
        <v>4270</v>
      </c>
      <c r="P10" s="131"/>
      <c r="Q10" s="132"/>
      <c r="R10" s="132"/>
      <c r="S10" s="133"/>
      <c r="T10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0" s="142"/>
      <c r="AC10" s="670"/>
      <c r="AF10" s="453"/>
      <c r="AG10" s="453"/>
      <c r="AH10" s="453"/>
      <c r="AI10" s="453"/>
      <c r="AJ10" s="452"/>
      <c r="AK10" s="453"/>
      <c r="AL10" s="452"/>
    </row>
    <row r="11" spans="2:38" ht="21.6">
      <c r="B11" s="130">
        <v>44323</v>
      </c>
      <c r="C11" s="135">
        <v>22550</v>
      </c>
      <c r="D11" s="136">
        <v>14890</v>
      </c>
      <c r="E11" s="131">
        <v>9500</v>
      </c>
      <c r="F11" s="135">
        <v>4270</v>
      </c>
      <c r="G11" s="137">
        <v>19215</v>
      </c>
      <c r="H11" s="137">
        <v>8814</v>
      </c>
      <c r="I11" s="137">
        <v>1313</v>
      </c>
      <c r="J11" s="137">
        <v>0</v>
      </c>
      <c r="K11" s="276">
        <f t="shared" si="0"/>
        <v>29342</v>
      </c>
      <c r="L11" s="131">
        <f>Table25234678910111012131214[[#This Row],[Jones Creek Target (bopd)]]-Table25234678910111012131214[[#This Row],[Jones Creek Prod (bopd)]]</f>
        <v>3335</v>
      </c>
      <c r="M11" s="132">
        <f>Table25234678910111012131214[[#This Row],[Odidi Target (bopd)]]-Table25234678910111012131214[[#This Row],[Odidi prod (bopd)]]</f>
        <v>6076</v>
      </c>
      <c r="N11" s="132">
        <f>Table25234678910111012131214[[#This Row],[Batan Target (bopd)]]-Table25234678910111012131214[[#This Row],[Batan Daily Prod (bopd)]]</f>
        <v>8187</v>
      </c>
      <c r="O11" s="133">
        <f>Table25234678910111012131214[[#This Row],[Egwa Target (bopd)]]-Table25234678910111012131214[[#This Row],[Egwa Prod (bopd)]]</f>
        <v>4270</v>
      </c>
      <c r="P11" s="131"/>
      <c r="Q11" s="132"/>
      <c r="R11" s="132"/>
      <c r="S11" s="133"/>
      <c r="T11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1" s="142"/>
    </row>
    <row r="12" spans="2:38" ht="21.6">
      <c r="B12" s="130">
        <v>44324</v>
      </c>
      <c r="C12" s="135">
        <v>22550</v>
      </c>
      <c r="D12" s="136">
        <v>14890</v>
      </c>
      <c r="E12" s="131">
        <v>9500</v>
      </c>
      <c r="F12" s="135">
        <v>4270</v>
      </c>
      <c r="G12" s="132">
        <v>18124</v>
      </c>
      <c r="H12" s="137">
        <v>10256</v>
      </c>
      <c r="I12" s="137">
        <v>1460</v>
      </c>
      <c r="J12" s="132">
        <v>0</v>
      </c>
      <c r="K12" s="276">
        <f t="shared" si="0"/>
        <v>29840</v>
      </c>
      <c r="L12" s="131">
        <f>Table25234678910111012131214[[#This Row],[Jones Creek Target (bopd)]]-Table25234678910111012131214[[#This Row],[Jones Creek Prod (bopd)]]</f>
        <v>4426</v>
      </c>
      <c r="M12" s="132">
        <f>Table25234678910111012131214[[#This Row],[Odidi Target (bopd)]]-Table25234678910111012131214[[#This Row],[Odidi prod (bopd)]]</f>
        <v>4634</v>
      </c>
      <c r="N12" s="132">
        <f>Table25234678910111012131214[[#This Row],[Batan Target (bopd)]]-Table25234678910111012131214[[#This Row],[Batan Daily Prod (bopd)]]</f>
        <v>8040</v>
      </c>
      <c r="O12" s="133">
        <f>Table25234678910111012131214[[#This Row],[Egwa Target (bopd)]]-Table25234678910111012131214[[#This Row],[Egwa Prod (bopd)]]</f>
        <v>4270</v>
      </c>
      <c r="P12" s="131"/>
      <c r="Q12" s="132"/>
      <c r="R12" s="132"/>
      <c r="S12" s="133"/>
      <c r="T12" s="974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2" s="975"/>
      <c r="V12" s="42"/>
    </row>
    <row r="13" spans="2:38" ht="21.6">
      <c r="B13" s="130">
        <v>44325</v>
      </c>
      <c r="C13" s="135">
        <v>22550</v>
      </c>
      <c r="D13" s="136">
        <v>14890</v>
      </c>
      <c r="E13" s="131">
        <v>9500</v>
      </c>
      <c r="F13" s="135">
        <v>4270</v>
      </c>
      <c r="G13" s="132">
        <v>17772</v>
      </c>
      <c r="H13" s="137">
        <v>9778</v>
      </c>
      <c r="I13" s="132">
        <v>1251</v>
      </c>
      <c r="J13" s="132">
        <v>0</v>
      </c>
      <c r="K13" s="276">
        <f t="shared" si="0"/>
        <v>28801</v>
      </c>
      <c r="L13" s="131">
        <f>Table25234678910111012131214[[#This Row],[Jones Creek Target (bopd)]]-Table25234678910111012131214[[#This Row],[Jones Creek Prod (bopd)]]</f>
        <v>4778</v>
      </c>
      <c r="M13" s="132">
        <f>Table25234678910111012131214[[#This Row],[Odidi Target (bopd)]]-Table25234678910111012131214[[#This Row],[Odidi prod (bopd)]]</f>
        <v>5112</v>
      </c>
      <c r="N13" s="132">
        <f>Table25234678910111012131214[[#This Row],[Batan Target (bopd)]]-Table25234678910111012131214[[#This Row],[Batan Daily Prod (bopd)]]</f>
        <v>8249</v>
      </c>
      <c r="O13" s="133">
        <f>Table25234678910111012131214[[#This Row],[Egwa Target (bopd)]]-Table25234678910111012131214[[#This Row],[Egwa Prod (bopd)]]</f>
        <v>4270</v>
      </c>
      <c r="P13" s="131"/>
      <c r="Q13" s="132"/>
      <c r="R13" s="132"/>
      <c r="S13" s="133"/>
      <c r="T13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3" s="142"/>
    </row>
    <row r="14" spans="2:38" ht="21.6">
      <c r="B14" s="130">
        <v>44326</v>
      </c>
      <c r="C14" s="135">
        <v>22550</v>
      </c>
      <c r="D14" s="136">
        <v>14890</v>
      </c>
      <c r="E14" s="131">
        <v>9500</v>
      </c>
      <c r="F14" s="135">
        <v>4270</v>
      </c>
      <c r="G14" s="132">
        <v>18726</v>
      </c>
      <c r="H14" s="137">
        <v>6025</v>
      </c>
      <c r="I14" s="132">
        <v>1742</v>
      </c>
      <c r="J14" s="132">
        <v>0</v>
      </c>
      <c r="K14" s="276">
        <f t="shared" si="0"/>
        <v>26493</v>
      </c>
      <c r="L14" s="131">
        <f>Table25234678910111012131214[[#This Row],[Jones Creek Target (bopd)]]-Table25234678910111012131214[[#This Row],[Jones Creek Prod (bopd)]]</f>
        <v>3824</v>
      </c>
      <c r="M14" s="132">
        <f>Table25234678910111012131214[[#This Row],[Odidi Target (bopd)]]-Table25234678910111012131214[[#This Row],[Odidi prod (bopd)]]</f>
        <v>8865</v>
      </c>
      <c r="N14" s="132">
        <f>Table25234678910111012131214[[#This Row],[Batan Target (bopd)]]-Table25234678910111012131214[[#This Row],[Batan Daily Prod (bopd)]]</f>
        <v>7758</v>
      </c>
      <c r="O14" s="133">
        <f>Table25234678910111012131214[[#This Row],[Egwa Target (bopd)]]-Table25234678910111012131214[[#This Row],[Egwa Prod (bopd)]]</f>
        <v>4270</v>
      </c>
      <c r="P14" s="131"/>
      <c r="Q14" s="132"/>
      <c r="R14" s="132"/>
      <c r="S14" s="133"/>
      <c r="T14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4" s="142"/>
    </row>
    <row r="15" spans="2:38" ht="21.6">
      <c r="B15" s="130">
        <v>44327</v>
      </c>
      <c r="C15" s="135">
        <v>22550</v>
      </c>
      <c r="D15" s="136">
        <v>14890</v>
      </c>
      <c r="E15" s="131">
        <v>9500</v>
      </c>
      <c r="F15" s="135">
        <v>4270</v>
      </c>
      <c r="G15" s="137">
        <v>19046</v>
      </c>
      <c r="H15" s="132">
        <v>0</v>
      </c>
      <c r="I15" s="137">
        <v>1818</v>
      </c>
      <c r="J15" s="132">
        <v>0</v>
      </c>
      <c r="K15" s="276">
        <f t="shared" si="0"/>
        <v>20864</v>
      </c>
      <c r="L15" s="131">
        <f>Table25234678910111012131214[[#This Row],[Jones Creek Target (bopd)]]-Table25234678910111012131214[[#This Row],[Jones Creek Prod (bopd)]]</f>
        <v>3504</v>
      </c>
      <c r="M15" s="132">
        <f>Table25234678910111012131214[[#This Row],[Odidi Target (bopd)]]-Table25234678910111012131214[[#This Row],[Odidi prod (bopd)]]</f>
        <v>14890</v>
      </c>
      <c r="N15" s="132">
        <f>Table25234678910111012131214[[#This Row],[Batan Target (bopd)]]-Table25234678910111012131214[[#This Row],[Batan Daily Prod (bopd)]]</f>
        <v>7682</v>
      </c>
      <c r="O15" s="133">
        <f>Table25234678910111012131214[[#This Row],[Egwa Target (bopd)]]-Table25234678910111012131214[[#This Row],[Egwa Prod (bopd)]]</f>
        <v>4270</v>
      </c>
      <c r="P15" s="131"/>
      <c r="Q15" s="132"/>
      <c r="R15" s="132"/>
      <c r="S15" s="133"/>
      <c r="T15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5" s="142"/>
    </row>
    <row r="16" spans="2:38" ht="21.6">
      <c r="B16" s="130">
        <v>44328</v>
      </c>
      <c r="C16" s="135">
        <v>22550</v>
      </c>
      <c r="D16" s="136">
        <v>14890</v>
      </c>
      <c r="E16" s="131">
        <v>9500</v>
      </c>
      <c r="F16" s="135">
        <v>4270</v>
      </c>
      <c r="G16" s="137">
        <v>18730</v>
      </c>
      <c r="H16" s="137">
        <v>6962</v>
      </c>
      <c r="I16" s="577">
        <v>3579</v>
      </c>
      <c r="J16" s="132">
        <v>0</v>
      </c>
      <c r="K16" s="276">
        <f t="shared" si="0"/>
        <v>29271</v>
      </c>
      <c r="L16" s="131">
        <f>Table25234678910111012131214[[#This Row],[Jones Creek Target (bopd)]]-Table25234678910111012131214[[#This Row],[Jones Creek Prod (bopd)]]</f>
        <v>3820</v>
      </c>
      <c r="M16" s="132">
        <f>Table25234678910111012131214[[#This Row],[Odidi Target (bopd)]]-Table25234678910111012131214[[#This Row],[Odidi prod (bopd)]]</f>
        <v>7928</v>
      </c>
      <c r="N16" s="132">
        <f>Table25234678910111012131214[[#This Row],[Batan Target (bopd)]]-Table25234678910111012131214[[#This Row],[Batan Daily Prod (bopd)]]</f>
        <v>5921</v>
      </c>
      <c r="O16" s="133">
        <f>Table25234678910111012131214[[#This Row],[Egwa Target (bopd)]]-Table25234678910111012131214[[#This Row],[Egwa Prod (bopd)]]</f>
        <v>4270</v>
      </c>
      <c r="P16" s="131"/>
      <c r="Q16" s="132"/>
      <c r="R16" s="132"/>
      <c r="S16" s="133"/>
      <c r="T16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6" s="142"/>
    </row>
    <row r="17" spans="2:21" ht="21.6">
      <c r="B17" s="130">
        <v>44329</v>
      </c>
      <c r="C17" s="135">
        <v>22550</v>
      </c>
      <c r="D17" s="136">
        <v>14890</v>
      </c>
      <c r="E17" s="131">
        <v>9500</v>
      </c>
      <c r="F17" s="135">
        <v>4270</v>
      </c>
      <c r="G17" s="137">
        <v>13784</v>
      </c>
      <c r="H17" s="137">
        <v>6978</v>
      </c>
      <c r="I17" s="577">
        <v>2924</v>
      </c>
      <c r="J17" s="132">
        <v>0</v>
      </c>
      <c r="K17" s="276">
        <f t="shared" si="0"/>
        <v>23686</v>
      </c>
      <c r="L17" s="131">
        <f>Table25234678910111012131214[[#This Row],[Jones Creek Target (bopd)]]-Table25234678910111012131214[[#This Row],[Jones Creek Prod (bopd)]]</f>
        <v>8766</v>
      </c>
      <c r="M17" s="132">
        <f>Table25234678910111012131214[[#This Row],[Odidi Target (bopd)]]-Table25234678910111012131214[[#This Row],[Odidi prod (bopd)]]</f>
        <v>7912</v>
      </c>
      <c r="N17" s="132">
        <f>Table25234678910111012131214[[#This Row],[Batan Target (bopd)]]-Table25234678910111012131214[[#This Row],[Batan Daily Prod (bopd)]]</f>
        <v>6576</v>
      </c>
      <c r="O17" s="133">
        <f>Table25234678910111012131214[[#This Row],[Egwa Target (bopd)]]-Table25234678910111012131214[[#This Row],[Egwa Prod (bopd)]]</f>
        <v>4270</v>
      </c>
      <c r="P17" s="131"/>
      <c r="Q17" s="132"/>
      <c r="R17" s="132"/>
      <c r="S17" s="133"/>
      <c r="T17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7" s="142"/>
    </row>
    <row r="18" spans="2:21" ht="21.6">
      <c r="B18" s="130">
        <v>44330</v>
      </c>
      <c r="C18" s="135">
        <v>22550</v>
      </c>
      <c r="D18" s="136">
        <v>14890</v>
      </c>
      <c r="E18" s="131">
        <v>9500</v>
      </c>
      <c r="F18" s="135">
        <v>4270</v>
      </c>
      <c r="G18" s="137">
        <v>10948</v>
      </c>
      <c r="H18" s="137">
        <v>7829</v>
      </c>
      <c r="I18" s="577">
        <v>3341.6</v>
      </c>
      <c r="J18" s="132">
        <v>0</v>
      </c>
      <c r="K18" s="276">
        <f t="shared" si="0"/>
        <v>22118.6</v>
      </c>
      <c r="L18" s="131">
        <f>Table25234678910111012131214[[#This Row],[Jones Creek Target (bopd)]]-Table25234678910111012131214[[#This Row],[Jones Creek Prod (bopd)]]</f>
        <v>11602</v>
      </c>
      <c r="M18" s="132">
        <f>Table25234678910111012131214[[#This Row],[Odidi Target (bopd)]]-Table25234678910111012131214[[#This Row],[Odidi prod (bopd)]]</f>
        <v>7061</v>
      </c>
      <c r="N18" s="132">
        <f>Table25234678910111012131214[[#This Row],[Batan Target (bopd)]]-Table25234678910111012131214[[#This Row],[Batan Daily Prod (bopd)]]</f>
        <v>6158.4</v>
      </c>
      <c r="O18" s="133">
        <f>Table25234678910111012131214[[#This Row],[Egwa Target (bopd)]]-Table25234678910111012131214[[#This Row],[Egwa Prod (bopd)]]</f>
        <v>4270</v>
      </c>
      <c r="P18" s="131"/>
      <c r="Q18" s="132"/>
      <c r="R18" s="132"/>
      <c r="S18" s="133"/>
      <c r="T18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8" s="142"/>
    </row>
    <row r="19" spans="2:21" ht="21.6">
      <c r="B19" s="130">
        <v>44331</v>
      </c>
      <c r="C19" s="135">
        <v>22550</v>
      </c>
      <c r="D19" s="136">
        <v>14890</v>
      </c>
      <c r="E19" s="131">
        <v>9500</v>
      </c>
      <c r="F19" s="135">
        <v>4270</v>
      </c>
      <c r="G19" s="137">
        <v>10194</v>
      </c>
      <c r="H19" s="137">
        <v>7256</v>
      </c>
      <c r="I19" s="577">
        <v>2303.5</v>
      </c>
      <c r="J19" s="132">
        <v>0</v>
      </c>
      <c r="K19" s="276">
        <f t="shared" si="0"/>
        <v>19753.5</v>
      </c>
      <c r="L19" s="131">
        <f>Table25234678910111012131214[[#This Row],[Jones Creek Target (bopd)]]-Table25234678910111012131214[[#This Row],[Jones Creek Prod (bopd)]]</f>
        <v>12356</v>
      </c>
      <c r="M19" s="132">
        <f>Table25234678910111012131214[[#This Row],[Odidi Target (bopd)]]-Table25234678910111012131214[[#This Row],[Odidi prod (bopd)]]</f>
        <v>7634</v>
      </c>
      <c r="N19" s="132">
        <f>Table25234678910111012131214[[#This Row],[Batan Target (bopd)]]-Table25234678910111012131214[[#This Row],[Batan Daily Prod (bopd)]]</f>
        <v>7196.5</v>
      </c>
      <c r="O19" s="133">
        <f>Table25234678910111012131214[[#This Row],[Egwa Target (bopd)]]-Table25234678910111012131214[[#This Row],[Egwa Prod (bopd)]]</f>
        <v>4270</v>
      </c>
      <c r="P19" s="131"/>
      <c r="Q19" s="132"/>
      <c r="R19" s="132"/>
      <c r="S19" s="133"/>
      <c r="T19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19" s="142"/>
    </row>
    <row r="20" spans="2:21" ht="21.6">
      <c r="B20" s="130">
        <v>44332</v>
      </c>
      <c r="C20" s="135">
        <v>22550</v>
      </c>
      <c r="D20" s="136">
        <v>14890</v>
      </c>
      <c r="E20" s="131">
        <v>9500</v>
      </c>
      <c r="F20" s="135">
        <v>4270</v>
      </c>
      <c r="G20" s="137">
        <v>7110</v>
      </c>
      <c r="H20" s="137">
        <v>4243</v>
      </c>
      <c r="I20" s="577">
        <v>2893.3</v>
      </c>
      <c r="J20" s="137">
        <v>0</v>
      </c>
      <c r="K20" s="276">
        <f t="shared" si="0"/>
        <v>14246.3</v>
      </c>
      <c r="L20" s="131">
        <f>Table25234678910111012131214[[#This Row],[Jones Creek Target (bopd)]]-Table25234678910111012131214[[#This Row],[Jones Creek Prod (bopd)]]</f>
        <v>15440</v>
      </c>
      <c r="M20" s="132">
        <f>Table25234678910111012131214[[#This Row],[Odidi Target (bopd)]]-Table25234678910111012131214[[#This Row],[Odidi prod (bopd)]]</f>
        <v>10647</v>
      </c>
      <c r="N20" s="132">
        <f>Table25234678910111012131214[[#This Row],[Batan Target (bopd)]]-Table25234678910111012131214[[#This Row],[Batan Daily Prod (bopd)]]</f>
        <v>6606.7</v>
      </c>
      <c r="O20" s="133">
        <f>Table25234678910111012131214[[#This Row],[Egwa Target (bopd)]]-Table25234678910111012131214[[#This Row],[Egwa Prod (bopd)]]</f>
        <v>4270</v>
      </c>
      <c r="P20" s="131"/>
      <c r="Q20" s="132"/>
      <c r="R20" s="132"/>
      <c r="S20" s="133"/>
      <c r="T20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0" s="142"/>
    </row>
    <row r="21" spans="2:21" ht="21.6">
      <c r="B21" s="130">
        <v>44333</v>
      </c>
      <c r="C21" s="135">
        <v>22550</v>
      </c>
      <c r="D21" s="136">
        <v>14890</v>
      </c>
      <c r="E21" s="131">
        <v>9500</v>
      </c>
      <c r="F21" s="135">
        <v>4270</v>
      </c>
      <c r="G21" s="137">
        <v>4769</v>
      </c>
      <c r="H21" s="137">
        <v>1304</v>
      </c>
      <c r="I21" s="577">
        <v>2637</v>
      </c>
      <c r="J21" s="132">
        <v>0</v>
      </c>
      <c r="K21" s="276">
        <f t="shared" si="0"/>
        <v>8710</v>
      </c>
      <c r="L21" s="131">
        <f>Table25234678910111012131214[[#This Row],[Jones Creek Target (bopd)]]-Table25234678910111012131214[[#This Row],[Jones Creek Prod (bopd)]]</f>
        <v>17781</v>
      </c>
      <c r="M21" s="132">
        <f>Table25234678910111012131214[[#This Row],[Odidi Target (bopd)]]-Table25234678910111012131214[[#This Row],[Odidi prod (bopd)]]</f>
        <v>13586</v>
      </c>
      <c r="N21" s="132">
        <f>Table25234678910111012131214[[#This Row],[Batan Target (bopd)]]-Table25234678910111012131214[[#This Row],[Batan Daily Prod (bopd)]]</f>
        <v>6863</v>
      </c>
      <c r="O21" s="133">
        <f>Table25234678910111012131214[[#This Row],[Egwa Target (bopd)]]-Table25234678910111012131214[[#This Row],[Egwa Prod (bopd)]]</f>
        <v>4270</v>
      </c>
      <c r="P21" s="131"/>
      <c r="Q21" s="132"/>
      <c r="R21" s="132"/>
      <c r="S21" s="133"/>
      <c r="T21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1" s="142"/>
    </row>
    <row r="22" spans="2:21" ht="21.6">
      <c r="B22" s="130">
        <v>44334</v>
      </c>
      <c r="C22" s="135">
        <v>22550</v>
      </c>
      <c r="D22" s="136">
        <v>14890</v>
      </c>
      <c r="E22" s="131">
        <v>9500</v>
      </c>
      <c r="F22" s="135">
        <v>4270</v>
      </c>
      <c r="G22" s="137">
        <v>3326</v>
      </c>
      <c r="H22" s="137">
        <v>1144</v>
      </c>
      <c r="I22" s="137">
        <v>2826</v>
      </c>
      <c r="J22" s="137">
        <v>0</v>
      </c>
      <c r="K22" s="276">
        <f t="shared" si="0"/>
        <v>7296</v>
      </c>
      <c r="L22" s="131">
        <f>Table25234678910111012131214[[#This Row],[Jones Creek Target (bopd)]]-Table25234678910111012131214[[#This Row],[Jones Creek Prod (bopd)]]</f>
        <v>19224</v>
      </c>
      <c r="M22" s="132">
        <f>Table25234678910111012131214[[#This Row],[Odidi Target (bopd)]]-Table25234678910111012131214[[#This Row],[Odidi prod (bopd)]]</f>
        <v>13746</v>
      </c>
      <c r="N22" s="132">
        <f>Table25234678910111012131214[[#This Row],[Batan Target (bopd)]]-Table25234678910111012131214[[#This Row],[Batan Daily Prod (bopd)]]</f>
        <v>6674</v>
      </c>
      <c r="O22" s="133">
        <f>Table25234678910111012131214[[#This Row],[Egwa Target (bopd)]]-Table25234678910111012131214[[#This Row],[Egwa Prod (bopd)]]</f>
        <v>4270</v>
      </c>
      <c r="P22" s="131"/>
      <c r="Q22" s="132"/>
      <c r="R22" s="132"/>
      <c r="S22" s="133"/>
      <c r="T22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2" s="142"/>
    </row>
    <row r="23" spans="2:21" ht="21.6">
      <c r="B23" s="130">
        <v>44335</v>
      </c>
      <c r="C23" s="135">
        <v>22550</v>
      </c>
      <c r="D23" s="136">
        <v>14890</v>
      </c>
      <c r="E23" s="131">
        <v>9500</v>
      </c>
      <c r="F23" s="135">
        <v>4270</v>
      </c>
      <c r="G23" s="137">
        <v>827</v>
      </c>
      <c r="H23" s="137">
        <v>391</v>
      </c>
      <c r="I23" s="137">
        <v>2323.1</v>
      </c>
      <c r="J23" s="137">
        <v>0</v>
      </c>
      <c r="K23" s="276">
        <f t="shared" si="0"/>
        <v>3541.1</v>
      </c>
      <c r="L23" s="131">
        <f>Table25234678910111012131214[[#This Row],[Jones Creek Target (bopd)]]-Table25234678910111012131214[[#This Row],[Jones Creek Prod (bopd)]]</f>
        <v>21723</v>
      </c>
      <c r="M23" s="132">
        <f>Table25234678910111012131214[[#This Row],[Odidi Target (bopd)]]-Table25234678910111012131214[[#This Row],[Odidi prod (bopd)]]</f>
        <v>14499</v>
      </c>
      <c r="N23" s="132">
        <f>Table25234678910111012131214[[#This Row],[Batan Target (bopd)]]-Table25234678910111012131214[[#This Row],[Batan Daily Prod (bopd)]]</f>
        <v>7176.9</v>
      </c>
      <c r="O23" s="133">
        <f>Table25234678910111012131214[[#This Row],[Egwa Target (bopd)]]-Table25234678910111012131214[[#This Row],[Egwa Prod (bopd)]]</f>
        <v>4270</v>
      </c>
      <c r="P23" s="131"/>
      <c r="Q23" s="132"/>
      <c r="R23" s="132"/>
      <c r="S23" s="133"/>
      <c r="T23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3" s="142"/>
    </row>
    <row r="24" spans="2:21" ht="21.6">
      <c r="B24" s="130">
        <v>44336</v>
      </c>
      <c r="C24" s="135">
        <v>22550</v>
      </c>
      <c r="D24" s="136">
        <v>14890</v>
      </c>
      <c r="E24" s="131">
        <v>9500</v>
      </c>
      <c r="F24" s="135">
        <v>4270</v>
      </c>
      <c r="G24" s="132">
        <v>0</v>
      </c>
      <c r="H24" s="132">
        <v>0</v>
      </c>
      <c r="I24" s="137">
        <v>1764.2</v>
      </c>
      <c r="J24" s="137">
        <v>0</v>
      </c>
      <c r="K24" s="276">
        <f t="shared" si="0"/>
        <v>1764.2</v>
      </c>
      <c r="L24" s="131">
        <f>Table25234678910111012131214[[#This Row],[Jones Creek Target (bopd)]]-Table25234678910111012131214[[#This Row],[Jones Creek Prod (bopd)]]</f>
        <v>22550</v>
      </c>
      <c r="M24" s="132">
        <f>Table25234678910111012131214[[#This Row],[Odidi Target (bopd)]]-Table25234678910111012131214[[#This Row],[Odidi prod (bopd)]]</f>
        <v>14890</v>
      </c>
      <c r="N24" s="132">
        <f>Table25234678910111012131214[[#This Row],[Batan Target (bopd)]]-Table25234678910111012131214[[#This Row],[Batan Daily Prod (bopd)]]</f>
        <v>7735.8</v>
      </c>
      <c r="O24" s="133">
        <f>Table25234678910111012131214[[#This Row],[Egwa Target (bopd)]]-Table25234678910111012131214[[#This Row],[Egwa Prod (bopd)]]</f>
        <v>4270</v>
      </c>
      <c r="P24" s="131"/>
      <c r="Q24" s="132"/>
      <c r="R24" s="132"/>
      <c r="S24" s="133"/>
      <c r="T24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4" s="142"/>
    </row>
    <row r="25" spans="2:21" ht="21.6">
      <c r="B25" s="130">
        <v>44337</v>
      </c>
      <c r="C25" s="135">
        <v>22550</v>
      </c>
      <c r="D25" s="136">
        <v>14890</v>
      </c>
      <c r="E25" s="131">
        <v>9500</v>
      </c>
      <c r="F25" s="135">
        <v>4270</v>
      </c>
      <c r="G25" s="132">
        <v>0</v>
      </c>
      <c r="H25" s="132">
        <v>0</v>
      </c>
      <c r="I25" s="137">
        <v>1772.4</v>
      </c>
      <c r="J25" s="137">
        <v>0</v>
      </c>
      <c r="K25" s="276">
        <f t="shared" si="0"/>
        <v>1772.4</v>
      </c>
      <c r="L25" s="131">
        <f>Table25234678910111012131214[[#This Row],[Jones Creek Target (bopd)]]-Table25234678910111012131214[[#This Row],[Jones Creek Prod (bopd)]]</f>
        <v>22550</v>
      </c>
      <c r="M25" s="132">
        <f>Table25234678910111012131214[[#This Row],[Odidi Target (bopd)]]-Table25234678910111012131214[[#This Row],[Odidi prod (bopd)]]</f>
        <v>14890</v>
      </c>
      <c r="N25" s="132">
        <f>Table25234678910111012131214[[#This Row],[Batan Target (bopd)]]-Table25234678910111012131214[[#This Row],[Batan Daily Prod (bopd)]]</f>
        <v>7727.6</v>
      </c>
      <c r="O25" s="133">
        <f>Table25234678910111012131214[[#This Row],[Egwa Target (bopd)]]-Table25234678910111012131214[[#This Row],[Egwa Prod (bopd)]]</f>
        <v>4270</v>
      </c>
      <c r="P25" s="131"/>
      <c r="Q25" s="132"/>
      <c r="R25" s="132"/>
      <c r="S25" s="133"/>
      <c r="T25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5" s="142"/>
    </row>
    <row r="26" spans="2:21" ht="21.6">
      <c r="B26" s="130">
        <v>44338</v>
      </c>
      <c r="C26" s="135">
        <v>22550</v>
      </c>
      <c r="D26" s="136">
        <v>14890</v>
      </c>
      <c r="E26" s="131">
        <v>9500</v>
      </c>
      <c r="F26" s="135">
        <v>4270</v>
      </c>
      <c r="G26" s="137">
        <v>0</v>
      </c>
      <c r="H26" s="137">
        <v>0</v>
      </c>
      <c r="I26" s="137">
        <v>1847.1</v>
      </c>
      <c r="J26" s="132">
        <v>0</v>
      </c>
      <c r="K26" s="276">
        <f t="shared" si="0"/>
        <v>1847.1</v>
      </c>
      <c r="L26" s="131">
        <f>Table25234678910111012131214[[#This Row],[Jones Creek Target (bopd)]]-Table25234678910111012131214[[#This Row],[Jones Creek Prod (bopd)]]</f>
        <v>22550</v>
      </c>
      <c r="M26" s="132">
        <f>Table25234678910111012131214[[#This Row],[Odidi Target (bopd)]]-Table25234678910111012131214[[#This Row],[Odidi prod (bopd)]]</f>
        <v>14890</v>
      </c>
      <c r="N26" s="132">
        <f>Table25234678910111012131214[[#This Row],[Batan Target (bopd)]]-Table25234678910111012131214[[#This Row],[Batan Daily Prod (bopd)]]</f>
        <v>7652.9</v>
      </c>
      <c r="O26" s="133">
        <f>Table25234678910111012131214[[#This Row],[Egwa Target (bopd)]]-Table25234678910111012131214[[#This Row],[Egwa Prod (bopd)]]</f>
        <v>4270</v>
      </c>
      <c r="P26" s="131"/>
      <c r="Q26" s="132"/>
      <c r="R26" s="132"/>
      <c r="S26" s="133"/>
      <c r="T26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6" s="142"/>
    </row>
    <row r="27" spans="2:21" ht="21.6">
      <c r="B27" s="130">
        <v>44339</v>
      </c>
      <c r="C27" s="135">
        <v>22550</v>
      </c>
      <c r="D27" s="136">
        <v>14890</v>
      </c>
      <c r="E27" s="131">
        <v>9500</v>
      </c>
      <c r="F27" s="135">
        <v>4270</v>
      </c>
      <c r="G27" s="137">
        <v>0</v>
      </c>
      <c r="H27" s="137">
        <v>0</v>
      </c>
      <c r="I27" s="137">
        <v>2045.9</v>
      </c>
      <c r="J27" s="132">
        <v>0</v>
      </c>
      <c r="K27" s="276">
        <f t="shared" si="0"/>
        <v>2045.9</v>
      </c>
      <c r="L27" s="131">
        <f>Table25234678910111012131214[[#This Row],[Jones Creek Target (bopd)]]-Table25234678910111012131214[[#This Row],[Jones Creek Prod (bopd)]]</f>
        <v>22550</v>
      </c>
      <c r="M27" s="132">
        <f>Table25234678910111012131214[[#This Row],[Odidi Target (bopd)]]-Table25234678910111012131214[[#This Row],[Odidi prod (bopd)]]</f>
        <v>14890</v>
      </c>
      <c r="N27" s="132">
        <f>Table25234678910111012131214[[#This Row],[Batan Target (bopd)]]-Table25234678910111012131214[[#This Row],[Batan Daily Prod (bopd)]]</f>
        <v>7454.1</v>
      </c>
      <c r="O27" s="133">
        <f>Table25234678910111012131214[[#This Row],[Egwa Target (bopd)]]-Table25234678910111012131214[[#This Row],[Egwa Prod (bopd)]]</f>
        <v>4270</v>
      </c>
      <c r="P27" s="131"/>
      <c r="Q27" s="132"/>
      <c r="R27" s="132"/>
      <c r="S27" s="133"/>
      <c r="T27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7" s="142"/>
    </row>
    <row r="28" spans="2:21" ht="21.6">
      <c r="B28" s="130">
        <v>44340</v>
      </c>
      <c r="C28" s="135">
        <v>22550</v>
      </c>
      <c r="D28" s="136">
        <v>14890</v>
      </c>
      <c r="E28" s="131">
        <v>9500</v>
      </c>
      <c r="F28" s="135">
        <v>4270</v>
      </c>
      <c r="G28" s="137">
        <v>0</v>
      </c>
      <c r="H28" s="137">
        <v>7186</v>
      </c>
      <c r="I28" s="137">
        <v>2007.19</v>
      </c>
      <c r="J28" s="132">
        <v>2036.4</v>
      </c>
      <c r="K28" s="276">
        <f t="shared" si="0"/>
        <v>11229.59</v>
      </c>
      <c r="L28" s="131">
        <f>Table25234678910111012131214[[#This Row],[Jones Creek Target (bopd)]]-Table25234678910111012131214[[#This Row],[Jones Creek Prod (bopd)]]</f>
        <v>22550</v>
      </c>
      <c r="M28" s="132">
        <f>Table25234678910111012131214[[#This Row],[Odidi Target (bopd)]]-Table25234678910111012131214[[#This Row],[Odidi prod (bopd)]]</f>
        <v>7704</v>
      </c>
      <c r="N28" s="132">
        <f>Table25234678910111012131214[[#This Row],[Batan Target (bopd)]]-Table25234678910111012131214[[#This Row],[Batan Daily Prod (bopd)]]</f>
        <v>7492.8099999999995</v>
      </c>
      <c r="O28" s="133">
        <f>Table25234678910111012131214[[#This Row],[Egwa Target (bopd)]]-Table25234678910111012131214[[#This Row],[Egwa Prod (bopd)]]</f>
        <v>2233.6</v>
      </c>
      <c r="P28" s="131"/>
      <c r="Q28" s="132"/>
      <c r="R28" s="132"/>
      <c r="S28" s="133"/>
      <c r="T28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8" s="142"/>
    </row>
    <row r="29" spans="2:21" ht="21.6">
      <c r="B29" s="130">
        <v>44341</v>
      </c>
      <c r="C29" s="135">
        <v>22550</v>
      </c>
      <c r="D29" s="136">
        <v>14890</v>
      </c>
      <c r="E29" s="131">
        <v>9500</v>
      </c>
      <c r="F29" s="135">
        <v>4270</v>
      </c>
      <c r="G29" s="137">
        <v>16677</v>
      </c>
      <c r="H29" s="137">
        <v>11466</v>
      </c>
      <c r="I29" s="137">
        <v>0</v>
      </c>
      <c r="J29" s="132">
        <v>1731.85</v>
      </c>
      <c r="K29" s="276">
        <f t="shared" si="0"/>
        <v>29874.85</v>
      </c>
      <c r="L29" s="131">
        <f>Table25234678910111012131214[[#This Row],[Jones Creek Target (bopd)]]-Table25234678910111012131214[[#This Row],[Jones Creek Prod (bopd)]]</f>
        <v>5873</v>
      </c>
      <c r="M29" s="132">
        <f>Table25234678910111012131214[[#This Row],[Odidi Target (bopd)]]-Table25234678910111012131214[[#This Row],[Odidi prod (bopd)]]</f>
        <v>3424</v>
      </c>
      <c r="N29" s="132">
        <f>Table25234678910111012131214[[#This Row],[Batan Target (bopd)]]-Table25234678910111012131214[[#This Row],[Batan Daily Prod (bopd)]]</f>
        <v>9500</v>
      </c>
      <c r="O29" s="133">
        <f>Table25234678910111012131214[[#This Row],[Egwa Target (bopd)]]-Table25234678910111012131214[[#This Row],[Egwa Prod (bopd)]]</f>
        <v>2538.15</v>
      </c>
      <c r="P29" s="131"/>
      <c r="Q29" s="132"/>
      <c r="R29" s="132"/>
      <c r="S29" s="133"/>
      <c r="T29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29" s="142"/>
    </row>
    <row r="30" spans="2:21" ht="21.6">
      <c r="B30" s="130">
        <v>44342</v>
      </c>
      <c r="C30" s="135">
        <v>22550</v>
      </c>
      <c r="D30" s="136">
        <v>14890</v>
      </c>
      <c r="E30" s="131">
        <v>9500</v>
      </c>
      <c r="F30" s="135">
        <v>4270</v>
      </c>
      <c r="G30" s="137">
        <v>21211</v>
      </c>
      <c r="H30" s="137">
        <v>12346</v>
      </c>
      <c r="I30" s="137">
        <v>0</v>
      </c>
      <c r="J30" s="137">
        <v>1640.96</v>
      </c>
      <c r="K30" s="276">
        <f t="shared" si="0"/>
        <v>35197.96</v>
      </c>
      <c r="L30" s="131">
        <f>Table25234678910111012131214[[#This Row],[Jones Creek Target (bopd)]]-Table25234678910111012131214[[#This Row],[Jones Creek Prod (bopd)]]</f>
        <v>1339</v>
      </c>
      <c r="M30" s="132">
        <f>Table25234678910111012131214[[#This Row],[Odidi Target (bopd)]]-Table25234678910111012131214[[#This Row],[Odidi prod (bopd)]]</f>
        <v>2544</v>
      </c>
      <c r="N30" s="132">
        <f>Table25234678910111012131214[[#This Row],[Batan Target (bopd)]]-Table25234678910111012131214[[#This Row],[Batan Daily Prod (bopd)]]</f>
        <v>9500</v>
      </c>
      <c r="O30" s="133">
        <f>Table25234678910111012131214[[#This Row],[Egwa Target (bopd)]]-Table25234678910111012131214[[#This Row],[Egwa Prod (bopd)]]</f>
        <v>2629.04</v>
      </c>
      <c r="P30" s="131"/>
      <c r="Q30" s="132"/>
      <c r="R30" s="132"/>
      <c r="S30" s="133"/>
      <c r="T30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30" s="142"/>
    </row>
    <row r="31" spans="2:21" ht="21.6">
      <c r="B31" s="130">
        <v>44343</v>
      </c>
      <c r="C31" s="135">
        <v>22550</v>
      </c>
      <c r="D31" s="136">
        <v>14890</v>
      </c>
      <c r="E31" s="131">
        <v>9500</v>
      </c>
      <c r="F31" s="135">
        <v>4270</v>
      </c>
      <c r="G31" s="137">
        <v>19340</v>
      </c>
      <c r="H31" s="137">
        <v>12484</v>
      </c>
      <c r="I31" s="137">
        <v>0</v>
      </c>
      <c r="J31" s="137">
        <v>1660.92</v>
      </c>
      <c r="K31" s="276">
        <f t="shared" si="0"/>
        <v>33484.92</v>
      </c>
      <c r="L31" s="131">
        <f>Table25234678910111012131214[[#This Row],[Jones Creek Target (bopd)]]-Table25234678910111012131214[[#This Row],[Jones Creek Prod (bopd)]]</f>
        <v>3210</v>
      </c>
      <c r="M31" s="132">
        <f>Table25234678910111012131214[[#This Row],[Odidi Target (bopd)]]-Table25234678910111012131214[[#This Row],[Odidi prod (bopd)]]</f>
        <v>2406</v>
      </c>
      <c r="N31" s="132">
        <f>Table25234678910111012131214[[#This Row],[Batan Target (bopd)]]-Table25234678910111012131214[[#This Row],[Batan Daily Prod (bopd)]]</f>
        <v>9500</v>
      </c>
      <c r="O31" s="133">
        <f>Table25234678910111012131214[[#This Row],[Egwa Target (bopd)]]-Table25234678910111012131214[[#This Row],[Egwa Prod (bopd)]]</f>
        <v>2609.08</v>
      </c>
      <c r="P31" s="131"/>
      <c r="Q31" s="132"/>
      <c r="R31" s="132"/>
      <c r="S31" s="133"/>
      <c r="T31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31" s="142"/>
    </row>
    <row r="32" spans="2:21" ht="21.6">
      <c r="B32" s="130">
        <v>44344</v>
      </c>
      <c r="C32" s="135">
        <v>22550</v>
      </c>
      <c r="D32" s="136">
        <v>14890</v>
      </c>
      <c r="E32" s="131">
        <v>9500</v>
      </c>
      <c r="F32" s="135">
        <v>4270</v>
      </c>
      <c r="G32" s="132">
        <v>18493</v>
      </c>
      <c r="H32" s="132">
        <v>12632</v>
      </c>
      <c r="I32" s="137">
        <v>0</v>
      </c>
      <c r="J32" s="132">
        <v>1704.46</v>
      </c>
      <c r="K32" s="276">
        <f t="shared" si="0"/>
        <v>32829.46</v>
      </c>
      <c r="L32" s="131">
        <f>Table25234678910111012131214[[#This Row],[Jones Creek Target (bopd)]]-Table25234678910111012131214[[#This Row],[Jones Creek Prod (bopd)]]</f>
        <v>4057</v>
      </c>
      <c r="M32" s="132">
        <f>Table25234678910111012131214[[#This Row],[Odidi Target (bopd)]]-Table25234678910111012131214[[#This Row],[Odidi prod (bopd)]]</f>
        <v>2258</v>
      </c>
      <c r="N32" s="132">
        <f>Table25234678910111012131214[[#This Row],[Batan Target (bopd)]]-Table25234678910111012131214[[#This Row],[Batan Daily Prod (bopd)]]</f>
        <v>9500</v>
      </c>
      <c r="O32" s="133">
        <f>Table25234678910111012131214[[#This Row],[Egwa Target (bopd)]]-Table25234678910111012131214[[#This Row],[Egwa Prod (bopd)]]</f>
        <v>2565.54</v>
      </c>
      <c r="P32" s="131"/>
      <c r="Q32" s="132"/>
      <c r="R32" s="132"/>
      <c r="S32" s="133"/>
      <c r="T32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32" s="142"/>
    </row>
    <row r="33" spans="2:23" ht="21.6">
      <c r="B33" s="130">
        <v>44345</v>
      </c>
      <c r="C33" s="135">
        <v>22550</v>
      </c>
      <c r="D33" s="136">
        <v>14890</v>
      </c>
      <c r="E33" s="131">
        <v>9500</v>
      </c>
      <c r="F33" s="135">
        <v>4270</v>
      </c>
      <c r="G33" s="132">
        <v>18409</v>
      </c>
      <c r="H33" s="132">
        <v>14103</v>
      </c>
      <c r="I33" s="137">
        <v>0</v>
      </c>
      <c r="J33" s="137">
        <v>1685.82</v>
      </c>
      <c r="K33" s="276">
        <f t="shared" si="0"/>
        <v>34197.82</v>
      </c>
      <c r="L33" s="131">
        <f>Table25234678910111012131214[[#This Row],[Jones Creek Target (bopd)]]-Table25234678910111012131214[[#This Row],[Jones Creek Prod (bopd)]]</f>
        <v>4141</v>
      </c>
      <c r="M33" s="132">
        <f>Table25234678910111012131214[[#This Row],[Odidi Target (bopd)]]-Table25234678910111012131214[[#This Row],[Odidi prod (bopd)]]</f>
        <v>787</v>
      </c>
      <c r="N33" s="132">
        <f>Table25234678910111012131214[[#This Row],[Batan Target (bopd)]]-Table25234678910111012131214[[#This Row],[Batan Daily Prod (bopd)]]</f>
        <v>9500</v>
      </c>
      <c r="O33" s="133">
        <f>Table25234678910111012131214[[#This Row],[Egwa Target (bopd)]]-Table25234678910111012131214[[#This Row],[Egwa Prod (bopd)]]</f>
        <v>2584.1800000000003</v>
      </c>
      <c r="P33" s="131"/>
      <c r="Q33" s="132"/>
      <c r="R33" s="132"/>
      <c r="S33" s="133"/>
      <c r="T33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33" s="142"/>
    </row>
    <row r="34" spans="2:23" ht="21.6">
      <c r="B34" s="130">
        <v>44346</v>
      </c>
      <c r="C34" s="135">
        <v>22550</v>
      </c>
      <c r="D34" s="136">
        <v>14890</v>
      </c>
      <c r="E34" s="131">
        <v>9500</v>
      </c>
      <c r="F34" s="135">
        <v>4270</v>
      </c>
      <c r="G34" s="137">
        <v>17915</v>
      </c>
      <c r="H34" s="132">
        <v>15881</v>
      </c>
      <c r="I34" s="137">
        <v>0</v>
      </c>
      <c r="J34" s="137">
        <v>1638.3</v>
      </c>
      <c r="K34" s="276">
        <f t="shared" si="0"/>
        <v>35434.300000000003</v>
      </c>
      <c r="L34" s="131">
        <f>Table25234678910111012131214[[#This Row],[Jones Creek Target (bopd)]]-Table25234678910111012131214[[#This Row],[Jones Creek Prod (bopd)]]</f>
        <v>4635</v>
      </c>
      <c r="M34" s="132">
        <f>Table25234678910111012131214[[#This Row],[Odidi Target (bopd)]]-Table25234678910111012131214[[#This Row],[Odidi prod (bopd)]]</f>
        <v>-991</v>
      </c>
      <c r="N34" s="132">
        <f>Table25234678910111012131214[[#This Row],[Batan Target (bopd)]]-Table25234678910111012131214[[#This Row],[Batan Daily Prod (bopd)]]</f>
        <v>9500</v>
      </c>
      <c r="O34" s="133">
        <f>Table25234678910111012131214[[#This Row],[Egwa Target (bopd)]]-Table25234678910111012131214[[#This Row],[Egwa Prod (bopd)]]</f>
        <v>2631.7</v>
      </c>
      <c r="P34" s="131"/>
      <c r="Q34" s="132"/>
      <c r="R34" s="132"/>
      <c r="S34" s="133"/>
      <c r="T34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34" s="142"/>
    </row>
    <row r="35" spans="2:23" ht="21.6">
      <c r="B35" s="130">
        <v>44347</v>
      </c>
      <c r="C35" s="135">
        <v>22550</v>
      </c>
      <c r="D35" s="136">
        <v>14890</v>
      </c>
      <c r="E35" s="131">
        <v>9500</v>
      </c>
      <c r="F35" s="135">
        <v>4270</v>
      </c>
      <c r="G35" s="137">
        <v>17606</v>
      </c>
      <c r="H35" s="137">
        <v>14818</v>
      </c>
      <c r="I35" s="137">
        <v>0</v>
      </c>
      <c r="J35" s="137">
        <v>1639.97</v>
      </c>
      <c r="K35" s="276">
        <f t="shared" si="0"/>
        <v>34063.97</v>
      </c>
      <c r="L35" s="131">
        <f>Table25234678910111012131214[[#This Row],[Jones Creek Target (bopd)]]-Table25234678910111012131214[[#This Row],[Jones Creek Prod (bopd)]]</f>
        <v>4944</v>
      </c>
      <c r="M35" s="132">
        <f>Table25234678910111012131214[[#This Row],[Odidi Target (bopd)]]-Table25234678910111012131214[[#This Row],[Odidi prod (bopd)]]</f>
        <v>72</v>
      </c>
      <c r="N35" s="132">
        <f>Table25234678910111012131214[[#This Row],[Batan Target (bopd)]]-Table25234678910111012131214[[#This Row],[Batan Daily Prod (bopd)]]</f>
        <v>9500</v>
      </c>
      <c r="O35" s="133">
        <f>Table25234678910111012131214[[#This Row],[Egwa Target (bopd)]]-Table25234678910111012131214[[#This Row],[Egwa Prod (bopd)]]</f>
        <v>2630.0299999999997</v>
      </c>
      <c r="P35" s="131"/>
      <c r="Q35" s="132"/>
      <c r="R35" s="132"/>
      <c r="S35" s="133"/>
      <c r="T35" s="973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35" s="142"/>
    </row>
    <row r="36" spans="2:23" ht="21.6">
      <c r="B36" s="130">
        <v>44348</v>
      </c>
      <c r="C36" s="135">
        <v>22410</v>
      </c>
      <c r="D36" s="136">
        <v>14990</v>
      </c>
      <c r="E36" s="131">
        <v>9220</v>
      </c>
      <c r="F36" s="135">
        <v>4140</v>
      </c>
      <c r="G36" s="137">
        <v>17327</v>
      </c>
      <c r="H36" s="137">
        <v>13912</v>
      </c>
      <c r="I36" s="137">
        <v>0</v>
      </c>
      <c r="J36" s="137">
        <v>1656</v>
      </c>
      <c r="K36" s="276">
        <f t="shared" si="0"/>
        <v>32895</v>
      </c>
      <c r="L36" s="131">
        <f>Table25234678910111012131214[[#This Row],[Jones Creek Target (bopd)]]-Table25234678910111012131214[[#This Row],[Jones Creek Prod (bopd)]]</f>
        <v>5083</v>
      </c>
      <c r="M36" s="132">
        <f>Table25234678910111012131214[[#This Row],[Odidi Target (bopd)]]-Table25234678910111012131214[[#This Row],[Odidi prod (bopd)]]</f>
        <v>1078</v>
      </c>
      <c r="N36" s="132">
        <f>Table25234678910111012131214[[#This Row],[Batan Target (bopd)]]-Table25234678910111012131214[[#This Row],[Batan Daily Prod (bopd)]]</f>
        <v>9220</v>
      </c>
      <c r="O36" s="133">
        <f>Table25234678910111012131214[[#This Row],[Egwa Target (bopd)]]-Table25234678910111012131214[[#This Row],[Egwa Prod (bopd)]]</f>
        <v>2484</v>
      </c>
      <c r="P36" s="689">
        <v>4.0145999999999997</v>
      </c>
      <c r="Q36" s="269">
        <v>1.79</v>
      </c>
      <c r="R36" s="269">
        <v>0</v>
      </c>
      <c r="S36" s="976">
        <v>0.52</v>
      </c>
      <c r="T36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6.3246000000000002</v>
      </c>
      <c r="U36" s="142"/>
    </row>
    <row r="37" spans="2:23" ht="21.6">
      <c r="B37" s="130">
        <v>44349</v>
      </c>
      <c r="C37" s="135">
        <v>22410</v>
      </c>
      <c r="D37" s="136">
        <v>14990</v>
      </c>
      <c r="E37" s="131">
        <v>9220</v>
      </c>
      <c r="F37" s="135">
        <v>4140</v>
      </c>
      <c r="G37" s="137">
        <v>18507</v>
      </c>
      <c r="H37" s="137">
        <v>13165</v>
      </c>
      <c r="I37" s="137">
        <v>0</v>
      </c>
      <c r="J37" s="137">
        <v>1739</v>
      </c>
      <c r="K37" s="276">
        <f t="shared" si="0"/>
        <v>33411</v>
      </c>
      <c r="L37" s="131">
        <f>Table25234678910111012131214[[#This Row],[Jones Creek Target (bopd)]]-Table25234678910111012131214[[#This Row],[Jones Creek Prod (bopd)]]</f>
        <v>3903</v>
      </c>
      <c r="M37" s="132">
        <f>Table25234678910111012131214[[#This Row],[Odidi Target (bopd)]]-Table25234678910111012131214[[#This Row],[Odidi prod (bopd)]]</f>
        <v>1825</v>
      </c>
      <c r="N37" s="132">
        <f>Table25234678910111012131214[[#This Row],[Batan Target (bopd)]]-Table25234678910111012131214[[#This Row],[Batan Daily Prod (bopd)]]</f>
        <v>9220</v>
      </c>
      <c r="O37" s="133">
        <f>Table25234678910111012131214[[#This Row],[Egwa Target (bopd)]]-Table25234678910111012131214[[#This Row],[Egwa Prod (bopd)]]</f>
        <v>2401</v>
      </c>
      <c r="P37" s="689">
        <v>4.3657000000000004</v>
      </c>
      <c r="Q37" s="269">
        <v>0.01</v>
      </c>
      <c r="R37" s="269">
        <v>0</v>
      </c>
      <c r="S37" s="976">
        <v>0.54</v>
      </c>
      <c r="T37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4.9157000000000002</v>
      </c>
      <c r="U37" s="142"/>
    </row>
    <row r="38" spans="2:23" ht="21.6">
      <c r="B38" s="130">
        <v>44350</v>
      </c>
      <c r="C38" s="135">
        <v>22410</v>
      </c>
      <c r="D38" s="136">
        <v>14990</v>
      </c>
      <c r="E38" s="131">
        <v>9220</v>
      </c>
      <c r="F38" s="135">
        <v>4140</v>
      </c>
      <c r="G38" s="137">
        <v>19600</v>
      </c>
      <c r="H38" s="137">
        <v>13495</v>
      </c>
      <c r="I38" s="137">
        <v>0</v>
      </c>
      <c r="J38" s="132">
        <v>1762.8</v>
      </c>
      <c r="K38" s="276">
        <f t="shared" si="0"/>
        <v>34857.800000000003</v>
      </c>
      <c r="L38" s="131">
        <f>Table25234678910111012131214[[#This Row],[Jones Creek Target (bopd)]]-Table25234678910111012131214[[#This Row],[Jones Creek Prod (bopd)]]</f>
        <v>2810</v>
      </c>
      <c r="M38" s="132">
        <f>Table25234678910111012131214[[#This Row],[Odidi Target (bopd)]]-Table25234678910111012131214[[#This Row],[Odidi prod (bopd)]]</f>
        <v>1495</v>
      </c>
      <c r="N38" s="132">
        <f>Table25234678910111012131214[[#This Row],[Batan Target (bopd)]]-Table25234678910111012131214[[#This Row],[Batan Daily Prod (bopd)]]</f>
        <v>9220</v>
      </c>
      <c r="O38" s="133">
        <f>Table25234678910111012131214[[#This Row],[Egwa Target (bopd)]]-Table25234678910111012131214[[#This Row],[Egwa Prod (bopd)]]</f>
        <v>2377.1999999999998</v>
      </c>
      <c r="P38" s="689">
        <v>4.5880000000000001</v>
      </c>
      <c r="Q38" s="269">
        <v>0.03</v>
      </c>
      <c r="R38" s="269">
        <v>0</v>
      </c>
      <c r="S38" s="976">
        <v>0.56000000000000005</v>
      </c>
      <c r="T38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5.1779999999999999</v>
      </c>
      <c r="U38" s="142"/>
    </row>
    <row r="39" spans="2:23" ht="21.6">
      <c r="B39" s="130">
        <v>44351</v>
      </c>
      <c r="C39" s="135">
        <v>22410</v>
      </c>
      <c r="D39" s="136">
        <v>14990</v>
      </c>
      <c r="E39" s="131">
        <v>9220</v>
      </c>
      <c r="F39" s="135">
        <v>4140</v>
      </c>
      <c r="G39" s="137">
        <v>19867</v>
      </c>
      <c r="H39" s="137">
        <v>14996</v>
      </c>
      <c r="I39" s="137">
        <v>0</v>
      </c>
      <c r="J39" s="137">
        <v>1738.6</v>
      </c>
      <c r="K39" s="276">
        <f t="shared" si="0"/>
        <v>36601.599999999999</v>
      </c>
      <c r="L39" s="131">
        <f>Table25234678910111012131214[[#This Row],[Jones Creek Target (bopd)]]-Table25234678910111012131214[[#This Row],[Jones Creek Prod (bopd)]]</f>
        <v>2543</v>
      </c>
      <c r="M39" s="132">
        <f>Table25234678910111012131214[[#This Row],[Odidi Target (bopd)]]-Table25234678910111012131214[[#This Row],[Odidi prod (bopd)]]</f>
        <v>-6</v>
      </c>
      <c r="N39" s="132">
        <f>Table25234678910111012131214[[#This Row],[Batan Target (bopd)]]-Table25234678910111012131214[[#This Row],[Batan Daily Prod (bopd)]]</f>
        <v>9220</v>
      </c>
      <c r="O39" s="133">
        <f>Table25234678910111012131214[[#This Row],[Egwa Target (bopd)]]-Table25234678910111012131214[[#This Row],[Egwa Prod (bopd)]]</f>
        <v>2401.4</v>
      </c>
      <c r="P39" s="689">
        <v>4.5880000000000001</v>
      </c>
      <c r="Q39" s="269">
        <v>0.31</v>
      </c>
      <c r="R39" s="269">
        <v>0</v>
      </c>
      <c r="S39" s="976">
        <v>0.56000000000000005</v>
      </c>
      <c r="T39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5.4580000000000002</v>
      </c>
      <c r="U39" s="142"/>
    </row>
    <row r="40" spans="2:23" ht="21.6">
      <c r="B40" s="130">
        <v>44352</v>
      </c>
      <c r="C40" s="135">
        <v>22410</v>
      </c>
      <c r="D40" s="136">
        <v>14990</v>
      </c>
      <c r="E40" s="131">
        <v>9220</v>
      </c>
      <c r="F40" s="135">
        <v>4140</v>
      </c>
      <c r="G40" s="132">
        <v>19832</v>
      </c>
      <c r="H40" s="301">
        <v>14935</v>
      </c>
      <c r="I40" s="137">
        <v>0</v>
      </c>
      <c r="J40" s="132">
        <v>1393</v>
      </c>
      <c r="K40" s="276">
        <f t="shared" si="0"/>
        <v>36160</v>
      </c>
      <c r="L40" s="131">
        <f>Table25234678910111012131214[[#This Row],[Jones Creek Target (bopd)]]-Table25234678910111012131214[[#This Row],[Jones Creek Prod (bopd)]]</f>
        <v>2578</v>
      </c>
      <c r="M40" s="132">
        <f>Table25234678910111012131214[[#This Row],[Odidi Target (bopd)]]-Table25234678910111012131214[[#This Row],[Odidi prod (bopd)]]</f>
        <v>55</v>
      </c>
      <c r="N40" s="132">
        <f>Table25234678910111012131214[[#This Row],[Batan Target (bopd)]]-Table25234678910111012131214[[#This Row],[Batan Daily Prod (bopd)]]</f>
        <v>9220</v>
      </c>
      <c r="O40" s="133">
        <f>Table25234678910111012131214[[#This Row],[Egwa Target (bopd)]]-Table25234678910111012131214[[#This Row],[Egwa Prod (bopd)]]</f>
        <v>2747</v>
      </c>
      <c r="P40" s="689"/>
      <c r="Q40" s="269"/>
      <c r="R40" s="269"/>
      <c r="S40" s="976"/>
      <c r="T40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40" s="142"/>
    </row>
    <row r="41" spans="2:23" ht="21.6">
      <c r="B41" s="130">
        <v>44353</v>
      </c>
      <c r="C41" s="135">
        <v>22410</v>
      </c>
      <c r="D41" s="136">
        <v>14990</v>
      </c>
      <c r="E41" s="131">
        <v>9220</v>
      </c>
      <c r="F41" s="135">
        <v>4140</v>
      </c>
      <c r="G41" s="132">
        <v>19742</v>
      </c>
      <c r="H41" s="132">
        <v>14081</v>
      </c>
      <c r="I41" s="132">
        <v>0</v>
      </c>
      <c r="J41" s="132">
        <v>1633</v>
      </c>
      <c r="K41" s="276">
        <f t="shared" si="0"/>
        <v>35456</v>
      </c>
      <c r="L41" s="131">
        <f>Table25234678910111012131214[[#This Row],[Jones Creek Target (bopd)]]-Table25234678910111012131214[[#This Row],[Jones Creek Prod (bopd)]]</f>
        <v>2668</v>
      </c>
      <c r="M41" s="132">
        <f>Table25234678910111012131214[[#This Row],[Odidi Target (bopd)]]-Table25234678910111012131214[[#This Row],[Odidi prod (bopd)]]</f>
        <v>909</v>
      </c>
      <c r="N41" s="132">
        <f>Table25234678910111012131214[[#This Row],[Batan Target (bopd)]]-Table25234678910111012131214[[#This Row],[Batan Daily Prod (bopd)]]</f>
        <v>9220</v>
      </c>
      <c r="O41" s="133">
        <f>Table25234678910111012131214[[#This Row],[Egwa Target (bopd)]]-Table25234678910111012131214[[#This Row],[Egwa Prod (bopd)]]</f>
        <v>2507</v>
      </c>
      <c r="P41" s="689"/>
      <c r="Q41" s="269"/>
      <c r="R41" s="269"/>
      <c r="S41" s="976"/>
      <c r="T41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41" s="142"/>
    </row>
    <row r="42" spans="2:23" ht="21.6">
      <c r="B42" s="130">
        <v>44354</v>
      </c>
      <c r="C42" s="135">
        <v>22410</v>
      </c>
      <c r="D42" s="136">
        <v>14990</v>
      </c>
      <c r="E42" s="131">
        <v>9220</v>
      </c>
      <c r="F42" s="135">
        <v>4140</v>
      </c>
      <c r="G42" s="132">
        <v>19417</v>
      </c>
      <c r="H42" s="132">
        <v>15525</v>
      </c>
      <c r="I42" s="132">
        <v>0</v>
      </c>
      <c r="J42" s="132">
        <v>2551</v>
      </c>
      <c r="K42" s="276">
        <f t="shared" si="0"/>
        <v>37493</v>
      </c>
      <c r="L42" s="131">
        <f>Table25234678910111012131214[[#This Row],[Jones Creek Target (bopd)]]-Table25234678910111012131214[[#This Row],[Jones Creek Prod (bopd)]]</f>
        <v>2993</v>
      </c>
      <c r="M42" s="132">
        <f>Table25234678910111012131214[[#This Row],[Odidi Target (bopd)]]-Table25234678910111012131214[[#This Row],[Odidi prod (bopd)]]</f>
        <v>-535</v>
      </c>
      <c r="N42" s="132">
        <f>Table25234678910111012131214[[#This Row],[Batan Target (bopd)]]-Table25234678910111012131214[[#This Row],[Batan Daily Prod (bopd)]]</f>
        <v>9220</v>
      </c>
      <c r="O42" s="133">
        <f>Table25234678910111012131214[[#This Row],[Egwa Target (bopd)]]-Table25234678910111012131214[[#This Row],[Egwa Prod (bopd)]]</f>
        <v>1589</v>
      </c>
      <c r="P42" s="689">
        <v>4.5880000000000001</v>
      </c>
      <c r="Q42" s="269">
        <v>4.66</v>
      </c>
      <c r="R42" s="269"/>
      <c r="S42" s="976">
        <v>1.05</v>
      </c>
      <c r="T42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10.298</v>
      </c>
      <c r="U42" s="142"/>
      <c r="V42" s="42"/>
    </row>
    <row r="43" spans="2:23" ht="21.6">
      <c r="B43" s="130">
        <v>44355</v>
      </c>
      <c r="C43" s="135">
        <v>22410</v>
      </c>
      <c r="D43" s="136">
        <v>14990</v>
      </c>
      <c r="E43" s="131">
        <v>9220</v>
      </c>
      <c r="F43" s="135">
        <v>4140</v>
      </c>
      <c r="G43" s="137"/>
      <c r="H43" s="137"/>
      <c r="I43" s="137"/>
      <c r="J43" s="132"/>
      <c r="K43" s="276">
        <f t="shared" si="0"/>
        <v>0</v>
      </c>
      <c r="L43" s="131"/>
      <c r="M43" s="132"/>
      <c r="N43" s="132"/>
      <c r="O43" s="133"/>
      <c r="P43" s="689"/>
      <c r="Q43" s="269"/>
      <c r="R43" s="269"/>
      <c r="S43" s="976"/>
      <c r="T43" s="977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43" s="142"/>
    </row>
    <row r="44" spans="2:23" ht="21.6">
      <c r="B44" s="130">
        <v>44356</v>
      </c>
      <c r="C44" s="135">
        <v>22410</v>
      </c>
      <c r="D44" s="136">
        <v>14990</v>
      </c>
      <c r="E44" s="131">
        <v>9220</v>
      </c>
      <c r="F44" s="135">
        <v>4140</v>
      </c>
      <c r="G44" s="137"/>
      <c r="H44" s="137"/>
      <c r="I44" s="137"/>
      <c r="J44" s="132"/>
      <c r="K44" s="276">
        <f t="shared" si="0"/>
        <v>0</v>
      </c>
      <c r="L44" s="131"/>
      <c r="M44" s="132"/>
      <c r="N44" s="132"/>
      <c r="O44" s="133"/>
      <c r="P44" s="978"/>
      <c r="Q44" s="979"/>
      <c r="R44" s="979"/>
      <c r="S44" s="980"/>
      <c r="T44" s="981">
        <f>Table25234678910111012131214[[#This Row],[Egwa Flared Gas (MMscf/d)]]+Table25234678910111012131214[[#This Row],[ Batan Flared Gas (MMscf/d)]]+Table25234678910111012131214[[#This Row],[ Odidi Flared Gas (MMscf/d)]]+Table25234678910111012131214[[#This Row],[ J/C Flared Gas (MMscf/d)]]</f>
        <v>0</v>
      </c>
      <c r="U44" s="142"/>
    </row>
    <row r="46" spans="2:23" ht="15.6" thickBot="1"/>
    <row r="47" spans="2:23" ht="33.950000000000003" customHeight="1" thickBot="1">
      <c r="B47" s="1303" t="s">
        <v>149</v>
      </c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5"/>
      <c r="P47" s="682"/>
      <c r="Q47" s="682"/>
      <c r="R47" s="682"/>
      <c r="S47" s="682"/>
      <c r="V47" s="23"/>
      <c r="W47" s="117"/>
    </row>
    <row r="48" spans="2:23" ht="41.45" customHeight="1">
      <c r="B48" s="655" t="s">
        <v>22</v>
      </c>
      <c r="C48" s="651" t="s">
        <v>358</v>
      </c>
      <c r="D48" s="1334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7"/>
      <c r="N48" s="1307"/>
      <c r="O48" s="1308"/>
      <c r="P48" s="683"/>
      <c r="Q48" s="683"/>
      <c r="R48" s="683"/>
      <c r="S48" s="683"/>
      <c r="V48" s="118"/>
      <c r="W48" s="119"/>
    </row>
    <row r="49" spans="2:23" ht="27" customHeight="1">
      <c r="B49" s="656" t="s">
        <v>17</v>
      </c>
      <c r="C49" s="652">
        <v>2.9929999999999999</v>
      </c>
      <c r="D49" s="1335" t="s">
        <v>395</v>
      </c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10"/>
      <c r="P49" s="684"/>
      <c r="Q49" s="684"/>
      <c r="R49" s="684"/>
      <c r="S49" s="684"/>
      <c r="V49" s="118"/>
      <c r="W49" s="119"/>
    </row>
    <row r="50" spans="2:23" ht="36.950000000000003" customHeight="1">
      <c r="B50" s="656" t="s">
        <v>19</v>
      </c>
      <c r="C50" s="693">
        <v>-0.53500000000000003</v>
      </c>
      <c r="D50" s="1336" t="s">
        <v>396</v>
      </c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6"/>
      <c r="P50" s="685"/>
      <c r="Q50" s="685"/>
      <c r="R50" s="685"/>
      <c r="S50" s="685"/>
      <c r="V50" s="23"/>
    </row>
    <row r="51" spans="2:23" ht="26.45" customHeight="1">
      <c r="B51" s="656" t="s">
        <v>16</v>
      </c>
      <c r="C51" s="652">
        <f>N35/1000</f>
        <v>9.5</v>
      </c>
      <c r="D51" s="1336" t="s">
        <v>397</v>
      </c>
      <c r="E51" s="1285"/>
      <c r="F51" s="1285"/>
      <c r="G51" s="1285"/>
      <c r="H51" s="1285"/>
      <c r="I51" s="1285"/>
      <c r="J51" s="1285"/>
      <c r="K51" s="1285"/>
      <c r="L51" s="1285"/>
      <c r="M51" s="1285"/>
      <c r="N51" s="1285"/>
      <c r="O51" s="1286"/>
      <c r="P51" s="685"/>
      <c r="Q51" s="685"/>
      <c r="R51" s="685"/>
      <c r="S51" s="685"/>
      <c r="V51" s="118"/>
      <c r="W51" s="662"/>
    </row>
    <row r="52" spans="2:23" ht="26.45" customHeight="1" thickBot="1">
      <c r="B52" s="657" t="s">
        <v>18</v>
      </c>
      <c r="C52" s="653">
        <v>1.589</v>
      </c>
      <c r="D52" s="1328" t="s">
        <v>398</v>
      </c>
      <c r="E52" s="1329"/>
      <c r="F52" s="1329"/>
      <c r="G52" s="1329"/>
      <c r="H52" s="1329"/>
      <c r="I52" s="1329"/>
      <c r="J52" s="1329"/>
      <c r="K52" s="1329"/>
      <c r="L52" s="1329"/>
      <c r="M52" s="1329"/>
      <c r="N52" s="1329"/>
      <c r="O52" s="1330"/>
      <c r="P52" s="685"/>
      <c r="Q52" s="685"/>
      <c r="R52" s="685"/>
      <c r="S52" s="685"/>
      <c r="V52" s="118"/>
      <c r="W52" s="119"/>
    </row>
    <row r="53" spans="2:23" ht="27" customHeight="1" thickBot="1">
      <c r="B53" s="658" t="s">
        <v>187</v>
      </c>
      <c r="C53" s="654">
        <f>SUM(C49:C52)</f>
        <v>13.547000000000001</v>
      </c>
      <c r="D53" s="1331" t="s">
        <v>399</v>
      </c>
      <c r="E53" s="1332"/>
      <c r="F53" s="1332"/>
      <c r="G53" s="1332"/>
      <c r="H53" s="1332"/>
      <c r="I53" s="1332"/>
      <c r="J53" s="1332"/>
      <c r="K53" s="1332"/>
      <c r="L53" s="1332"/>
      <c r="M53" s="1332"/>
      <c r="N53" s="1332"/>
      <c r="O53" s="1333"/>
      <c r="P53" s="684"/>
      <c r="Q53" s="684"/>
      <c r="R53" s="684"/>
      <c r="S53" s="684"/>
      <c r="T53" s="402"/>
      <c r="U53" s="402"/>
    </row>
    <row r="56" spans="2:23" ht="20.45">
      <c r="D56">
        <f>2.83+1.43+4.95</f>
        <v>9.2100000000000009</v>
      </c>
      <c r="F56" s="30"/>
    </row>
    <row r="57" spans="2:23" ht="35.450000000000003" customHeight="1">
      <c r="D57" s="271"/>
      <c r="F57" s="271"/>
      <c r="G57" s="31"/>
      <c r="H57" s="31"/>
      <c r="I57" s="31"/>
    </row>
    <row r="58" spans="2:23" ht="24.75" customHeight="1">
      <c r="D58" s="30"/>
      <c r="G58" s="36"/>
      <c r="H58" s="36"/>
      <c r="I58" s="36"/>
    </row>
    <row r="59" spans="2:23" ht="20.25" customHeight="1">
      <c r="G59" s="23"/>
      <c r="H59" s="23"/>
      <c r="I59" s="23"/>
      <c r="J59" s="23"/>
      <c r="K59" s="23"/>
      <c r="L59" s="23"/>
    </row>
    <row r="60" spans="2:23" ht="17.45">
      <c r="C60" s="147"/>
      <c r="G60" s="23"/>
      <c r="H60" s="23"/>
      <c r="I60" s="23"/>
      <c r="J60" s="23"/>
      <c r="K60" s="23"/>
      <c r="L60" s="23"/>
    </row>
    <row r="61" spans="2:23" ht="22.9">
      <c r="C61" s="325"/>
      <c r="G61" s="23"/>
      <c r="H61" s="23"/>
      <c r="I61" s="23"/>
      <c r="J61" s="23"/>
      <c r="K61" s="23"/>
      <c r="L61" s="23"/>
    </row>
    <row r="62" spans="2:23" ht="17.45">
      <c r="C62" s="444"/>
      <c r="D62" s="444"/>
      <c r="F62" s="444"/>
      <c r="G62" s="23"/>
      <c r="H62" s="23"/>
      <c r="I62" s="23"/>
      <c r="J62" s="23"/>
      <c r="K62" s="23"/>
      <c r="L62" s="23"/>
    </row>
    <row r="63" spans="2:23">
      <c r="C63" s="444"/>
      <c r="D63" s="444"/>
      <c r="F63" s="444"/>
    </row>
    <row r="64" spans="2:23">
      <c r="C64" s="444"/>
      <c r="D64" s="444"/>
      <c r="F64" s="444"/>
    </row>
    <row r="65" spans="3:6">
      <c r="C65" s="444"/>
      <c r="D65" s="444"/>
      <c r="F65" s="444"/>
    </row>
  </sheetData>
  <mergeCells count="8">
    <mergeCell ref="D52:O52"/>
    <mergeCell ref="D53:O53"/>
    <mergeCell ref="Y3:AC3"/>
    <mergeCell ref="B47:O47"/>
    <mergeCell ref="D48:O48"/>
    <mergeCell ref="D49:O49"/>
    <mergeCell ref="D50:O50"/>
    <mergeCell ref="D51:O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AC1001"/>
  <sheetViews>
    <sheetView topLeftCell="A45" workbookViewId="0">
      <selection activeCell="B66" sqref="B66:K66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9.21875" style="580"/>
    <col min="7" max="7" width="11.21875" style="580" bestFit="1" customWidth="1"/>
    <col min="8" max="8" width="6.77734375" style="580" customWidth="1"/>
    <col min="9" max="9" width="7.6640625" style="580" customWidth="1"/>
    <col min="10" max="10" width="8" style="580" customWidth="1"/>
    <col min="11" max="11" width="27.6640625" style="580" customWidth="1"/>
    <col min="12" max="16384" width="9.21875" style="580"/>
  </cols>
  <sheetData>
    <row r="1" spans="2:29" ht="19.899999999999999" thickBot="1"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5.15" thickBot="1">
      <c r="B2" s="579"/>
      <c r="C2" s="1320" t="s">
        <v>400</v>
      </c>
      <c r="D2" s="1321"/>
      <c r="E2" s="1321"/>
      <c r="F2" s="1321"/>
      <c r="G2" s="1321"/>
      <c r="H2" s="1321"/>
      <c r="I2" s="1321"/>
      <c r="J2" s="1321"/>
      <c r="K2" s="132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19.899999999999999" thickBot="1">
      <c r="B3" s="579"/>
      <c r="C3" s="581"/>
      <c r="D3" s="581"/>
      <c r="E3" s="581"/>
      <c r="F3" s="581"/>
      <c r="G3" s="581"/>
      <c r="H3" s="581"/>
      <c r="I3" s="581"/>
      <c r="J3" s="581"/>
      <c r="K3" s="581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36" customHeight="1" thickBot="1">
      <c r="B4" s="582"/>
      <c r="C4" s="1337" t="s">
        <v>401</v>
      </c>
      <c r="D4" s="1338"/>
      <c r="E4" s="1338"/>
      <c r="F4" s="1338"/>
      <c r="G4" s="1338"/>
      <c r="H4" s="1338"/>
      <c r="I4" s="1338"/>
      <c r="J4" s="1338"/>
      <c r="K4" s="1339"/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 ht="51" thickBot="1">
      <c r="B5" s="671" t="s">
        <v>156</v>
      </c>
      <c r="C5" s="584" t="s">
        <v>31</v>
      </c>
      <c r="D5" s="584" t="s">
        <v>32</v>
      </c>
      <c r="E5" s="584" t="s">
        <v>33</v>
      </c>
      <c r="F5" s="584" t="s">
        <v>34</v>
      </c>
      <c r="G5" s="584" t="s">
        <v>35</v>
      </c>
      <c r="H5" s="584" t="s">
        <v>37</v>
      </c>
      <c r="I5" s="584" t="s">
        <v>38</v>
      </c>
      <c r="J5" s="584" t="s">
        <v>39</v>
      </c>
      <c r="K5" s="585" t="s">
        <v>40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 ht="19.899999999999999" thickBot="1">
      <c r="B6" s="672">
        <v>1</v>
      </c>
      <c r="C6" s="587" t="s">
        <v>41</v>
      </c>
      <c r="D6" s="587" t="s">
        <v>42</v>
      </c>
      <c r="E6" s="588">
        <v>28</v>
      </c>
      <c r="F6" s="588">
        <v>1706</v>
      </c>
      <c r="G6" s="588">
        <v>580</v>
      </c>
      <c r="H6" s="588">
        <v>66</v>
      </c>
      <c r="I6" s="588">
        <v>995</v>
      </c>
      <c r="J6" s="588">
        <v>494</v>
      </c>
      <c r="K6" s="616" t="s">
        <v>235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 ht="19.899999999999999" thickBot="1">
      <c r="B7" s="672">
        <v>2</v>
      </c>
      <c r="C7" s="587" t="s">
        <v>43</v>
      </c>
      <c r="D7" s="587" t="s">
        <v>44</v>
      </c>
      <c r="E7" s="588">
        <v>28</v>
      </c>
      <c r="F7" s="588">
        <v>1132</v>
      </c>
      <c r="G7" s="588">
        <v>566</v>
      </c>
      <c r="H7" s="588">
        <v>50</v>
      </c>
      <c r="I7" s="588">
        <v>607</v>
      </c>
      <c r="J7" s="588">
        <v>147</v>
      </c>
      <c r="K7" s="616" t="s">
        <v>235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 ht="19.899999999999999" thickBot="1">
      <c r="B8" s="672">
        <v>3</v>
      </c>
      <c r="C8" s="587" t="s">
        <v>45</v>
      </c>
      <c r="D8" s="587" t="s">
        <v>44</v>
      </c>
      <c r="E8" s="588">
        <v>32</v>
      </c>
      <c r="F8" s="588">
        <v>2221</v>
      </c>
      <c r="G8" s="588">
        <v>1044</v>
      </c>
      <c r="H8" s="588">
        <v>53</v>
      </c>
      <c r="I8" s="588">
        <v>669</v>
      </c>
      <c r="J8" s="588">
        <v>249</v>
      </c>
      <c r="K8" s="616" t="s">
        <v>235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 ht="19.899999999999999" thickBot="1">
      <c r="B9" s="673">
        <v>4</v>
      </c>
      <c r="C9" s="592" t="s">
        <v>46</v>
      </c>
      <c r="D9" s="592" t="s">
        <v>47</v>
      </c>
      <c r="E9" s="593">
        <v>40</v>
      </c>
      <c r="F9" s="593">
        <v>1753</v>
      </c>
      <c r="G9" s="593">
        <v>1157</v>
      </c>
      <c r="H9" s="593">
        <v>34</v>
      </c>
      <c r="I9" s="593">
        <v>323</v>
      </c>
      <c r="J9" s="593">
        <v>129</v>
      </c>
      <c r="K9" s="582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 ht="19.899999999999999" thickBot="1">
      <c r="B10" s="673">
        <v>5</v>
      </c>
      <c r="C10" s="592" t="s">
        <v>48</v>
      </c>
      <c r="D10" s="592" t="s">
        <v>47</v>
      </c>
      <c r="E10" s="593" t="s">
        <v>49</v>
      </c>
      <c r="F10" s="593">
        <v>1538</v>
      </c>
      <c r="G10" s="593">
        <v>1000</v>
      </c>
      <c r="H10" s="593">
        <v>35</v>
      </c>
      <c r="I10" s="593">
        <v>310</v>
      </c>
      <c r="J10" s="593">
        <v>163</v>
      </c>
      <c r="K10" s="582"/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 ht="19.899999999999999" thickBot="1">
      <c r="B11" s="672">
        <v>6</v>
      </c>
      <c r="C11" s="587" t="s">
        <v>373</v>
      </c>
      <c r="D11" s="587" t="s">
        <v>47</v>
      </c>
      <c r="E11" s="588">
        <v>24</v>
      </c>
      <c r="F11" s="588">
        <v>767</v>
      </c>
      <c r="G11" s="588">
        <v>322</v>
      </c>
      <c r="H11" s="588">
        <v>58</v>
      </c>
      <c r="I11" s="588">
        <v>320</v>
      </c>
      <c r="J11" s="588">
        <v>290</v>
      </c>
      <c r="K11" s="616" t="s">
        <v>402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 ht="19.899999999999999" thickBot="1">
      <c r="B12" s="672">
        <v>7</v>
      </c>
      <c r="C12" s="587" t="s">
        <v>50</v>
      </c>
      <c r="D12" s="587" t="s">
        <v>47</v>
      </c>
      <c r="E12" s="588" t="s">
        <v>51</v>
      </c>
      <c r="F12" s="588">
        <v>1480</v>
      </c>
      <c r="G12" s="588">
        <v>444</v>
      </c>
      <c r="H12" s="588">
        <v>70</v>
      </c>
      <c r="I12" s="588">
        <v>762</v>
      </c>
      <c r="J12" s="588">
        <v>173</v>
      </c>
      <c r="K12" s="616" t="s">
        <v>235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 ht="19.899999999999999" thickBot="1">
      <c r="B13" s="672">
        <v>8</v>
      </c>
      <c r="C13" s="587" t="s">
        <v>52</v>
      </c>
      <c r="D13" s="587" t="s">
        <v>47</v>
      </c>
      <c r="E13" s="588">
        <v>40</v>
      </c>
      <c r="F13" s="588">
        <v>1652</v>
      </c>
      <c r="G13" s="588">
        <v>760</v>
      </c>
      <c r="H13" s="588">
        <v>54</v>
      </c>
      <c r="I13" s="588">
        <v>447</v>
      </c>
      <c r="J13" s="588">
        <v>159</v>
      </c>
      <c r="K13" s="616" t="s">
        <v>235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 ht="19.899999999999999" thickBot="1">
      <c r="B14" s="672">
        <v>9</v>
      </c>
      <c r="C14" s="587" t="s">
        <v>53</v>
      </c>
      <c r="D14" s="587" t="s">
        <v>47</v>
      </c>
      <c r="E14" s="588">
        <v>28</v>
      </c>
      <c r="F14" s="588">
        <v>1410</v>
      </c>
      <c r="G14" s="588">
        <v>663</v>
      </c>
      <c r="H14" s="588">
        <v>53</v>
      </c>
      <c r="I14" s="588">
        <v>430</v>
      </c>
      <c r="J14" s="588">
        <v>342</v>
      </c>
      <c r="K14" s="616" t="s">
        <v>235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19.899999999999999" thickBot="1">
      <c r="B15" s="672">
        <v>10</v>
      </c>
      <c r="C15" s="587" t="s">
        <v>54</v>
      </c>
      <c r="D15" s="587" t="s">
        <v>47</v>
      </c>
      <c r="E15" s="588" t="s">
        <v>55</v>
      </c>
      <c r="F15" s="588">
        <v>1633</v>
      </c>
      <c r="G15" s="588">
        <v>784</v>
      </c>
      <c r="H15" s="588">
        <v>52</v>
      </c>
      <c r="I15" s="588">
        <v>492</v>
      </c>
      <c r="J15" s="588">
        <v>377</v>
      </c>
      <c r="K15" s="616" t="s">
        <v>349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 ht="19.899999999999999" thickBot="1">
      <c r="B16" s="674">
        <v>11</v>
      </c>
      <c r="C16" s="592" t="s">
        <v>56</v>
      </c>
      <c r="D16" s="592" t="s">
        <v>47</v>
      </c>
      <c r="E16" s="593">
        <v>44</v>
      </c>
      <c r="F16" s="593">
        <v>3857</v>
      </c>
      <c r="G16" s="593">
        <v>1620</v>
      </c>
      <c r="H16" s="593">
        <v>58</v>
      </c>
      <c r="I16" s="593">
        <v>329</v>
      </c>
      <c r="J16" s="593">
        <v>352</v>
      </c>
      <c r="K16" s="612" t="s">
        <v>403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 ht="19.899999999999999" thickBot="1">
      <c r="B17" s="672">
        <v>12</v>
      </c>
      <c r="C17" s="587" t="s">
        <v>57</v>
      </c>
      <c r="D17" s="587" t="s">
        <v>47</v>
      </c>
      <c r="E17" s="588">
        <v>28</v>
      </c>
      <c r="F17" s="588">
        <v>1706</v>
      </c>
      <c r="G17" s="588">
        <v>273</v>
      </c>
      <c r="H17" s="588">
        <v>84</v>
      </c>
      <c r="I17" s="588">
        <v>377</v>
      </c>
      <c r="J17" s="588">
        <v>305</v>
      </c>
      <c r="K17" s="616" t="s">
        <v>235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 ht="19.899999999999999" thickBot="1">
      <c r="B18" s="579"/>
      <c r="C18" s="602"/>
      <c r="D18" s="602"/>
      <c r="E18" s="603"/>
      <c r="F18" s="604">
        <v>20855</v>
      </c>
      <c r="G18" s="604">
        <v>9213</v>
      </c>
      <c r="H18" s="605"/>
      <c r="I18" s="579"/>
      <c r="J18" s="605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 ht="19.899999999999999" thickBot="1">
      <c r="B19" s="579"/>
      <c r="C19" s="579"/>
      <c r="D19" s="1340"/>
      <c r="E19" s="1341"/>
      <c r="F19" s="589"/>
      <c r="G19" s="606">
        <v>9220</v>
      </c>
      <c r="H19" s="579"/>
      <c r="I19" s="579"/>
      <c r="J19" s="579"/>
      <c r="K19" s="579"/>
      <c r="L19" s="579">
        <f>27450+5500</f>
        <v>32950</v>
      </c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19.899999999999999" thickBot="1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19.899999999999999" thickBot="1">
      <c r="B21" s="579"/>
      <c r="C21" s="581"/>
      <c r="D21" s="581"/>
      <c r="E21" s="581"/>
      <c r="F21" s="581"/>
      <c r="G21" s="581"/>
      <c r="H21" s="581"/>
      <c r="I21" s="581"/>
      <c r="J21" s="581"/>
      <c r="K21" s="581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ht="36" customHeight="1" thickBot="1">
      <c r="B22" s="582"/>
      <c r="C22" s="1314" t="s">
        <v>404</v>
      </c>
      <c r="D22" s="1315"/>
      <c r="E22" s="1315"/>
      <c r="F22" s="1315"/>
      <c r="G22" s="1315"/>
      <c r="H22" s="1315"/>
      <c r="I22" s="1315"/>
      <c r="J22" s="1315"/>
      <c r="K22" s="1316"/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</row>
    <row r="23" spans="2:29" ht="51" thickBot="1">
      <c r="B23" s="675" t="s">
        <v>156</v>
      </c>
      <c r="C23" s="584" t="s">
        <v>31</v>
      </c>
      <c r="D23" s="584" t="s">
        <v>32</v>
      </c>
      <c r="E23" s="584" t="s">
        <v>33</v>
      </c>
      <c r="F23" s="584" t="s">
        <v>34</v>
      </c>
      <c r="G23" s="584" t="s">
        <v>35</v>
      </c>
      <c r="H23" s="584" t="s">
        <v>37</v>
      </c>
      <c r="I23" s="584" t="s">
        <v>38</v>
      </c>
      <c r="J23" s="584" t="s">
        <v>39</v>
      </c>
      <c r="K23" s="584" t="s">
        <v>40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19.899999999999999" thickBot="1">
      <c r="B24" s="676">
        <v>1</v>
      </c>
      <c r="C24" s="610" t="s">
        <v>376</v>
      </c>
      <c r="D24" s="610" t="s">
        <v>89</v>
      </c>
      <c r="E24" s="611">
        <v>24</v>
      </c>
      <c r="F24" s="611">
        <v>1203</v>
      </c>
      <c r="G24" s="611">
        <v>412</v>
      </c>
      <c r="H24" s="611">
        <v>66</v>
      </c>
      <c r="I24" s="611">
        <v>1724</v>
      </c>
      <c r="J24" s="611">
        <v>1320</v>
      </c>
      <c r="K24" s="612" t="s">
        <v>165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 ht="19.899999999999999" thickBot="1">
      <c r="B25" s="676">
        <v>2</v>
      </c>
      <c r="C25" s="610" t="s">
        <v>61</v>
      </c>
      <c r="D25" s="610" t="s">
        <v>62</v>
      </c>
      <c r="E25" s="611">
        <v>28</v>
      </c>
      <c r="F25" s="611">
        <v>888</v>
      </c>
      <c r="G25" s="611">
        <v>357</v>
      </c>
      <c r="H25" s="611">
        <v>60</v>
      </c>
      <c r="I25" s="611">
        <v>782</v>
      </c>
      <c r="J25" s="611">
        <v>377</v>
      </c>
      <c r="K25" s="582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 ht="19.899999999999999" thickBot="1">
      <c r="B26" s="676">
        <v>3</v>
      </c>
      <c r="C26" s="610" t="s">
        <v>64</v>
      </c>
      <c r="D26" s="610" t="s">
        <v>65</v>
      </c>
      <c r="E26" s="611">
        <v>32</v>
      </c>
      <c r="F26" s="611">
        <v>2160</v>
      </c>
      <c r="G26" s="611">
        <v>1413</v>
      </c>
      <c r="H26" s="611">
        <v>35</v>
      </c>
      <c r="I26" s="611">
        <v>430</v>
      </c>
      <c r="J26" s="611">
        <v>435</v>
      </c>
      <c r="K26" s="582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 ht="19.899999999999999" thickBot="1">
      <c r="B27" s="676">
        <v>4</v>
      </c>
      <c r="C27" s="610" t="s">
        <v>69</v>
      </c>
      <c r="D27" s="610" t="s">
        <v>70</v>
      </c>
      <c r="E27" s="611">
        <v>24</v>
      </c>
      <c r="F27" s="611">
        <v>964</v>
      </c>
      <c r="G27" s="611">
        <v>349</v>
      </c>
      <c r="H27" s="611">
        <v>64</v>
      </c>
      <c r="I27" s="611">
        <v>2411</v>
      </c>
      <c r="J27" s="611">
        <v>841</v>
      </c>
      <c r="K27" s="582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19.899999999999999" thickBot="1">
      <c r="B28" s="676">
        <v>5</v>
      </c>
      <c r="C28" s="610" t="s">
        <v>71</v>
      </c>
      <c r="D28" s="610" t="s">
        <v>72</v>
      </c>
      <c r="E28" s="611">
        <v>28</v>
      </c>
      <c r="F28" s="611">
        <v>858</v>
      </c>
      <c r="G28" s="611">
        <v>328</v>
      </c>
      <c r="H28" s="611">
        <v>62</v>
      </c>
      <c r="I28" s="611">
        <v>3000</v>
      </c>
      <c r="J28" s="611">
        <v>841</v>
      </c>
      <c r="K28" s="582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19.899999999999999" thickBot="1">
      <c r="B29" s="676">
        <v>6</v>
      </c>
      <c r="C29" s="610" t="s">
        <v>73</v>
      </c>
      <c r="D29" s="610" t="s">
        <v>72</v>
      </c>
      <c r="E29" s="611">
        <v>44</v>
      </c>
      <c r="F29" s="611">
        <v>1098</v>
      </c>
      <c r="G29" s="611">
        <v>663</v>
      </c>
      <c r="H29" s="611">
        <v>40</v>
      </c>
      <c r="I29" s="611">
        <v>3206</v>
      </c>
      <c r="J29" s="611">
        <v>493</v>
      </c>
      <c r="K29" s="582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ht="19.899999999999999" thickBot="1">
      <c r="B30" s="676">
        <v>7</v>
      </c>
      <c r="C30" s="610" t="s">
        <v>74</v>
      </c>
      <c r="D30" s="610" t="s">
        <v>75</v>
      </c>
      <c r="E30" s="611">
        <v>36</v>
      </c>
      <c r="F30" s="611">
        <v>3195</v>
      </c>
      <c r="G30" s="611">
        <v>1415</v>
      </c>
      <c r="H30" s="611">
        <v>56</v>
      </c>
      <c r="I30" s="611">
        <v>1306</v>
      </c>
      <c r="J30" s="611">
        <v>812</v>
      </c>
      <c r="K30" s="582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</row>
    <row r="31" spans="2:29" ht="19.899999999999999" thickBot="1">
      <c r="B31" s="676">
        <v>8</v>
      </c>
      <c r="C31" s="610" t="s">
        <v>76</v>
      </c>
      <c r="D31" s="610" t="s">
        <v>77</v>
      </c>
      <c r="E31" s="611">
        <v>20</v>
      </c>
      <c r="F31" s="611">
        <v>718</v>
      </c>
      <c r="G31" s="611">
        <v>325</v>
      </c>
      <c r="H31" s="611">
        <v>55</v>
      </c>
      <c r="I31" s="611">
        <v>264</v>
      </c>
      <c r="J31" s="611">
        <v>203</v>
      </c>
      <c r="K31" s="582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</row>
    <row r="32" spans="2:29" ht="19.899999999999999" thickBot="1">
      <c r="B32" s="676">
        <v>9</v>
      </c>
      <c r="C32" s="610" t="s">
        <v>78</v>
      </c>
      <c r="D32" s="610" t="s">
        <v>79</v>
      </c>
      <c r="E32" s="611">
        <v>52</v>
      </c>
      <c r="F32" s="611">
        <v>1046</v>
      </c>
      <c r="G32" s="611">
        <v>1031</v>
      </c>
      <c r="H32" s="611">
        <v>2</v>
      </c>
      <c r="I32" s="611">
        <v>553</v>
      </c>
      <c r="J32" s="611">
        <v>218</v>
      </c>
      <c r="K32" s="582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</row>
    <row r="33" spans="2:29" s="647" customFormat="1" ht="19.899999999999999" thickBot="1">
      <c r="B33" s="692">
        <v>10</v>
      </c>
      <c r="C33" s="631" t="s">
        <v>80</v>
      </c>
      <c r="D33" s="631" t="s">
        <v>81</v>
      </c>
      <c r="E33" s="632">
        <v>32</v>
      </c>
      <c r="F33" s="632">
        <v>1640</v>
      </c>
      <c r="G33" s="632">
        <v>495</v>
      </c>
      <c r="H33" s="632">
        <v>70</v>
      </c>
      <c r="I33" s="632">
        <v>1849</v>
      </c>
      <c r="J33" s="632">
        <v>609</v>
      </c>
      <c r="K33" s="633"/>
      <c r="L33" s="646"/>
      <c r="M33" s="646"/>
      <c r="N33" s="646"/>
      <c r="O33" s="646"/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</row>
    <row r="34" spans="2:29" ht="19.899999999999999" thickBot="1">
      <c r="B34" s="676">
        <v>11</v>
      </c>
      <c r="C34" s="610" t="s">
        <v>82</v>
      </c>
      <c r="D34" s="610" t="s">
        <v>65</v>
      </c>
      <c r="E34" s="611">
        <v>28</v>
      </c>
      <c r="F34" s="611">
        <v>1153</v>
      </c>
      <c r="G34" s="611">
        <v>1009</v>
      </c>
      <c r="H34" s="611">
        <v>13</v>
      </c>
      <c r="I34" s="611">
        <v>587</v>
      </c>
      <c r="J34" s="611">
        <v>464</v>
      </c>
      <c r="K34" s="582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</row>
    <row r="35" spans="2:29" ht="19.899999999999999" thickBot="1">
      <c r="B35" s="677">
        <v>12</v>
      </c>
      <c r="C35" s="614" t="s">
        <v>379</v>
      </c>
      <c r="D35" s="614" t="s">
        <v>380</v>
      </c>
      <c r="E35" s="615">
        <v>20</v>
      </c>
      <c r="F35" s="615">
        <v>773</v>
      </c>
      <c r="G35" s="615">
        <v>288</v>
      </c>
      <c r="H35" s="615">
        <v>63</v>
      </c>
      <c r="I35" s="615">
        <v>2273</v>
      </c>
      <c r="J35" s="615">
        <v>762</v>
      </c>
      <c r="K35" s="616" t="s">
        <v>402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</row>
    <row r="36" spans="2:29" ht="19.899999999999999" thickBot="1">
      <c r="B36" s="677">
        <v>13</v>
      </c>
      <c r="C36" s="614" t="s">
        <v>351</v>
      </c>
      <c r="D36" s="614" t="s">
        <v>352</v>
      </c>
      <c r="E36" s="615">
        <v>24</v>
      </c>
      <c r="F36" s="615">
        <v>750</v>
      </c>
      <c r="G36" s="615">
        <v>302</v>
      </c>
      <c r="H36" s="615">
        <v>60</v>
      </c>
      <c r="I36" s="615" t="s">
        <v>164</v>
      </c>
      <c r="J36" s="615">
        <v>1000</v>
      </c>
      <c r="K36" s="616" t="s">
        <v>402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</row>
    <row r="37" spans="2:29" s="647" customFormat="1" ht="19.899999999999999" thickBot="1">
      <c r="B37" s="692">
        <v>14</v>
      </c>
      <c r="C37" s="631" t="s">
        <v>83</v>
      </c>
      <c r="D37" s="631" t="s">
        <v>84</v>
      </c>
      <c r="E37" s="632">
        <v>44</v>
      </c>
      <c r="F37" s="632">
        <v>3272</v>
      </c>
      <c r="G37" s="632">
        <v>1054</v>
      </c>
      <c r="H37" s="632">
        <v>68</v>
      </c>
      <c r="I37" s="632">
        <v>4131</v>
      </c>
      <c r="J37" s="632">
        <v>1218</v>
      </c>
      <c r="K37" s="633"/>
      <c r="L37" s="646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</row>
    <row r="38" spans="2:29" ht="19.899999999999999" thickBot="1">
      <c r="B38" s="677">
        <v>15</v>
      </c>
      <c r="C38" s="614" t="s">
        <v>85</v>
      </c>
      <c r="D38" s="614" t="s">
        <v>72</v>
      </c>
      <c r="E38" s="615">
        <v>32</v>
      </c>
      <c r="F38" s="615">
        <v>1427</v>
      </c>
      <c r="G38" s="615">
        <v>905</v>
      </c>
      <c r="H38" s="615">
        <v>37</v>
      </c>
      <c r="I38" s="615">
        <v>1058</v>
      </c>
      <c r="J38" s="615">
        <v>522</v>
      </c>
      <c r="K38" s="616" t="s">
        <v>235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</row>
    <row r="39" spans="2:29" s="647" customFormat="1" ht="19.899999999999999" thickBot="1">
      <c r="B39" s="692">
        <v>16</v>
      </c>
      <c r="C39" s="631" t="s">
        <v>86</v>
      </c>
      <c r="D39" s="631" t="s">
        <v>87</v>
      </c>
      <c r="E39" s="632">
        <v>28</v>
      </c>
      <c r="F39" s="632">
        <v>900</v>
      </c>
      <c r="G39" s="632">
        <v>408</v>
      </c>
      <c r="H39" s="632">
        <v>55</v>
      </c>
      <c r="I39" s="632">
        <v>5513</v>
      </c>
      <c r="J39" s="632">
        <v>2030</v>
      </c>
      <c r="K39" s="633"/>
      <c r="L39" s="646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</row>
    <row r="40" spans="2:29" ht="19.899999999999999" thickBot="1">
      <c r="B40" s="692">
        <v>17</v>
      </c>
      <c r="C40" s="631" t="s">
        <v>88</v>
      </c>
      <c r="D40" s="631" t="s">
        <v>89</v>
      </c>
      <c r="E40" s="632">
        <v>28</v>
      </c>
      <c r="F40" s="632">
        <v>1171</v>
      </c>
      <c r="G40" s="632">
        <v>530</v>
      </c>
      <c r="H40" s="632">
        <v>55</v>
      </c>
      <c r="I40" s="632">
        <v>2051</v>
      </c>
      <c r="J40" s="632">
        <v>522</v>
      </c>
      <c r="K40" s="633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</row>
    <row r="41" spans="2:29" s="647" customFormat="1" ht="19.899999999999999" thickBot="1">
      <c r="B41" s="692">
        <v>18</v>
      </c>
      <c r="C41" s="631" t="s">
        <v>90</v>
      </c>
      <c r="D41" s="631" t="s">
        <v>84</v>
      </c>
      <c r="E41" s="632">
        <v>48</v>
      </c>
      <c r="F41" s="632">
        <v>547</v>
      </c>
      <c r="G41" s="632">
        <v>512</v>
      </c>
      <c r="H41" s="632">
        <v>7</v>
      </c>
      <c r="I41" s="632">
        <v>6498</v>
      </c>
      <c r="J41" s="632">
        <v>550</v>
      </c>
      <c r="K41" s="633"/>
      <c r="L41" s="646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ht="19.899999999999999" thickBot="1">
      <c r="B42" s="676">
        <v>19</v>
      </c>
      <c r="C42" s="610" t="s">
        <v>91</v>
      </c>
      <c r="D42" s="610" t="s">
        <v>89</v>
      </c>
      <c r="E42" s="611">
        <v>36</v>
      </c>
      <c r="F42" s="611">
        <v>496</v>
      </c>
      <c r="G42" s="611">
        <v>499</v>
      </c>
      <c r="H42" s="611">
        <v>0</v>
      </c>
      <c r="I42" s="611">
        <v>1297</v>
      </c>
      <c r="J42" s="611">
        <v>200</v>
      </c>
      <c r="K42" s="582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</row>
    <row r="43" spans="2:29" ht="19.899999999999999" thickBot="1">
      <c r="B43" s="676">
        <v>20</v>
      </c>
      <c r="C43" s="610" t="s">
        <v>92</v>
      </c>
      <c r="D43" s="610" t="s">
        <v>93</v>
      </c>
      <c r="E43" s="611">
        <v>24</v>
      </c>
      <c r="F43" s="611">
        <v>652</v>
      </c>
      <c r="G43" s="611">
        <v>380</v>
      </c>
      <c r="H43" s="611">
        <v>42</v>
      </c>
      <c r="I43" s="611">
        <v>373</v>
      </c>
      <c r="J43" s="611">
        <v>174</v>
      </c>
      <c r="K43" s="582"/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</row>
    <row r="44" spans="2:29" ht="19.899999999999999" thickBot="1">
      <c r="B44" s="692">
        <v>21</v>
      </c>
      <c r="C44" s="631" t="s">
        <v>94</v>
      </c>
      <c r="D44" s="631" t="s">
        <v>67</v>
      </c>
      <c r="E44" s="632">
        <v>24</v>
      </c>
      <c r="F44" s="632">
        <v>1600</v>
      </c>
      <c r="G44" s="632">
        <v>918</v>
      </c>
      <c r="H44" s="632">
        <v>43</v>
      </c>
      <c r="I44" s="632">
        <v>258</v>
      </c>
      <c r="J44" s="632">
        <v>450</v>
      </c>
      <c r="K44" s="633"/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</row>
    <row r="45" spans="2:29" ht="19.899999999999999" thickBot="1">
      <c r="B45" s="676">
        <v>22</v>
      </c>
      <c r="C45" s="610" t="s">
        <v>95</v>
      </c>
      <c r="D45" s="610" t="s">
        <v>65</v>
      </c>
      <c r="E45" s="611">
        <v>20</v>
      </c>
      <c r="F45" s="611">
        <v>576</v>
      </c>
      <c r="G45" s="611">
        <v>429</v>
      </c>
      <c r="H45" s="611">
        <v>26</v>
      </c>
      <c r="I45" s="611">
        <v>415</v>
      </c>
      <c r="J45" s="611">
        <v>348</v>
      </c>
      <c r="K45" s="582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</row>
    <row r="46" spans="2:29" ht="19.899999999999999" thickBot="1">
      <c r="B46" s="692">
        <v>23</v>
      </c>
      <c r="C46" s="631" t="s">
        <v>96</v>
      </c>
      <c r="D46" s="631" t="s">
        <v>67</v>
      </c>
      <c r="E46" s="632">
        <v>36</v>
      </c>
      <c r="F46" s="632">
        <v>2120</v>
      </c>
      <c r="G46" s="632">
        <v>960</v>
      </c>
      <c r="H46" s="632">
        <v>55</v>
      </c>
      <c r="I46" s="632">
        <v>450</v>
      </c>
      <c r="J46" s="632">
        <v>406</v>
      </c>
      <c r="K46" s="633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9.899999999999999" thickBot="1">
      <c r="B47" s="579"/>
      <c r="C47" s="605"/>
      <c r="D47" s="605"/>
      <c r="E47" s="617"/>
      <c r="F47" s="611">
        <v>29207</v>
      </c>
      <c r="G47" s="611">
        <v>14982</v>
      </c>
      <c r="H47" s="618"/>
      <c r="I47" s="618"/>
      <c r="J47" s="618"/>
      <c r="K47" s="57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9.899999999999999" thickBot="1">
      <c r="B48" s="579"/>
      <c r="C48" s="1325" t="s">
        <v>168</v>
      </c>
      <c r="D48" s="1326"/>
      <c r="E48" s="1327"/>
      <c r="F48" s="589"/>
      <c r="G48" s="619">
        <v>14982</v>
      </c>
      <c r="H48" s="579"/>
      <c r="I48" s="579"/>
      <c r="J48" s="579"/>
      <c r="K48" s="57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9.899999999999999" thickBot="1">
      <c r="B49" s="579"/>
      <c r="C49" s="579"/>
      <c r="D49" s="579"/>
      <c r="E49" s="579"/>
      <c r="F49" s="589"/>
      <c r="G49" s="620">
        <v>14990</v>
      </c>
      <c r="H49" s="579"/>
      <c r="I49" s="579"/>
      <c r="J49" s="579"/>
      <c r="K49" s="57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9.899999999999999" thickBot="1">
      <c r="B50" s="602"/>
      <c r="C50" s="602"/>
      <c r="D50" s="602"/>
      <c r="E50" s="602"/>
      <c r="F50" s="636"/>
      <c r="G50" s="681"/>
      <c r="H50" s="637"/>
      <c r="I50" s="602"/>
      <c r="J50" s="602"/>
      <c r="K50" s="602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19.899999999999999" thickBot="1">
      <c r="B51" s="602"/>
      <c r="C51" s="622"/>
      <c r="D51" s="622"/>
      <c r="E51" s="622"/>
      <c r="F51" s="634"/>
      <c r="G51" s="602"/>
      <c r="H51" s="635"/>
      <c r="I51" s="602"/>
      <c r="J51" s="622"/>
      <c r="K51" s="622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36" customHeight="1" thickBot="1">
      <c r="B52" s="613"/>
      <c r="C52" s="1337" t="s">
        <v>405</v>
      </c>
      <c r="D52" s="1338"/>
      <c r="E52" s="1338"/>
      <c r="F52" s="1338"/>
      <c r="G52" s="1338"/>
      <c r="H52" s="1338"/>
      <c r="I52" s="1338"/>
      <c r="J52" s="1338"/>
      <c r="K52" s="1339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51" thickBot="1">
      <c r="B53" s="671" t="s">
        <v>156</v>
      </c>
      <c r="C53" s="584" t="s">
        <v>31</v>
      </c>
      <c r="D53" s="584" t="s">
        <v>32</v>
      </c>
      <c r="E53" s="584" t="s">
        <v>33</v>
      </c>
      <c r="F53" s="584" t="s">
        <v>34</v>
      </c>
      <c r="G53" s="584" t="s">
        <v>35</v>
      </c>
      <c r="H53" s="584" t="s">
        <v>37</v>
      </c>
      <c r="I53" s="584" t="s">
        <v>38</v>
      </c>
      <c r="J53" s="584" t="s">
        <v>39</v>
      </c>
      <c r="K53" s="585" t="s">
        <v>40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</row>
    <row r="54" spans="2:29" ht="19.899999999999999" thickBot="1">
      <c r="B54" s="674">
        <v>1</v>
      </c>
      <c r="C54" s="623" t="s">
        <v>98</v>
      </c>
      <c r="D54" s="592" t="s">
        <v>99</v>
      </c>
      <c r="E54" s="593">
        <v>36</v>
      </c>
      <c r="F54" s="593">
        <v>2403</v>
      </c>
      <c r="G54" s="593">
        <v>1490</v>
      </c>
      <c r="H54" s="593">
        <v>38</v>
      </c>
      <c r="I54" s="593">
        <v>439</v>
      </c>
      <c r="J54" s="593">
        <v>330</v>
      </c>
      <c r="K54" s="678"/>
      <c r="L54" s="621"/>
      <c r="M54" s="621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9.899999999999999" thickBot="1">
      <c r="B55" s="674">
        <v>2</v>
      </c>
      <c r="C55" s="623" t="s">
        <v>100</v>
      </c>
      <c r="D55" s="592" t="s">
        <v>101</v>
      </c>
      <c r="E55" s="593">
        <v>36</v>
      </c>
      <c r="F55" s="593">
        <v>968</v>
      </c>
      <c r="G55" s="593">
        <v>968</v>
      </c>
      <c r="H55" s="593">
        <v>0</v>
      </c>
      <c r="I55" s="593">
        <v>345</v>
      </c>
      <c r="J55" s="593">
        <v>120</v>
      </c>
      <c r="K55" s="678"/>
      <c r="L55" s="602"/>
      <c r="M55" s="602"/>
      <c r="N55" s="602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 ht="19.899999999999999" thickBot="1">
      <c r="B56" s="674">
        <v>3</v>
      </c>
      <c r="C56" s="623" t="s">
        <v>104</v>
      </c>
      <c r="D56" s="592" t="s">
        <v>99</v>
      </c>
      <c r="E56" s="593">
        <v>24</v>
      </c>
      <c r="F56" s="593">
        <v>1108</v>
      </c>
      <c r="G56" s="593">
        <v>410</v>
      </c>
      <c r="H56" s="593">
        <v>63</v>
      </c>
      <c r="I56" s="593">
        <v>373</v>
      </c>
      <c r="J56" s="593">
        <v>220</v>
      </c>
      <c r="K56" s="678"/>
      <c r="L56" s="621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 ht="19.899999999999999" thickBot="1">
      <c r="B57" s="674">
        <v>4</v>
      </c>
      <c r="C57" s="623" t="s">
        <v>106</v>
      </c>
      <c r="D57" s="592" t="s">
        <v>103</v>
      </c>
      <c r="E57" s="593">
        <v>28</v>
      </c>
      <c r="F57" s="593">
        <v>778</v>
      </c>
      <c r="G57" s="593">
        <v>630</v>
      </c>
      <c r="H57" s="593">
        <v>19</v>
      </c>
      <c r="I57" s="593">
        <v>959</v>
      </c>
      <c r="J57" s="593">
        <v>370</v>
      </c>
      <c r="K57" s="678"/>
      <c r="L57" s="621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9.899999999999999" thickBot="1">
      <c r="B58" s="672">
        <v>5</v>
      </c>
      <c r="C58" s="624" t="s">
        <v>107</v>
      </c>
      <c r="D58" s="587" t="s">
        <v>103</v>
      </c>
      <c r="E58" s="588">
        <v>28</v>
      </c>
      <c r="F58" s="588">
        <v>844</v>
      </c>
      <c r="G58" s="588">
        <v>380</v>
      </c>
      <c r="H58" s="588">
        <v>55</v>
      </c>
      <c r="I58" s="588">
        <v>423</v>
      </c>
      <c r="J58" s="588">
        <v>160</v>
      </c>
      <c r="K58" s="679" t="s">
        <v>68</v>
      </c>
      <c r="L58" s="621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 ht="19.899999999999999" thickBot="1">
      <c r="B59" s="674">
        <v>6</v>
      </c>
      <c r="C59" s="623" t="s">
        <v>109</v>
      </c>
      <c r="D59" s="592" t="s">
        <v>110</v>
      </c>
      <c r="E59" s="593">
        <v>28</v>
      </c>
      <c r="F59" s="593">
        <v>1096</v>
      </c>
      <c r="G59" s="593">
        <v>526</v>
      </c>
      <c r="H59" s="593">
        <v>52</v>
      </c>
      <c r="I59" s="593">
        <v>308</v>
      </c>
      <c r="J59" s="593">
        <v>240</v>
      </c>
      <c r="K59" s="678"/>
      <c r="L59" s="621"/>
      <c r="M59" s="621"/>
      <c r="N59" s="621"/>
      <c r="O59" s="621"/>
      <c r="P59" s="621"/>
      <c r="Q59" s="621"/>
      <c r="R59" s="621"/>
      <c r="S59" s="621"/>
      <c r="T59" s="62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 ht="19.899999999999999" thickBot="1">
      <c r="B60" s="674">
        <v>7</v>
      </c>
      <c r="C60" s="623" t="s">
        <v>111</v>
      </c>
      <c r="D60" s="592" t="s">
        <v>99</v>
      </c>
      <c r="E60" s="593">
        <v>36</v>
      </c>
      <c r="F60" s="593">
        <v>2705</v>
      </c>
      <c r="G60" s="593">
        <v>1271</v>
      </c>
      <c r="H60" s="593">
        <v>53</v>
      </c>
      <c r="I60" s="593">
        <v>439</v>
      </c>
      <c r="J60" s="593">
        <v>370</v>
      </c>
      <c r="K60" s="678"/>
      <c r="L60" s="621"/>
      <c r="M60" s="621"/>
      <c r="N60" s="621"/>
      <c r="O60" s="621"/>
      <c r="P60" s="621"/>
      <c r="Q60" s="621"/>
      <c r="R60" s="621"/>
      <c r="S60" s="621"/>
      <c r="T60" s="621"/>
      <c r="U60" s="621"/>
      <c r="V60" s="621"/>
      <c r="W60" s="621"/>
      <c r="X60" s="621"/>
      <c r="Y60" s="621"/>
      <c r="Z60" s="621"/>
      <c r="AA60" s="621"/>
      <c r="AB60" s="621"/>
      <c r="AC60" s="621"/>
    </row>
    <row r="61" spans="2:29" ht="19.899999999999999" thickBot="1">
      <c r="B61" s="690">
        <v>8</v>
      </c>
      <c r="C61" s="640" t="s">
        <v>112</v>
      </c>
      <c r="D61" s="639" t="s">
        <v>103</v>
      </c>
      <c r="E61" s="641">
        <v>56</v>
      </c>
      <c r="F61" s="641">
        <v>5814</v>
      </c>
      <c r="G61" s="641">
        <v>5814</v>
      </c>
      <c r="H61" s="641">
        <v>0</v>
      </c>
      <c r="I61" s="641">
        <v>439</v>
      </c>
      <c r="J61" s="641">
        <v>602</v>
      </c>
      <c r="K61" s="691"/>
      <c r="L61" s="621"/>
      <c r="M61" s="621"/>
      <c r="N61" s="680"/>
      <c r="O61" s="680"/>
      <c r="P61" s="680"/>
      <c r="Q61" s="680"/>
      <c r="R61" s="680"/>
      <c r="S61" s="680"/>
      <c r="T61" s="680"/>
      <c r="U61" s="680"/>
      <c r="V61" s="680"/>
      <c r="W61" s="680"/>
      <c r="X61" s="680"/>
      <c r="Y61" s="680"/>
      <c r="Z61" s="680"/>
      <c r="AA61" s="680"/>
      <c r="AB61" s="621"/>
      <c r="AC61" s="621"/>
    </row>
    <row r="62" spans="2:29" ht="19.899999999999999" thickBot="1">
      <c r="B62" s="674">
        <v>9</v>
      </c>
      <c r="C62" s="623" t="s">
        <v>113</v>
      </c>
      <c r="D62" s="592" t="s">
        <v>103</v>
      </c>
      <c r="E62" s="593">
        <v>36</v>
      </c>
      <c r="F62" s="593">
        <v>2199</v>
      </c>
      <c r="G62" s="593">
        <v>2001</v>
      </c>
      <c r="H62" s="593">
        <v>9</v>
      </c>
      <c r="I62" s="593">
        <v>346</v>
      </c>
      <c r="J62" s="593">
        <v>440</v>
      </c>
      <c r="K62" s="678"/>
      <c r="L62" s="621"/>
      <c r="M62" s="583"/>
      <c r="N62" s="621"/>
      <c r="O62" s="621"/>
      <c r="P62" s="621"/>
      <c r="Q62" s="621"/>
      <c r="R62" s="621"/>
      <c r="S62" s="621"/>
      <c r="T62" s="621"/>
      <c r="U62" s="621"/>
      <c r="V62" s="621"/>
      <c r="W62" s="621"/>
      <c r="X62" s="621"/>
      <c r="Y62" s="621"/>
      <c r="Z62" s="621"/>
      <c r="AA62" s="583"/>
      <c r="AB62" s="621"/>
      <c r="AC62" s="621"/>
    </row>
    <row r="63" spans="2:29" ht="19.899999999999999" thickBot="1">
      <c r="B63" s="674">
        <v>11</v>
      </c>
      <c r="C63" s="623" t="s">
        <v>114</v>
      </c>
      <c r="D63" s="592" t="s">
        <v>99</v>
      </c>
      <c r="E63" s="593">
        <v>40</v>
      </c>
      <c r="F63" s="593">
        <v>1958</v>
      </c>
      <c r="G63" s="593">
        <v>1155</v>
      </c>
      <c r="H63" s="593">
        <v>41</v>
      </c>
      <c r="I63" s="593">
        <v>396</v>
      </c>
      <c r="J63" s="593">
        <v>300</v>
      </c>
      <c r="K63" s="678"/>
      <c r="L63" s="621"/>
      <c r="M63" s="621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 ht="19.899999999999999" thickBot="1">
      <c r="B64" s="674">
        <v>10</v>
      </c>
      <c r="C64" s="623" t="s">
        <v>115</v>
      </c>
      <c r="D64" s="592" t="s">
        <v>105</v>
      </c>
      <c r="E64" s="593">
        <v>20</v>
      </c>
      <c r="F64" s="593">
        <v>738</v>
      </c>
      <c r="G64" s="593">
        <v>649</v>
      </c>
      <c r="H64" s="593">
        <v>12</v>
      </c>
      <c r="I64" s="593">
        <v>293</v>
      </c>
      <c r="J64" s="593">
        <v>510</v>
      </c>
      <c r="K64" s="678"/>
      <c r="L64" s="621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 ht="19.899999999999999" thickBot="1">
      <c r="B65" s="672">
        <v>12</v>
      </c>
      <c r="C65" s="624" t="s">
        <v>116</v>
      </c>
      <c r="D65" s="587" t="s">
        <v>117</v>
      </c>
      <c r="E65" s="588">
        <v>28</v>
      </c>
      <c r="F65" s="588">
        <v>771</v>
      </c>
      <c r="G65" s="588">
        <v>172</v>
      </c>
      <c r="H65" s="588">
        <v>78</v>
      </c>
      <c r="I65" s="588">
        <v>669</v>
      </c>
      <c r="J65" s="588">
        <v>200</v>
      </c>
      <c r="K65" s="679" t="s">
        <v>235</v>
      </c>
      <c r="L65" s="621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 ht="19.899999999999999" thickBot="1">
      <c r="B66" s="672">
        <v>13</v>
      </c>
      <c r="C66" s="624" t="s">
        <v>118</v>
      </c>
      <c r="D66" s="587" t="s">
        <v>99</v>
      </c>
      <c r="E66" s="588">
        <v>24</v>
      </c>
      <c r="F66" s="588">
        <v>797</v>
      </c>
      <c r="G66" s="588">
        <v>390</v>
      </c>
      <c r="H66" s="588">
        <v>51</v>
      </c>
      <c r="I66" s="588">
        <v>450</v>
      </c>
      <c r="J66" s="588">
        <v>315</v>
      </c>
      <c r="K66" s="679" t="s">
        <v>260</v>
      </c>
      <c r="L66" s="621"/>
      <c r="M66" s="621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 ht="19.899999999999999" thickBot="1">
      <c r="B67" s="674">
        <v>14</v>
      </c>
      <c r="C67" s="623" t="s">
        <v>119</v>
      </c>
      <c r="D67" s="592" t="s">
        <v>103</v>
      </c>
      <c r="E67" s="593">
        <v>28</v>
      </c>
      <c r="F67" s="593">
        <v>628</v>
      </c>
      <c r="G67" s="593">
        <v>308</v>
      </c>
      <c r="H67" s="593">
        <v>51</v>
      </c>
      <c r="I67" s="593">
        <v>340</v>
      </c>
      <c r="J67" s="593">
        <v>120</v>
      </c>
      <c r="K67" s="678"/>
      <c r="L67" s="621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 ht="19.899999999999999" thickBot="1">
      <c r="B68" s="674">
        <v>15</v>
      </c>
      <c r="C68" s="623" t="s">
        <v>120</v>
      </c>
      <c r="D68" s="592" t="s">
        <v>101</v>
      </c>
      <c r="E68" s="593">
        <v>20</v>
      </c>
      <c r="F68" s="593">
        <v>240</v>
      </c>
      <c r="G68" s="593">
        <v>113</v>
      </c>
      <c r="H68" s="593">
        <v>53</v>
      </c>
      <c r="I68" s="593">
        <v>393</v>
      </c>
      <c r="J68" s="593">
        <v>160</v>
      </c>
      <c r="K68" s="678"/>
      <c r="L68" s="621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 ht="19.899999999999999" thickBot="1">
      <c r="B69" s="672">
        <v>16</v>
      </c>
      <c r="C69" s="624" t="s">
        <v>121</v>
      </c>
      <c r="D69" s="587" t="s">
        <v>105</v>
      </c>
      <c r="E69" s="588">
        <v>24</v>
      </c>
      <c r="F69" s="588">
        <v>360</v>
      </c>
      <c r="G69" s="588">
        <v>227</v>
      </c>
      <c r="H69" s="588">
        <v>40</v>
      </c>
      <c r="I69" s="588">
        <v>217</v>
      </c>
      <c r="J69" s="588">
        <v>140</v>
      </c>
      <c r="K69" s="695" t="s">
        <v>406</v>
      </c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 ht="19.899999999999999" thickBot="1">
      <c r="B70" s="672">
        <v>17</v>
      </c>
      <c r="C70" s="624" t="s">
        <v>122</v>
      </c>
      <c r="D70" s="587" t="s">
        <v>110</v>
      </c>
      <c r="E70" s="588">
        <v>24</v>
      </c>
      <c r="F70" s="588">
        <v>908</v>
      </c>
      <c r="G70" s="588">
        <v>835</v>
      </c>
      <c r="H70" s="588">
        <v>8</v>
      </c>
      <c r="I70" s="588">
        <v>332</v>
      </c>
      <c r="J70" s="588">
        <v>570</v>
      </c>
      <c r="K70" s="679" t="s">
        <v>235</v>
      </c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 ht="19.899999999999999" thickBot="1">
      <c r="B71" s="674">
        <v>18</v>
      </c>
      <c r="C71" s="623" t="s">
        <v>123</v>
      </c>
      <c r="D71" s="592" t="s">
        <v>124</v>
      </c>
      <c r="E71" s="593">
        <v>24</v>
      </c>
      <c r="F71" s="593">
        <v>903</v>
      </c>
      <c r="G71" s="593">
        <v>289</v>
      </c>
      <c r="H71" s="593">
        <v>68</v>
      </c>
      <c r="I71" s="593">
        <v>1025</v>
      </c>
      <c r="J71" s="593">
        <v>330</v>
      </c>
      <c r="K71" s="678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19.899999999999999" thickBot="1">
      <c r="B72" s="690">
        <v>19</v>
      </c>
      <c r="C72" s="640" t="s">
        <v>127</v>
      </c>
      <c r="D72" s="639" t="s">
        <v>101</v>
      </c>
      <c r="E72" s="641">
        <v>36</v>
      </c>
      <c r="F72" s="641">
        <v>3083</v>
      </c>
      <c r="G72" s="641">
        <v>894</v>
      </c>
      <c r="H72" s="641">
        <v>71</v>
      </c>
      <c r="I72" s="641">
        <v>360</v>
      </c>
      <c r="J72" s="641">
        <v>220</v>
      </c>
      <c r="K72" s="691"/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 ht="19.899999999999999" thickBot="1">
      <c r="B73" s="674">
        <v>20</v>
      </c>
      <c r="C73" s="623" t="s">
        <v>128</v>
      </c>
      <c r="D73" s="592" t="s">
        <v>105</v>
      </c>
      <c r="E73" s="593">
        <v>24</v>
      </c>
      <c r="F73" s="593">
        <v>741</v>
      </c>
      <c r="G73" s="593">
        <v>200</v>
      </c>
      <c r="H73" s="593">
        <v>73</v>
      </c>
      <c r="I73" s="593">
        <v>300</v>
      </c>
      <c r="J73" s="593">
        <v>180</v>
      </c>
      <c r="K73" s="678"/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19.899999999999999" thickBot="1">
      <c r="B74" s="672">
        <v>21</v>
      </c>
      <c r="C74" s="624" t="s">
        <v>129</v>
      </c>
      <c r="D74" s="587" t="s">
        <v>99</v>
      </c>
      <c r="E74" s="588">
        <v>20</v>
      </c>
      <c r="F74" s="588">
        <v>700</v>
      </c>
      <c r="G74" s="588">
        <v>427</v>
      </c>
      <c r="H74" s="588">
        <v>39</v>
      </c>
      <c r="I74" s="588">
        <v>345</v>
      </c>
      <c r="J74" s="588">
        <v>100</v>
      </c>
      <c r="K74" s="679" t="s">
        <v>68</v>
      </c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19.899999999999999" thickBot="1">
      <c r="B75" s="672">
        <v>22</v>
      </c>
      <c r="C75" s="624" t="s">
        <v>130</v>
      </c>
      <c r="D75" s="587" t="s">
        <v>105</v>
      </c>
      <c r="E75" s="588">
        <v>16</v>
      </c>
      <c r="F75" s="588">
        <v>791</v>
      </c>
      <c r="G75" s="588">
        <v>340</v>
      </c>
      <c r="H75" s="588">
        <v>57</v>
      </c>
      <c r="I75" s="588">
        <v>309</v>
      </c>
      <c r="J75" s="588">
        <v>182</v>
      </c>
      <c r="K75" s="679" t="s">
        <v>68</v>
      </c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19.899999999999999" thickBot="1">
      <c r="B76" s="672">
        <v>23</v>
      </c>
      <c r="C76" s="624" t="s">
        <v>131</v>
      </c>
      <c r="D76" s="587" t="s">
        <v>110</v>
      </c>
      <c r="E76" s="588">
        <v>24</v>
      </c>
      <c r="F76" s="588">
        <v>878</v>
      </c>
      <c r="G76" s="588">
        <v>430</v>
      </c>
      <c r="H76" s="588">
        <v>51</v>
      </c>
      <c r="I76" s="588">
        <v>486</v>
      </c>
      <c r="J76" s="588">
        <v>377</v>
      </c>
      <c r="K76" s="679" t="s">
        <v>68</v>
      </c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34.15" thickBot="1">
      <c r="B77" s="674">
        <v>24</v>
      </c>
      <c r="C77" s="623" t="s">
        <v>132</v>
      </c>
      <c r="D77" s="592" t="s">
        <v>133</v>
      </c>
      <c r="E77" s="593">
        <v>24</v>
      </c>
      <c r="F77" s="593">
        <v>595</v>
      </c>
      <c r="G77" s="593">
        <v>304</v>
      </c>
      <c r="H77" s="593">
        <v>49</v>
      </c>
      <c r="I77" s="593">
        <v>333</v>
      </c>
      <c r="J77" s="593">
        <v>170</v>
      </c>
      <c r="K77" s="678"/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19.899999999999999" thickBot="1">
      <c r="B78" s="674">
        <v>25</v>
      </c>
      <c r="C78" s="623" t="s">
        <v>134</v>
      </c>
      <c r="D78" s="592" t="s">
        <v>135</v>
      </c>
      <c r="E78" s="593">
        <v>20</v>
      </c>
      <c r="F78" s="593">
        <v>475</v>
      </c>
      <c r="G78" s="593">
        <v>190</v>
      </c>
      <c r="H78" s="593">
        <v>60</v>
      </c>
      <c r="I78" s="593">
        <v>1836</v>
      </c>
      <c r="J78" s="593">
        <v>563</v>
      </c>
      <c r="K78" s="679"/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19.899999999999999" thickBot="1">
      <c r="B79" s="672">
        <v>26</v>
      </c>
      <c r="C79" s="624" t="s">
        <v>136</v>
      </c>
      <c r="D79" s="587" t="s">
        <v>105</v>
      </c>
      <c r="E79" s="588">
        <v>40</v>
      </c>
      <c r="F79" s="588">
        <v>2922</v>
      </c>
      <c r="G79" s="588">
        <v>1169</v>
      </c>
      <c r="H79" s="588">
        <v>60</v>
      </c>
      <c r="I79" s="588">
        <v>319</v>
      </c>
      <c r="J79" s="588">
        <v>310</v>
      </c>
      <c r="K79" s="679" t="s">
        <v>235</v>
      </c>
      <c r="L79" s="621"/>
      <c r="M79" s="621"/>
      <c r="N79" s="621"/>
      <c r="O79" s="621"/>
      <c r="P79" s="621"/>
      <c r="Q79" s="621"/>
      <c r="R79" s="621"/>
      <c r="S79" s="621"/>
      <c r="T79" s="621"/>
      <c r="U79" s="621"/>
      <c r="V79" s="621"/>
      <c r="W79" s="621"/>
      <c r="X79" s="621"/>
      <c r="Y79" s="621"/>
      <c r="Z79" s="621"/>
      <c r="AA79" s="621"/>
      <c r="AB79" s="621"/>
      <c r="AC79" s="621"/>
    </row>
    <row r="80" spans="2:29" ht="19.899999999999999" thickBot="1">
      <c r="B80" s="672">
        <v>27</v>
      </c>
      <c r="C80" s="624" t="s">
        <v>137</v>
      </c>
      <c r="D80" s="587" t="s">
        <v>110</v>
      </c>
      <c r="E80" s="588">
        <v>40</v>
      </c>
      <c r="F80" s="588">
        <v>2222</v>
      </c>
      <c r="G80" s="588">
        <v>822</v>
      </c>
      <c r="H80" s="588">
        <v>63</v>
      </c>
      <c r="I80" s="588">
        <v>348</v>
      </c>
      <c r="J80" s="588">
        <v>260</v>
      </c>
      <c r="K80" s="679" t="s">
        <v>235</v>
      </c>
      <c r="L80" s="621"/>
      <c r="M80" s="621"/>
      <c r="N80" s="621"/>
      <c r="O80" s="621"/>
      <c r="P80" s="621"/>
      <c r="Q80" s="621"/>
      <c r="R80" s="621"/>
      <c r="S80" s="621"/>
      <c r="T80" s="621"/>
      <c r="U80" s="621"/>
      <c r="V80" s="621"/>
      <c r="W80" s="621"/>
      <c r="X80" s="621"/>
      <c r="Y80" s="621"/>
      <c r="Z80" s="621"/>
      <c r="AA80" s="621"/>
      <c r="AB80" s="621"/>
      <c r="AC80" s="621"/>
    </row>
    <row r="81" spans="2:29" ht="19.899999999999999" thickBot="1">
      <c r="B81" s="579"/>
      <c r="C81" s="1311" t="s">
        <v>168</v>
      </c>
      <c r="D81" s="1312"/>
      <c r="E81" s="1313"/>
      <c r="F81" s="604">
        <v>37625</v>
      </c>
      <c r="G81" s="604">
        <v>22404</v>
      </c>
      <c r="H81" s="605"/>
      <c r="I81" s="579"/>
      <c r="J81" s="605"/>
      <c r="K81" s="579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19.899999999999999" thickBot="1">
      <c r="B82" s="579"/>
      <c r="C82" s="579"/>
      <c r="D82" s="579"/>
      <c r="E82" s="579"/>
      <c r="F82" s="589"/>
      <c r="G82" s="606">
        <v>22410</v>
      </c>
      <c r="H82" s="579"/>
      <c r="I82" s="579"/>
      <c r="J82" s="605"/>
      <c r="K82" s="579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19.899999999999999" thickBot="1">
      <c r="B83" s="579"/>
      <c r="C83" s="581"/>
      <c r="D83" s="581"/>
      <c r="E83" s="581"/>
      <c r="F83" s="581"/>
      <c r="G83" s="581"/>
      <c r="H83" s="581"/>
      <c r="I83" s="581"/>
      <c r="J83" s="581"/>
      <c r="K83" s="581"/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25.5" customHeight="1" thickBot="1">
      <c r="B84" s="582"/>
      <c r="C84" s="1337" t="s">
        <v>407</v>
      </c>
      <c r="D84" s="1338"/>
      <c r="E84" s="1338"/>
      <c r="F84" s="1338"/>
      <c r="G84" s="1338"/>
      <c r="H84" s="1338"/>
      <c r="I84" s="1338"/>
      <c r="J84" s="1338"/>
      <c r="K84" s="1339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51" thickBot="1">
      <c r="B85" s="671" t="s">
        <v>156</v>
      </c>
      <c r="C85" s="584" t="s">
        <v>31</v>
      </c>
      <c r="D85" s="584" t="s">
        <v>32</v>
      </c>
      <c r="E85" s="584" t="s">
        <v>33</v>
      </c>
      <c r="F85" s="584" t="s">
        <v>34</v>
      </c>
      <c r="G85" s="584" t="s">
        <v>35</v>
      </c>
      <c r="H85" s="584" t="s">
        <v>37</v>
      </c>
      <c r="I85" s="584" t="s">
        <v>38</v>
      </c>
      <c r="J85" s="584" t="s">
        <v>39</v>
      </c>
      <c r="K85" s="584" t="s">
        <v>40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 ht="19.899999999999999" thickBot="1">
      <c r="B86" s="674">
        <v>1</v>
      </c>
      <c r="C86" s="627" t="s">
        <v>139</v>
      </c>
      <c r="D86" s="628" t="s">
        <v>140</v>
      </c>
      <c r="E86" s="593">
        <v>20</v>
      </c>
      <c r="F86" s="593">
        <v>550</v>
      </c>
      <c r="G86" s="593">
        <v>510</v>
      </c>
      <c r="H86" s="593">
        <v>7.31</v>
      </c>
      <c r="I86" s="629">
        <v>335</v>
      </c>
      <c r="J86" s="593">
        <v>440</v>
      </c>
      <c r="K86" s="582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 ht="19.899999999999999" thickBot="1">
      <c r="B87" s="674">
        <v>2</v>
      </c>
      <c r="C87" s="627" t="s">
        <v>142</v>
      </c>
      <c r="D87" s="628" t="s">
        <v>143</v>
      </c>
      <c r="E87" s="593">
        <v>24</v>
      </c>
      <c r="F87" s="593">
        <v>555</v>
      </c>
      <c r="G87" s="593">
        <v>540</v>
      </c>
      <c r="H87" s="593">
        <v>2.7</v>
      </c>
      <c r="I87" s="629">
        <v>400</v>
      </c>
      <c r="J87" s="593">
        <v>314</v>
      </c>
      <c r="K87" s="582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 ht="19.899999999999999" thickBot="1">
      <c r="B88" s="674">
        <v>3</v>
      </c>
      <c r="C88" s="627" t="s">
        <v>144</v>
      </c>
      <c r="D88" s="628" t="s">
        <v>140</v>
      </c>
      <c r="E88" s="593">
        <v>28</v>
      </c>
      <c r="F88" s="593">
        <v>1561</v>
      </c>
      <c r="G88" s="593">
        <v>1153</v>
      </c>
      <c r="H88" s="593">
        <v>26.12</v>
      </c>
      <c r="I88" s="629">
        <v>841</v>
      </c>
      <c r="J88" s="593">
        <v>664</v>
      </c>
      <c r="K88" s="582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 ht="19.899999999999999" thickBot="1">
      <c r="B89" s="672">
        <v>4</v>
      </c>
      <c r="C89" s="642" t="s">
        <v>145</v>
      </c>
      <c r="D89" s="643" t="s">
        <v>146</v>
      </c>
      <c r="E89" s="588">
        <v>36</v>
      </c>
      <c r="F89" s="588">
        <v>2142</v>
      </c>
      <c r="G89" s="588">
        <v>1935</v>
      </c>
      <c r="H89" s="588">
        <v>10</v>
      </c>
      <c r="I89" s="644">
        <v>377</v>
      </c>
      <c r="J89" s="588">
        <v>420</v>
      </c>
      <c r="K89" s="616" t="s">
        <v>259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899999999999999" thickBot="1">
      <c r="B90" s="579"/>
      <c r="C90" s="602"/>
      <c r="D90" s="602"/>
      <c r="E90" s="603"/>
      <c r="F90" s="604">
        <v>4894</v>
      </c>
      <c r="G90" s="604">
        <v>4138</v>
      </c>
      <c r="H90" s="605"/>
      <c r="I90" s="605"/>
      <c r="J90" s="605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899999999999999" thickBot="1">
      <c r="B91" s="579"/>
      <c r="C91" s="1317" t="s">
        <v>168</v>
      </c>
      <c r="D91" s="1318"/>
      <c r="E91" s="1319"/>
      <c r="F91" s="589"/>
      <c r="G91" s="606">
        <v>4140</v>
      </c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 ht="19.899999999999999" thickBot="1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 ht="19.899999999999999" thickBot="1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 ht="19.899999999999999" thickBot="1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 ht="19.899999999999999" thickBot="1">
      <c r="B95" s="579"/>
      <c r="C95" s="579"/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 ht="19.899999999999999" thickBot="1">
      <c r="B96" s="579"/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 ht="19.899999999999999" thickBot="1">
      <c r="B97" s="579"/>
      <c r="C97" s="579"/>
      <c r="D97" s="579"/>
      <c r="E97" s="579"/>
      <c r="F97" s="579"/>
      <c r="G97" s="660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 ht="19.899999999999999" thickBot="1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 ht="19.899999999999999" thickBot="1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 ht="19.899999999999999" thickBot="1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 ht="19.899999999999999" thickBot="1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 ht="19.899999999999999" thickBot="1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 ht="19.899999999999999" thickBot="1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 ht="19.899999999999999" thickBot="1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 ht="19.899999999999999" thickBot="1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 ht="19.899999999999999" thickBot="1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 ht="19.899999999999999" thickBot="1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 ht="19.899999999999999" thickBot="1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 ht="19.899999999999999" thickBot="1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 ht="19.899999999999999" thickBot="1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 ht="19.899999999999999" thickBot="1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 ht="19.899999999999999" thickBot="1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 ht="19.899999999999999" thickBot="1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 ht="19.899999999999999" thickBot="1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 ht="19.899999999999999" thickBot="1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 ht="19.899999999999999" thickBot="1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 ht="19.899999999999999" thickBot="1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 ht="19.899999999999999" thickBot="1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 ht="19.899999999999999" thickBot="1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 ht="19.899999999999999" thickBot="1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 ht="19.899999999999999" thickBot="1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 ht="19.899999999999999" thickBot="1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 ht="19.899999999999999" thickBot="1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 ht="19.899999999999999" thickBot="1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 ht="19.899999999999999" thickBot="1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 ht="19.899999999999999" thickBot="1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 ht="19.899999999999999" thickBot="1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 ht="19.899999999999999" thickBot="1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 ht="19.899999999999999" thickBot="1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 ht="19.899999999999999" thickBot="1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 ht="19.899999999999999" thickBot="1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 ht="19.899999999999999" thickBot="1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 ht="19.899999999999999" thickBot="1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 ht="19.899999999999999" thickBot="1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 ht="19.899999999999999" thickBot="1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 ht="19.899999999999999" thickBot="1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 ht="19.899999999999999" thickBot="1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 ht="19.899999999999999" thickBot="1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 ht="19.899999999999999" thickBot="1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 ht="19.899999999999999" thickBot="1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 ht="19.899999999999999" thickBot="1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 ht="19.899999999999999" thickBot="1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 ht="19.899999999999999" thickBot="1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 ht="19.899999999999999" thickBot="1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 ht="19.899999999999999" thickBot="1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 ht="19.899999999999999" thickBot="1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 ht="19.899999999999999" thickBot="1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 ht="19.899999999999999" thickBot="1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 ht="19.899999999999999" thickBot="1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 ht="19.899999999999999" thickBot="1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 ht="19.899999999999999" thickBot="1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 ht="19.899999999999999" thickBot="1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 ht="19.899999999999999" thickBot="1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 ht="19.899999999999999" thickBot="1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 ht="19.899999999999999" thickBot="1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 ht="19.899999999999999" thickBot="1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 ht="19.899999999999999" thickBot="1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 ht="19.899999999999999" thickBot="1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 ht="19.899999999999999" thickBot="1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 ht="19.899999999999999" thickBot="1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 ht="19.899999999999999" thickBot="1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 ht="19.899999999999999" thickBot="1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 ht="19.899999999999999" thickBot="1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 ht="19.899999999999999" thickBot="1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 ht="19.899999999999999" thickBot="1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 ht="19.899999999999999" thickBot="1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 ht="19.899999999999999" thickBot="1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 ht="19.899999999999999" thickBot="1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 ht="19.899999999999999" thickBot="1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 ht="19.899999999999999" thickBot="1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 ht="19.899999999999999" thickBot="1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 ht="19.899999999999999" thickBot="1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 ht="19.899999999999999" thickBot="1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 ht="19.899999999999999" thickBot="1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 ht="19.899999999999999" thickBot="1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 ht="19.899999999999999" thickBot="1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 ht="19.899999999999999" thickBot="1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 ht="19.899999999999999" thickBot="1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 ht="19.899999999999999" thickBot="1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 ht="19.899999999999999" thickBot="1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 ht="19.899999999999999" thickBot="1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 ht="19.899999999999999" thickBot="1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 ht="19.899999999999999" thickBot="1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 ht="19.899999999999999" thickBot="1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 ht="19.899999999999999" thickBot="1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 ht="19.899999999999999" thickBot="1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 ht="19.899999999999999" thickBot="1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 ht="19.899999999999999" thickBot="1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 ht="19.899999999999999" thickBot="1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 ht="19.899999999999999" thickBot="1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 ht="19.899999999999999" thickBot="1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 ht="19.899999999999999" thickBot="1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 ht="19.899999999999999" thickBot="1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 ht="19.899999999999999" thickBot="1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 ht="19.899999999999999" thickBot="1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 ht="19.899999999999999" thickBot="1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 ht="19.899999999999999" thickBot="1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 ht="19.899999999999999" thickBot="1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 ht="19.899999999999999" thickBot="1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 ht="19.899999999999999" thickBot="1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 ht="19.899999999999999" thickBot="1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 ht="19.899999999999999" thickBot="1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 ht="19.899999999999999" thickBot="1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 ht="19.899999999999999" thickBot="1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 ht="19.899999999999999" thickBot="1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 ht="19.899999999999999" thickBot="1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 ht="19.899999999999999" thickBot="1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 ht="19.899999999999999" thickBot="1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 ht="19.899999999999999" thickBot="1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 ht="19.899999999999999" thickBot="1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 ht="19.899999999999999" thickBot="1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 ht="19.899999999999999" thickBot="1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 ht="19.899999999999999" thickBot="1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 ht="19.899999999999999" thickBot="1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 ht="19.899999999999999" thickBot="1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 ht="19.899999999999999" thickBot="1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 ht="19.899999999999999" thickBot="1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 ht="19.899999999999999" thickBot="1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 ht="19.899999999999999" thickBot="1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 ht="19.899999999999999" thickBot="1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 ht="19.899999999999999" thickBot="1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 ht="19.899999999999999" thickBot="1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 ht="19.899999999999999" thickBot="1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 ht="19.899999999999999" thickBot="1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 ht="19.899999999999999" thickBot="1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 ht="19.899999999999999" thickBot="1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 ht="19.899999999999999" thickBot="1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 ht="19.899999999999999" thickBot="1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 ht="19.899999999999999" thickBot="1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 ht="19.899999999999999" thickBot="1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 ht="19.899999999999999" thickBot="1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 ht="19.899999999999999" thickBot="1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 ht="19.899999999999999" thickBot="1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 ht="19.899999999999999" thickBot="1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 ht="19.899999999999999" thickBot="1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 ht="19.899999999999999" thickBot="1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 ht="19.899999999999999" thickBot="1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 ht="19.899999999999999" thickBot="1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 ht="19.899999999999999" thickBot="1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 ht="19.899999999999999" thickBot="1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 ht="19.899999999999999" thickBot="1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 ht="19.899999999999999" thickBot="1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 ht="19.899999999999999" thickBot="1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 ht="19.899999999999999" thickBot="1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 ht="19.899999999999999" thickBot="1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 ht="19.899999999999999" thickBot="1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 ht="19.899999999999999" thickBot="1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 ht="19.899999999999999" thickBot="1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 ht="19.899999999999999" thickBot="1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 ht="19.899999999999999" thickBot="1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 ht="19.899999999999999" thickBot="1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 ht="19.899999999999999" thickBot="1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 ht="19.899999999999999" thickBot="1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 ht="19.899999999999999" thickBot="1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 ht="19.899999999999999" thickBot="1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 ht="19.899999999999999" thickBot="1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 ht="19.899999999999999" thickBot="1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 ht="19.899999999999999" thickBot="1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 ht="19.899999999999999" thickBot="1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 ht="19.899999999999999" thickBot="1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 ht="19.899999999999999" thickBot="1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 ht="19.899999999999999" thickBot="1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 ht="19.899999999999999" thickBot="1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 ht="19.899999999999999" thickBot="1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 ht="19.899999999999999" thickBot="1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 ht="19.899999999999999" thickBot="1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 ht="19.899999999999999" thickBot="1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 ht="19.899999999999999" thickBot="1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 ht="19.899999999999999" thickBot="1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 ht="19.899999999999999" thickBot="1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 ht="19.899999999999999" thickBot="1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 ht="19.899999999999999" thickBot="1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 ht="19.899999999999999" thickBot="1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 ht="19.899999999999999" thickBot="1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 ht="19.899999999999999" thickBot="1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 ht="19.899999999999999" thickBot="1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 ht="19.899999999999999" thickBot="1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 ht="19.899999999999999" thickBot="1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 ht="19.899999999999999" thickBot="1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 ht="19.899999999999999" thickBot="1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 ht="19.899999999999999" thickBot="1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 ht="19.899999999999999" thickBot="1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 ht="19.899999999999999" thickBot="1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 ht="19.899999999999999" thickBot="1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 ht="19.899999999999999" thickBot="1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 ht="19.899999999999999" thickBot="1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 ht="19.899999999999999" thickBot="1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 ht="19.899999999999999" thickBot="1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 ht="19.899999999999999" thickBot="1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 ht="19.899999999999999" thickBot="1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 ht="19.899999999999999" thickBot="1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 ht="19.899999999999999" thickBot="1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 ht="19.899999999999999" thickBot="1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 ht="19.899999999999999" thickBot="1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 ht="19.899999999999999" thickBot="1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 ht="19.899999999999999" thickBot="1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 ht="19.899999999999999" thickBot="1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 ht="19.899999999999999" thickBot="1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 ht="19.899999999999999" thickBot="1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 ht="19.899999999999999" thickBot="1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 ht="19.899999999999999" thickBot="1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 ht="19.899999999999999" thickBot="1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 ht="19.899999999999999" thickBot="1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 ht="19.899999999999999" thickBot="1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 ht="19.899999999999999" thickBot="1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 ht="19.899999999999999" thickBot="1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 ht="19.899999999999999" thickBot="1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 ht="19.899999999999999" thickBot="1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 ht="19.899999999999999" thickBot="1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 ht="19.899999999999999" thickBot="1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 ht="19.899999999999999" thickBot="1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 ht="19.899999999999999" thickBot="1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 ht="19.899999999999999" thickBot="1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 ht="19.899999999999999" thickBot="1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 ht="19.899999999999999" thickBot="1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 ht="19.899999999999999" thickBot="1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 ht="19.899999999999999" thickBot="1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 ht="19.899999999999999" thickBot="1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 ht="19.899999999999999" thickBot="1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 ht="19.899999999999999" thickBot="1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 ht="19.899999999999999" thickBot="1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 ht="19.899999999999999" thickBot="1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 ht="19.899999999999999" thickBot="1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 ht="19.899999999999999" thickBot="1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 ht="19.899999999999999" thickBot="1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 ht="19.899999999999999" thickBot="1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 ht="19.899999999999999" thickBot="1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 ht="19.899999999999999" thickBot="1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 ht="19.899999999999999" thickBot="1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 ht="19.899999999999999" thickBot="1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 ht="19.899999999999999" thickBot="1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 ht="19.899999999999999" thickBot="1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 ht="19.899999999999999" thickBot="1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 ht="19.899999999999999" thickBot="1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 ht="19.899999999999999" thickBot="1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 ht="19.899999999999999" thickBot="1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 ht="19.899999999999999" thickBot="1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 ht="19.899999999999999" thickBot="1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 ht="19.899999999999999" thickBot="1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 ht="19.899999999999999" thickBot="1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 ht="19.899999999999999" thickBot="1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 ht="19.899999999999999" thickBot="1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 ht="19.899999999999999" thickBot="1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 ht="19.899999999999999" thickBot="1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 ht="19.899999999999999" thickBot="1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 ht="19.899999999999999" thickBot="1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 ht="19.899999999999999" thickBot="1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 ht="19.899999999999999" thickBot="1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 ht="19.899999999999999" thickBot="1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 ht="19.899999999999999" thickBot="1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 ht="19.899999999999999" thickBot="1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 ht="19.899999999999999" thickBot="1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 ht="19.899999999999999" thickBot="1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 ht="19.899999999999999" thickBot="1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 ht="19.899999999999999" thickBot="1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 ht="19.899999999999999" thickBot="1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 ht="19.899999999999999" thickBot="1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 ht="19.899999999999999" thickBot="1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 ht="19.899999999999999" thickBot="1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 ht="19.899999999999999" thickBot="1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 ht="19.899999999999999" thickBot="1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 ht="19.899999999999999" thickBot="1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 ht="19.899999999999999" thickBot="1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 ht="19.899999999999999" thickBot="1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 ht="19.899999999999999" thickBot="1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 ht="19.899999999999999" thickBot="1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 ht="19.899999999999999" thickBot="1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 ht="19.899999999999999" thickBot="1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 ht="19.899999999999999" thickBot="1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 ht="19.899999999999999" thickBot="1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 ht="19.899999999999999" thickBot="1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 ht="19.899999999999999" thickBot="1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 ht="19.899999999999999" thickBot="1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 ht="19.899999999999999" thickBot="1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 ht="19.899999999999999" thickBot="1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 ht="19.899999999999999" thickBot="1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 ht="19.899999999999999" thickBot="1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 ht="19.899999999999999" thickBot="1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 ht="19.899999999999999" thickBot="1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 ht="19.899999999999999" thickBot="1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 ht="19.899999999999999" thickBot="1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 ht="19.899999999999999" thickBot="1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 ht="19.899999999999999" thickBot="1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 ht="19.899999999999999" thickBot="1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 ht="19.899999999999999" thickBot="1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 ht="19.899999999999999" thickBot="1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 ht="19.899999999999999" thickBot="1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 ht="19.899999999999999" thickBot="1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 ht="19.899999999999999" thickBot="1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 ht="19.899999999999999" thickBot="1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 ht="19.899999999999999" thickBot="1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 ht="19.899999999999999" thickBot="1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 ht="19.899999999999999" thickBot="1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 ht="19.899999999999999" thickBot="1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 ht="19.899999999999999" thickBot="1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 ht="19.899999999999999" thickBot="1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 ht="19.899999999999999" thickBot="1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 ht="19.899999999999999" thickBot="1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 ht="19.899999999999999" thickBot="1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 ht="19.899999999999999" thickBot="1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 ht="19.899999999999999" thickBot="1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 ht="19.899999999999999" thickBot="1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 ht="19.899999999999999" thickBot="1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 ht="19.899999999999999" thickBot="1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 ht="19.899999999999999" thickBot="1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 ht="19.899999999999999" thickBot="1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 ht="19.899999999999999" thickBot="1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 ht="19.899999999999999" thickBot="1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 ht="19.899999999999999" thickBot="1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 ht="19.899999999999999" thickBot="1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 ht="19.899999999999999" thickBot="1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 ht="19.899999999999999" thickBot="1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 ht="19.899999999999999" thickBot="1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 ht="19.899999999999999" thickBot="1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 ht="19.899999999999999" thickBot="1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 ht="19.899999999999999" thickBot="1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 ht="19.899999999999999" thickBot="1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 ht="19.899999999999999" thickBot="1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 ht="19.899999999999999" thickBot="1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 ht="19.899999999999999" thickBot="1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 ht="19.899999999999999" thickBot="1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 ht="19.899999999999999" thickBot="1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 ht="19.899999999999999" thickBot="1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 ht="19.899999999999999" thickBot="1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 ht="19.899999999999999" thickBot="1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 ht="19.899999999999999" thickBot="1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 ht="19.899999999999999" thickBot="1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 ht="19.899999999999999" thickBot="1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 ht="19.899999999999999" thickBot="1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 ht="19.899999999999999" thickBot="1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 ht="19.899999999999999" thickBot="1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 ht="19.899999999999999" thickBot="1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 ht="19.899999999999999" thickBot="1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 ht="19.899999999999999" thickBot="1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 ht="19.899999999999999" thickBot="1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 ht="19.899999999999999" thickBot="1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 ht="19.899999999999999" thickBot="1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 ht="19.899999999999999" thickBot="1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 ht="19.899999999999999" thickBot="1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 ht="19.899999999999999" thickBot="1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 ht="19.899999999999999" thickBot="1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 ht="19.899999999999999" thickBot="1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 ht="19.899999999999999" thickBot="1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 ht="19.899999999999999" thickBot="1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 ht="19.899999999999999" thickBot="1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 ht="19.899999999999999" thickBot="1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 ht="19.899999999999999" thickBot="1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 ht="19.899999999999999" thickBot="1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 ht="19.899999999999999" thickBot="1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 ht="19.899999999999999" thickBot="1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 ht="19.899999999999999" thickBot="1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 ht="19.899999999999999" thickBot="1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 ht="19.899999999999999" thickBot="1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 ht="19.899999999999999" thickBot="1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 ht="19.899999999999999" thickBot="1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 ht="19.899999999999999" thickBot="1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 ht="19.899999999999999" thickBot="1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 ht="19.899999999999999" thickBot="1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 ht="19.899999999999999" thickBot="1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 ht="19.899999999999999" thickBot="1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 ht="19.899999999999999" thickBot="1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 ht="19.899999999999999" thickBot="1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 ht="19.899999999999999" thickBot="1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 ht="19.899999999999999" thickBot="1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 ht="19.899999999999999" thickBot="1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 ht="19.899999999999999" thickBot="1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 ht="19.899999999999999" thickBot="1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 ht="19.899999999999999" thickBot="1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 ht="19.899999999999999" thickBot="1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 ht="19.899999999999999" thickBot="1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 ht="19.899999999999999" thickBot="1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 ht="19.899999999999999" thickBot="1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 ht="19.899999999999999" thickBot="1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 ht="19.899999999999999" thickBot="1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 ht="19.899999999999999" thickBot="1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 ht="19.899999999999999" thickBot="1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 ht="19.899999999999999" thickBot="1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 ht="19.899999999999999" thickBot="1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 ht="19.899999999999999" thickBot="1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 ht="19.899999999999999" thickBot="1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 ht="19.899999999999999" thickBot="1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 ht="19.899999999999999" thickBot="1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 ht="19.899999999999999" thickBot="1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 ht="19.899999999999999" thickBot="1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 ht="19.899999999999999" thickBot="1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 ht="19.899999999999999" thickBot="1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 ht="19.899999999999999" thickBot="1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 ht="19.899999999999999" thickBot="1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 ht="19.899999999999999" thickBot="1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 ht="19.899999999999999" thickBot="1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 ht="19.899999999999999" thickBot="1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 ht="19.899999999999999" thickBot="1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 ht="19.899999999999999" thickBot="1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 ht="19.899999999999999" thickBot="1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 ht="19.899999999999999" thickBot="1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 ht="19.899999999999999" thickBot="1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 ht="19.899999999999999" thickBot="1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 ht="19.899999999999999" thickBot="1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 ht="19.899999999999999" thickBot="1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 ht="19.899999999999999" thickBot="1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 ht="19.899999999999999" thickBot="1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 ht="19.899999999999999" thickBot="1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 ht="19.899999999999999" thickBot="1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 ht="19.899999999999999" thickBot="1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 ht="19.899999999999999" thickBot="1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 ht="19.899999999999999" thickBot="1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 ht="19.899999999999999" thickBot="1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 ht="19.899999999999999" thickBot="1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 ht="19.899999999999999" thickBot="1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 ht="19.899999999999999" thickBot="1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 ht="19.899999999999999" thickBot="1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 ht="19.899999999999999" thickBot="1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 ht="19.899999999999999" thickBot="1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 ht="19.899999999999999" thickBot="1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 ht="19.899999999999999" thickBot="1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 ht="19.899999999999999" thickBot="1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 ht="19.899999999999999" thickBot="1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 ht="19.899999999999999" thickBot="1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 ht="19.899999999999999" thickBot="1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 ht="19.899999999999999" thickBot="1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 ht="19.899999999999999" thickBot="1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 ht="19.899999999999999" thickBot="1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 ht="19.899999999999999" thickBot="1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 ht="19.899999999999999" thickBot="1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 ht="19.899999999999999" thickBot="1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 ht="19.899999999999999" thickBot="1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 ht="19.899999999999999" thickBot="1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 ht="19.899999999999999" thickBot="1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 ht="19.899999999999999" thickBot="1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 ht="19.899999999999999" thickBot="1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 ht="19.899999999999999" thickBot="1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 ht="19.899999999999999" thickBot="1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 ht="19.899999999999999" thickBot="1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 ht="19.899999999999999" thickBot="1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 ht="19.899999999999999" thickBot="1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 ht="19.899999999999999" thickBot="1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 ht="19.899999999999999" thickBot="1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 ht="19.899999999999999" thickBot="1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 ht="19.899999999999999" thickBot="1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 ht="19.899999999999999" thickBot="1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 ht="19.899999999999999" thickBot="1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 ht="19.899999999999999" thickBot="1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 ht="19.899999999999999" thickBot="1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 ht="19.899999999999999" thickBot="1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 ht="19.899999999999999" thickBot="1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 ht="19.899999999999999" thickBot="1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 ht="19.899999999999999" thickBot="1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 ht="19.899999999999999" thickBot="1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 ht="19.899999999999999" thickBot="1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 ht="19.899999999999999" thickBot="1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 ht="19.899999999999999" thickBot="1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 ht="19.899999999999999" thickBot="1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 ht="19.899999999999999" thickBot="1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 ht="19.899999999999999" thickBot="1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 ht="19.899999999999999" thickBot="1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 ht="19.899999999999999" thickBot="1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 ht="19.899999999999999" thickBot="1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 ht="19.899999999999999" thickBot="1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 ht="19.899999999999999" thickBot="1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 ht="19.899999999999999" thickBot="1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 ht="19.899999999999999" thickBot="1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 ht="19.899999999999999" thickBot="1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 ht="19.899999999999999" thickBot="1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 ht="19.899999999999999" thickBot="1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 ht="19.899999999999999" thickBot="1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 ht="19.899999999999999" thickBot="1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 ht="19.899999999999999" thickBot="1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 ht="19.899999999999999" thickBot="1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 ht="19.899999999999999" thickBot="1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 ht="19.899999999999999" thickBot="1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 ht="19.899999999999999" thickBot="1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 ht="19.899999999999999" thickBot="1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 ht="19.899999999999999" thickBot="1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 ht="19.899999999999999" thickBot="1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 ht="19.899999999999999" thickBot="1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 ht="19.899999999999999" thickBot="1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 ht="19.899999999999999" thickBot="1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 ht="19.899999999999999" thickBot="1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 ht="19.899999999999999" thickBot="1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 ht="19.899999999999999" thickBot="1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 ht="19.899999999999999" thickBot="1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 ht="19.899999999999999" thickBot="1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 ht="19.899999999999999" thickBot="1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 ht="19.899999999999999" thickBot="1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 ht="19.899999999999999" thickBot="1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 ht="19.899999999999999" thickBot="1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 ht="19.899999999999999" thickBot="1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 ht="19.899999999999999" thickBot="1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 ht="19.899999999999999" thickBot="1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 ht="19.899999999999999" thickBot="1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 ht="19.899999999999999" thickBot="1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 ht="19.899999999999999" thickBot="1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 ht="19.899999999999999" thickBot="1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 ht="19.899999999999999" thickBot="1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 ht="19.899999999999999" thickBot="1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 ht="19.899999999999999" thickBot="1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 ht="19.899999999999999" thickBot="1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 ht="19.899999999999999" thickBot="1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 ht="19.899999999999999" thickBot="1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 ht="19.899999999999999" thickBot="1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 ht="19.899999999999999" thickBot="1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 ht="19.899999999999999" thickBot="1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 ht="19.899999999999999" thickBot="1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 ht="19.899999999999999" thickBot="1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 ht="19.899999999999999" thickBot="1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 ht="19.899999999999999" thickBot="1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 ht="19.899999999999999" thickBot="1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 ht="19.899999999999999" thickBot="1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 ht="19.899999999999999" thickBot="1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 ht="19.899999999999999" thickBot="1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 ht="19.899999999999999" thickBot="1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 ht="19.899999999999999" thickBot="1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 ht="19.899999999999999" thickBot="1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 ht="19.899999999999999" thickBot="1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 ht="19.899999999999999" thickBot="1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 ht="19.899999999999999" thickBot="1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 ht="19.899999999999999" thickBot="1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 ht="19.899999999999999" thickBot="1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 ht="19.899999999999999" thickBot="1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 ht="19.899999999999999" thickBot="1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 ht="19.899999999999999" thickBot="1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 ht="19.899999999999999" thickBot="1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 ht="19.899999999999999" thickBot="1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 ht="19.899999999999999" thickBot="1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 ht="19.899999999999999" thickBot="1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 ht="19.899999999999999" thickBot="1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 ht="19.899999999999999" thickBot="1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 ht="19.899999999999999" thickBot="1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 ht="19.899999999999999" thickBot="1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 ht="19.899999999999999" thickBot="1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 ht="19.899999999999999" thickBot="1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 ht="19.899999999999999" thickBot="1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 ht="19.899999999999999" thickBot="1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 ht="19.899999999999999" thickBot="1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 ht="19.899999999999999" thickBot="1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 ht="19.899999999999999" thickBot="1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 ht="19.899999999999999" thickBot="1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 ht="19.899999999999999" thickBot="1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 ht="19.899999999999999" thickBot="1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 ht="19.899999999999999" thickBot="1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 ht="19.899999999999999" thickBot="1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 ht="19.899999999999999" thickBot="1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 ht="19.899999999999999" thickBot="1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 ht="19.899999999999999" thickBot="1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 ht="19.899999999999999" thickBot="1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 ht="19.899999999999999" thickBot="1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 ht="19.899999999999999" thickBot="1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 ht="19.899999999999999" thickBot="1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 ht="19.899999999999999" thickBot="1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 ht="19.899999999999999" thickBot="1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 ht="19.899999999999999" thickBot="1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 ht="19.899999999999999" thickBot="1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 ht="19.899999999999999" thickBot="1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 ht="19.899999999999999" thickBot="1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 ht="19.899999999999999" thickBot="1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 ht="19.899999999999999" thickBot="1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 ht="19.899999999999999" thickBot="1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 ht="19.899999999999999" thickBot="1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 ht="19.899999999999999" thickBot="1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 ht="19.899999999999999" thickBot="1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 ht="19.899999999999999" thickBot="1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 ht="19.899999999999999" thickBot="1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 ht="19.899999999999999" thickBot="1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 ht="19.899999999999999" thickBot="1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 ht="19.899999999999999" thickBot="1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 ht="19.899999999999999" thickBot="1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 ht="19.899999999999999" thickBot="1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 ht="19.899999999999999" thickBot="1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 ht="19.899999999999999" thickBot="1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 ht="19.899999999999999" thickBot="1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 ht="19.899999999999999" thickBot="1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 ht="19.899999999999999" thickBot="1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 ht="19.899999999999999" thickBot="1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 ht="19.899999999999999" thickBot="1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 ht="19.899999999999999" thickBot="1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 ht="19.899999999999999" thickBot="1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 ht="19.899999999999999" thickBot="1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 ht="19.899999999999999" thickBot="1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 ht="19.899999999999999" thickBot="1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 ht="19.899999999999999" thickBot="1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 ht="19.899999999999999" thickBot="1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 ht="19.899999999999999" thickBot="1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 ht="19.899999999999999" thickBot="1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 ht="19.899999999999999" thickBot="1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 ht="19.899999999999999" thickBot="1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 ht="19.899999999999999" thickBot="1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 ht="19.899999999999999" thickBot="1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 ht="19.899999999999999" thickBot="1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 ht="19.899999999999999" thickBot="1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 ht="19.899999999999999" thickBot="1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 ht="19.899999999999999" thickBot="1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 ht="19.899999999999999" thickBot="1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 ht="19.899999999999999" thickBot="1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 ht="19.899999999999999" thickBot="1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 ht="19.899999999999999" thickBot="1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 ht="19.899999999999999" thickBot="1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 ht="19.899999999999999" thickBot="1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 ht="19.899999999999999" thickBot="1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 ht="19.899999999999999" thickBot="1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 ht="19.899999999999999" thickBot="1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 ht="19.899999999999999" thickBot="1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 ht="19.899999999999999" thickBot="1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 ht="19.899999999999999" thickBot="1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 ht="19.899999999999999" thickBot="1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 ht="19.899999999999999" thickBot="1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 ht="19.899999999999999" thickBot="1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 ht="19.899999999999999" thickBot="1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 ht="19.899999999999999" thickBot="1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 ht="19.899999999999999" thickBot="1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 ht="19.899999999999999" thickBot="1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 ht="19.899999999999999" thickBot="1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 ht="19.899999999999999" thickBot="1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 ht="19.899999999999999" thickBot="1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 ht="19.899999999999999" thickBot="1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 ht="19.899999999999999" thickBot="1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 ht="19.899999999999999" thickBot="1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 ht="19.899999999999999" thickBot="1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 ht="19.899999999999999" thickBot="1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 ht="19.899999999999999" thickBot="1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 ht="19.899999999999999" thickBot="1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 ht="19.899999999999999" thickBot="1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 ht="19.899999999999999" thickBot="1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 ht="19.899999999999999" thickBot="1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 ht="19.899999999999999" thickBot="1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 ht="19.899999999999999" thickBot="1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 ht="19.899999999999999" thickBot="1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 ht="19.899999999999999" thickBot="1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 ht="19.899999999999999" thickBot="1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 ht="19.899999999999999" thickBot="1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 ht="19.899999999999999" thickBot="1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 ht="19.899999999999999" thickBot="1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 ht="19.899999999999999" thickBot="1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 ht="19.899999999999999" thickBot="1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 ht="19.899999999999999" thickBot="1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 ht="19.899999999999999" thickBot="1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 ht="19.899999999999999" thickBot="1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 ht="19.899999999999999" thickBot="1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 ht="19.899999999999999" thickBot="1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 ht="19.899999999999999" thickBot="1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 ht="19.899999999999999" thickBot="1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 ht="19.899999999999999" thickBot="1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 ht="19.899999999999999" thickBot="1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 ht="19.899999999999999" thickBot="1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 ht="19.899999999999999" thickBot="1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 ht="19.899999999999999" thickBot="1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 ht="19.899999999999999" thickBot="1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 ht="19.899999999999999" thickBot="1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 ht="19.899999999999999" thickBot="1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 ht="19.899999999999999" thickBot="1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 ht="19.899999999999999" thickBot="1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 ht="19.899999999999999" thickBot="1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 ht="19.899999999999999" thickBot="1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 ht="19.899999999999999" thickBot="1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 ht="19.899999999999999" thickBot="1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 ht="19.899999999999999" thickBot="1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 ht="19.899999999999999" thickBot="1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 ht="19.899999999999999" thickBot="1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 ht="19.899999999999999" thickBot="1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 ht="19.899999999999999" thickBot="1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 ht="19.899999999999999" thickBot="1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 ht="19.899999999999999" thickBot="1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 ht="19.899999999999999" thickBot="1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 ht="19.899999999999999" thickBot="1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 ht="19.899999999999999" thickBot="1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 ht="19.899999999999999" thickBot="1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 ht="19.899999999999999" thickBot="1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 ht="19.899999999999999" thickBot="1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 ht="19.899999999999999" thickBot="1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 ht="19.899999999999999" thickBot="1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 ht="19.899999999999999" thickBot="1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 ht="19.899999999999999" thickBot="1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 ht="19.899999999999999" thickBot="1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 ht="19.899999999999999" thickBot="1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 ht="19.899999999999999" thickBot="1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 ht="19.899999999999999" thickBot="1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 ht="19.899999999999999" thickBot="1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 ht="19.899999999999999" thickBot="1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 ht="19.899999999999999" thickBot="1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 ht="19.899999999999999" thickBot="1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 ht="19.899999999999999" thickBot="1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 ht="19.899999999999999" thickBot="1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 ht="19.899999999999999" thickBot="1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 ht="19.899999999999999" thickBot="1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 ht="19.899999999999999" thickBot="1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 ht="19.899999999999999" thickBot="1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 ht="19.899999999999999" thickBot="1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 ht="19.899999999999999" thickBot="1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 ht="19.899999999999999" thickBot="1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 ht="19.899999999999999" thickBot="1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 ht="19.899999999999999" thickBot="1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 ht="19.899999999999999" thickBot="1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 ht="19.899999999999999" thickBot="1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 ht="19.899999999999999" thickBot="1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 ht="19.899999999999999" thickBot="1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 ht="19.899999999999999" thickBot="1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 ht="19.899999999999999" thickBot="1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 ht="19.899999999999999" thickBot="1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 ht="19.899999999999999" thickBot="1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 ht="19.899999999999999" thickBot="1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 ht="19.899999999999999" thickBot="1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 ht="19.899999999999999" thickBot="1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 ht="19.899999999999999" thickBot="1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 ht="19.899999999999999" thickBot="1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 ht="19.899999999999999" thickBot="1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 ht="19.899999999999999" thickBot="1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 ht="19.899999999999999" thickBot="1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 ht="19.899999999999999" thickBot="1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 ht="19.899999999999999" thickBot="1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 ht="19.899999999999999" thickBot="1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 ht="19.899999999999999" thickBot="1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 ht="19.899999999999999" thickBot="1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 ht="19.899999999999999" thickBot="1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 ht="19.899999999999999" thickBot="1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 ht="19.899999999999999" thickBot="1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 ht="19.899999999999999" thickBot="1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 ht="19.899999999999999" thickBot="1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 ht="19.899999999999999" thickBot="1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 ht="19.899999999999999" thickBot="1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 ht="19.899999999999999" thickBot="1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 ht="19.899999999999999" thickBot="1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 ht="19.899999999999999" thickBot="1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 ht="19.899999999999999" thickBot="1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 ht="19.899999999999999" thickBot="1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 ht="19.899999999999999" thickBot="1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 ht="19.899999999999999" thickBot="1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 ht="19.899999999999999" thickBot="1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 ht="19.899999999999999" thickBot="1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 ht="19.899999999999999" thickBot="1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 ht="19.899999999999999" thickBot="1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 ht="19.899999999999999" thickBot="1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 ht="19.899999999999999" thickBot="1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 ht="19.899999999999999" thickBot="1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 ht="19.899999999999999" thickBot="1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 ht="19.899999999999999" thickBot="1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 ht="19.899999999999999" thickBot="1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 ht="19.899999999999999" thickBot="1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 ht="19.899999999999999" thickBot="1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 ht="19.899999999999999" thickBot="1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 ht="19.899999999999999" thickBot="1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 ht="19.899999999999999" thickBot="1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 ht="19.899999999999999" thickBot="1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 ht="19.899999999999999" thickBot="1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 ht="19.899999999999999" thickBot="1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 ht="19.899999999999999" thickBot="1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 ht="19.899999999999999" thickBot="1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 ht="19.899999999999999" thickBot="1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 ht="19.899999999999999" thickBot="1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 ht="19.899999999999999" thickBot="1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 ht="19.899999999999999" thickBot="1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 ht="19.899999999999999" thickBot="1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 ht="19.899999999999999" thickBot="1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 ht="19.899999999999999" thickBot="1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 ht="19.899999999999999" thickBot="1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 ht="19.899999999999999" thickBot="1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 ht="19.899999999999999" thickBot="1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 ht="19.899999999999999" thickBot="1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 ht="19.899999999999999" thickBot="1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 ht="19.899999999999999" thickBot="1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 ht="19.899999999999999" thickBot="1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 ht="19.899999999999999" thickBot="1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 ht="19.899999999999999" thickBot="1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 ht="19.899999999999999" thickBot="1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 ht="19.899999999999999" thickBot="1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 ht="19.899999999999999" thickBot="1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 ht="19.899999999999999" thickBot="1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 ht="19.899999999999999" thickBot="1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 ht="19.899999999999999" thickBot="1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 ht="19.899999999999999" thickBot="1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 ht="19.899999999999999" thickBot="1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 ht="19.899999999999999" thickBot="1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 ht="19.899999999999999" thickBot="1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 ht="19.899999999999999" thickBot="1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 ht="19.899999999999999" thickBot="1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 ht="19.899999999999999" thickBot="1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 ht="19.899999999999999" thickBot="1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 ht="19.899999999999999" thickBot="1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 ht="19.899999999999999" thickBot="1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 ht="19.899999999999999" thickBot="1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 ht="19.899999999999999" thickBot="1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 ht="19.899999999999999" thickBot="1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 ht="19.899999999999999" thickBot="1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 ht="19.899999999999999" thickBot="1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 ht="19.899999999999999" thickBot="1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 ht="19.899999999999999" thickBot="1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 ht="19.899999999999999" thickBot="1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 ht="19.899999999999999" thickBot="1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 ht="19.899999999999999" thickBot="1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 ht="19.899999999999999" thickBot="1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 ht="19.899999999999999" thickBot="1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 ht="19.899999999999999" thickBot="1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 ht="19.899999999999999" thickBot="1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 ht="19.899999999999999" thickBot="1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 ht="19.899999999999999" thickBot="1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 ht="19.899999999999999" thickBot="1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 ht="19.899999999999999" thickBot="1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 ht="19.899999999999999" thickBot="1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 ht="19.899999999999999" thickBot="1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 ht="19.899999999999999" thickBot="1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 ht="19.899999999999999" thickBot="1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 ht="19.899999999999999" thickBot="1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 ht="19.899999999999999" thickBot="1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 ht="19.899999999999999" thickBot="1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 ht="19.899999999999999" thickBot="1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 ht="19.899999999999999" thickBot="1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 ht="19.899999999999999" thickBot="1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 ht="19.899999999999999" thickBot="1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 ht="19.899999999999999" thickBot="1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 ht="19.899999999999999" thickBot="1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 ht="19.899999999999999" thickBot="1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 ht="19.899999999999999" thickBot="1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 ht="19.899999999999999" thickBot="1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 ht="19.899999999999999" thickBot="1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 ht="19.899999999999999" thickBot="1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 ht="19.899999999999999" thickBot="1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 ht="19.899999999999999" thickBot="1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 ht="19.899999999999999" thickBot="1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 ht="19.899999999999999" thickBot="1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 ht="19.899999999999999" thickBot="1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 ht="19.899999999999999" thickBot="1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 ht="19.899999999999999" thickBot="1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 ht="19.899999999999999" thickBot="1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 ht="19.899999999999999" thickBot="1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 ht="19.899999999999999" thickBot="1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 ht="19.899999999999999" thickBot="1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 ht="19.899999999999999" thickBot="1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 ht="19.899999999999999" thickBot="1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 ht="19.899999999999999" thickBot="1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 ht="19.899999999999999" thickBot="1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 ht="19.899999999999999" thickBot="1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 ht="19.899999999999999" thickBot="1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 ht="19.899999999999999" thickBot="1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 ht="19.899999999999999" thickBot="1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 ht="19.899999999999999" thickBot="1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 ht="19.899999999999999" thickBot="1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 ht="19.899999999999999" thickBot="1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 ht="19.899999999999999" thickBot="1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 ht="19.899999999999999" thickBot="1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 ht="19.899999999999999" thickBot="1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 ht="19.899999999999999" thickBot="1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 ht="19.899999999999999" thickBot="1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 ht="19.899999999999999" thickBot="1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 ht="19.899999999999999" thickBot="1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 ht="19.899999999999999" thickBot="1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 ht="19.899999999999999" thickBot="1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 ht="19.899999999999999" thickBot="1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 ht="19.899999999999999" thickBot="1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 ht="19.899999999999999" thickBot="1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 ht="19.899999999999999" thickBot="1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 ht="19.899999999999999" thickBot="1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 ht="19.899999999999999" thickBot="1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 ht="19.899999999999999" thickBot="1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 ht="19.899999999999999" thickBot="1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 ht="19.899999999999999" thickBot="1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 ht="19.899999999999999" thickBot="1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 ht="19.899999999999999" thickBot="1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 ht="19.899999999999999" thickBot="1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 ht="19.899999999999999" thickBot="1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 ht="19.899999999999999" thickBot="1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 ht="19.899999999999999" thickBot="1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 ht="19.899999999999999" thickBot="1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 ht="19.899999999999999" thickBot="1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 ht="19.899999999999999" thickBot="1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 ht="19.899999999999999" thickBot="1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 ht="19.899999999999999" thickBot="1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 ht="19.899999999999999" thickBot="1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 ht="19.899999999999999" thickBot="1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 ht="19.899999999999999" thickBot="1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 ht="19.899999999999999" thickBot="1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 ht="19.899999999999999" thickBot="1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 ht="19.899999999999999" thickBot="1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 ht="19.899999999999999" thickBot="1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 ht="19.899999999999999" thickBot="1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 ht="19.899999999999999" thickBot="1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 ht="19.899999999999999" thickBot="1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 ht="19.899999999999999" thickBot="1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 ht="19.899999999999999" thickBot="1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 ht="19.899999999999999" thickBot="1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 ht="19.899999999999999" thickBot="1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 ht="19.899999999999999" thickBot="1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 ht="19.899999999999999" thickBot="1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 ht="19.899999999999999" thickBot="1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 ht="19.899999999999999" thickBot="1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 ht="19.899999999999999" thickBot="1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 ht="19.899999999999999" thickBot="1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 ht="19.899999999999999" thickBot="1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 ht="19.899999999999999" thickBot="1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 ht="19.899999999999999" thickBot="1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 ht="19.899999999999999" thickBot="1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 ht="19.899999999999999" thickBot="1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 ht="19.899999999999999" thickBot="1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 ht="19.899999999999999" thickBot="1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 ht="19.899999999999999" thickBot="1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 ht="19.899999999999999" thickBot="1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 ht="19.899999999999999" thickBot="1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 ht="19.899999999999999" thickBot="1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 ht="19.899999999999999" thickBot="1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 ht="19.899999999999999" thickBot="1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 ht="19.899999999999999" thickBot="1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 ht="19.899999999999999" thickBot="1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  <row r="1000" spans="2:29" ht="19.899999999999999" thickBot="1">
      <c r="B1000" s="579"/>
      <c r="C1000" s="579"/>
      <c r="D1000" s="579"/>
      <c r="E1000" s="579"/>
      <c r="F1000" s="579"/>
      <c r="G1000" s="579"/>
      <c r="H1000" s="579"/>
      <c r="I1000" s="579"/>
      <c r="J1000" s="579"/>
      <c r="K1000" s="579"/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</row>
    <row r="1001" spans="2:29" ht="19.899999999999999" thickBot="1">
      <c r="B1001" s="579"/>
      <c r="C1001" s="579"/>
      <c r="D1001" s="579"/>
      <c r="E1001" s="579"/>
      <c r="F1001" s="579"/>
      <c r="G1001" s="579"/>
      <c r="H1001" s="579"/>
      <c r="I1001" s="579"/>
      <c r="J1001" s="579"/>
      <c r="K1001" s="579"/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</row>
  </sheetData>
  <mergeCells count="9">
    <mergeCell ref="C81:E81"/>
    <mergeCell ref="C84:K84"/>
    <mergeCell ref="C91:E91"/>
    <mergeCell ref="C2:K2"/>
    <mergeCell ref="C4:K4"/>
    <mergeCell ref="D19:E19"/>
    <mergeCell ref="C22:K22"/>
    <mergeCell ref="C48:E48"/>
    <mergeCell ref="C52:K5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3:AL65"/>
  <sheetViews>
    <sheetView showGridLines="0" zoomScale="60" zoomScaleNormal="60" workbookViewId="0">
      <pane xSplit="2" ySplit="4" topLeftCell="C5" activePane="bottomRight" state="frozen"/>
      <selection pane="bottomRight" activeCell="C7" sqref="C7:F7"/>
      <selection pane="bottomLeft" activeCell="A5" sqref="A5"/>
      <selection pane="topRight" activeCell="C1" sqref="C1"/>
    </sheetView>
  </sheetViews>
  <sheetFormatPr defaultRowHeight="15"/>
  <cols>
    <col min="1" max="1" width="10.77734375" customWidth="1"/>
    <col min="2" max="2" width="15.21875" customWidth="1"/>
    <col min="3" max="3" width="16.21875" customWidth="1"/>
    <col min="4" max="4" width="14.6640625" customWidth="1"/>
    <col min="5" max="5" width="13" customWidth="1"/>
    <col min="6" max="6" width="10.5546875" customWidth="1"/>
    <col min="7" max="9" width="11.6640625" customWidth="1"/>
    <col min="10" max="10" width="12.6640625" customWidth="1"/>
    <col min="11" max="11" width="10.77734375" customWidth="1"/>
    <col min="12" max="12" width="10.21875" customWidth="1"/>
    <col min="13" max="13" width="10.109375" customWidth="1"/>
    <col min="14" max="14" width="9.33203125" bestFit="1" customWidth="1"/>
    <col min="15" max="19" width="10.6640625" style="1" customWidth="1"/>
    <col min="20" max="20" width="11.109375" bestFit="1" customWidth="1"/>
    <col min="21" max="21" width="11.109375" customWidth="1"/>
    <col min="23" max="23" width="14.6640625" customWidth="1"/>
    <col min="24" max="25" width="14.77734375" customWidth="1"/>
    <col min="26" max="27" width="14.33203125" customWidth="1"/>
    <col min="28" max="28" width="14.6640625" customWidth="1"/>
    <col min="29" max="29" width="13.77734375" customWidth="1"/>
    <col min="30" max="30" width="11.5546875" customWidth="1"/>
  </cols>
  <sheetData>
    <row r="3" spans="2:38" ht="25.15" thickBot="1">
      <c r="W3" s="142"/>
      <c r="X3" s="142"/>
      <c r="Y3" s="1227" t="s">
        <v>0</v>
      </c>
      <c r="Z3" s="1227"/>
      <c r="AA3" s="1227"/>
      <c r="AB3" s="1227"/>
      <c r="AC3" s="1227"/>
    </row>
    <row r="4" spans="2:38" ht="81" customHeight="1" thickBot="1">
      <c r="B4" s="123" t="s">
        <v>1</v>
      </c>
      <c r="C4" s="125" t="s">
        <v>3</v>
      </c>
      <c r="D4" s="126" t="s">
        <v>5</v>
      </c>
      <c r="E4" s="124" t="s">
        <v>2</v>
      </c>
      <c r="F4" s="125" t="s">
        <v>4</v>
      </c>
      <c r="G4" s="128" t="s">
        <v>7</v>
      </c>
      <c r="H4" s="129" t="s">
        <v>9</v>
      </c>
      <c r="I4" s="127" t="s">
        <v>6</v>
      </c>
      <c r="J4" s="128" t="s">
        <v>8</v>
      </c>
      <c r="K4" s="274" t="s">
        <v>182</v>
      </c>
      <c r="L4" s="128" t="s">
        <v>338</v>
      </c>
      <c r="M4" s="129" t="s">
        <v>339</v>
      </c>
      <c r="N4" s="127" t="s">
        <v>340</v>
      </c>
      <c r="O4" s="129" t="s">
        <v>341</v>
      </c>
      <c r="P4" s="686" t="s">
        <v>390</v>
      </c>
      <c r="Q4" s="688" t="s">
        <v>391</v>
      </c>
      <c r="R4" s="688" t="s">
        <v>392</v>
      </c>
      <c r="S4" s="688" t="s">
        <v>393</v>
      </c>
      <c r="T4" s="687" t="s">
        <v>394</v>
      </c>
      <c r="U4" s="728"/>
      <c r="W4" s="142"/>
      <c r="X4" s="143" t="s">
        <v>14</v>
      </c>
      <c r="Y4" s="143" t="s">
        <v>147</v>
      </c>
      <c r="Z4" s="143" t="s">
        <v>147</v>
      </c>
      <c r="AA4" s="143" t="s">
        <v>147</v>
      </c>
      <c r="AB4" s="143" t="s">
        <v>147</v>
      </c>
      <c r="AC4" s="143" t="s">
        <v>147</v>
      </c>
    </row>
    <row r="5" spans="2:38" ht="41.25" customHeight="1">
      <c r="B5" s="130">
        <v>44348</v>
      </c>
      <c r="C5" s="135">
        <v>22410</v>
      </c>
      <c r="D5" s="136">
        <v>14990</v>
      </c>
      <c r="E5" s="131">
        <v>9220</v>
      </c>
      <c r="F5" s="135">
        <v>4140</v>
      </c>
      <c r="G5" s="137">
        <v>17327</v>
      </c>
      <c r="H5" s="137">
        <v>13912</v>
      </c>
      <c r="I5" s="137">
        <v>0</v>
      </c>
      <c r="J5" s="137">
        <v>1656</v>
      </c>
      <c r="K5" s="276">
        <f t="shared" ref="K5:K44" si="0">G5+H5+I5+J5</f>
        <v>32895</v>
      </c>
      <c r="L5" s="131">
        <f>Table2523467891011101213121412[[#This Row],[Jones Creek Target (bopd)]]-Table2523467891011101213121412[[#This Row],[Jones Creek Prod (bopd)]]</f>
        <v>5083</v>
      </c>
      <c r="M5" s="132">
        <f>Table2523467891011101213121412[[#This Row],[Odidi Target (bopd)]]-Table2523467891011101213121412[[#This Row],[Odidi prod (bopd)]]</f>
        <v>1078</v>
      </c>
      <c r="N5" s="132">
        <f>Table2523467891011101213121412[[#This Row],[Batan Target (bopd)]]-Table2523467891011101213121412[[#This Row],[Batan Daily Prod (bopd)]]</f>
        <v>9220</v>
      </c>
      <c r="O5" s="133">
        <f>Table2523467891011101213121412[[#This Row],[Egwa Target (bopd)]]-Table2523467891011101213121412[[#This Row],[Egwa Prod (bopd)]]</f>
        <v>2484</v>
      </c>
      <c r="P5" s="689">
        <v>4.0145999999999997</v>
      </c>
      <c r="Q5" s="269">
        <v>1.79</v>
      </c>
      <c r="R5" s="269">
        <v>0</v>
      </c>
      <c r="S5" s="976">
        <v>0.52</v>
      </c>
      <c r="T5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6.3246000000000002</v>
      </c>
      <c r="U5" s="142"/>
      <c r="W5" s="144"/>
      <c r="X5" s="148" t="s">
        <v>148</v>
      </c>
      <c r="Y5" s="152">
        <f>B35</f>
        <v>44378</v>
      </c>
      <c r="Z5" s="152">
        <f>Y5+1</f>
        <v>44379</v>
      </c>
      <c r="AA5" s="152">
        <f>Z5+1</f>
        <v>44380</v>
      </c>
      <c r="AB5" s="152">
        <f>AA5+1</f>
        <v>44381</v>
      </c>
      <c r="AC5" s="152">
        <f>AB5+1</f>
        <v>44382</v>
      </c>
    </row>
    <row r="6" spans="2:38" ht="21.6">
      <c r="B6" s="130">
        <v>44349</v>
      </c>
      <c r="C6" s="135">
        <v>22410</v>
      </c>
      <c r="D6" s="136">
        <v>14990</v>
      </c>
      <c r="E6" s="131">
        <v>9220</v>
      </c>
      <c r="F6" s="135">
        <v>4140</v>
      </c>
      <c r="G6" s="137">
        <v>18507</v>
      </c>
      <c r="H6" s="137">
        <v>13165</v>
      </c>
      <c r="I6" s="137">
        <v>0</v>
      </c>
      <c r="J6" s="137">
        <v>1739</v>
      </c>
      <c r="K6" s="276">
        <f t="shared" si="0"/>
        <v>33411</v>
      </c>
      <c r="L6" s="131">
        <f>Table2523467891011101213121412[[#This Row],[Jones Creek Target (bopd)]]-Table2523467891011101213121412[[#This Row],[Jones Creek Prod (bopd)]]</f>
        <v>3903</v>
      </c>
      <c r="M6" s="132">
        <f>Table2523467891011101213121412[[#This Row],[Odidi Target (bopd)]]-Table2523467891011101213121412[[#This Row],[Odidi prod (bopd)]]</f>
        <v>1825</v>
      </c>
      <c r="N6" s="132">
        <f>Table2523467891011101213121412[[#This Row],[Batan Target (bopd)]]-Table2523467891011101213121412[[#This Row],[Batan Daily Prod (bopd)]]</f>
        <v>9220</v>
      </c>
      <c r="O6" s="133">
        <f>Table2523467891011101213121412[[#This Row],[Egwa Target (bopd)]]-Table2523467891011101213121412[[#This Row],[Egwa Prod (bopd)]]</f>
        <v>2401</v>
      </c>
      <c r="P6" s="689">
        <v>4.3657000000000004</v>
      </c>
      <c r="Q6" s="269">
        <v>0.01</v>
      </c>
      <c r="R6" s="269">
        <v>0</v>
      </c>
      <c r="S6" s="976">
        <v>0.54</v>
      </c>
      <c r="T6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4.9157000000000002</v>
      </c>
      <c r="U6" s="142"/>
      <c r="W6" s="145" t="s">
        <v>17</v>
      </c>
      <c r="X6" s="272">
        <v>22.41</v>
      </c>
      <c r="Y6" s="270">
        <v>19.414999999999999</v>
      </c>
      <c r="Z6" s="269">
        <v>18.829999999999998</v>
      </c>
      <c r="AA6" s="270">
        <v>18.43</v>
      </c>
      <c r="AB6" s="267">
        <v>18.134</v>
      </c>
      <c r="AC6" s="268">
        <v>18.545999999999999</v>
      </c>
      <c r="AE6" s="297"/>
      <c r="AF6" s="452"/>
      <c r="AG6" s="452"/>
      <c r="AH6" s="453"/>
      <c r="AI6" s="452"/>
      <c r="AJ6" s="452"/>
      <c r="AK6" s="453"/>
      <c r="AL6" s="452"/>
    </row>
    <row r="7" spans="2:38" ht="21.6">
      <c r="B7" s="130">
        <v>44350</v>
      </c>
      <c r="C7" s="135">
        <v>22410</v>
      </c>
      <c r="D7" s="136">
        <v>14990</v>
      </c>
      <c r="E7" s="131">
        <v>9220</v>
      </c>
      <c r="F7" s="135">
        <v>4140</v>
      </c>
      <c r="G7" s="137">
        <v>19600</v>
      </c>
      <c r="H7" s="137">
        <v>13495</v>
      </c>
      <c r="I7" s="137">
        <v>0</v>
      </c>
      <c r="J7" s="137">
        <v>1762.8</v>
      </c>
      <c r="K7" s="276">
        <f t="shared" si="0"/>
        <v>34857.800000000003</v>
      </c>
      <c r="L7" s="131">
        <f>Table2523467891011101213121412[[#This Row],[Jones Creek Target (bopd)]]-Table2523467891011101213121412[[#This Row],[Jones Creek Prod (bopd)]]</f>
        <v>2810</v>
      </c>
      <c r="M7" s="132">
        <f>Table2523467891011101213121412[[#This Row],[Odidi Target (bopd)]]-Table2523467891011101213121412[[#This Row],[Odidi prod (bopd)]]</f>
        <v>1495</v>
      </c>
      <c r="N7" s="132">
        <f>Table2523467891011101213121412[[#This Row],[Batan Target (bopd)]]-Table2523467891011101213121412[[#This Row],[Batan Daily Prod (bopd)]]</f>
        <v>9220</v>
      </c>
      <c r="O7" s="133">
        <f>Table2523467891011101213121412[[#This Row],[Egwa Target (bopd)]]-Table2523467891011101213121412[[#This Row],[Egwa Prod (bopd)]]</f>
        <v>2377.1999999999998</v>
      </c>
      <c r="P7" s="689">
        <v>4.5880000000000001</v>
      </c>
      <c r="Q7" s="269">
        <v>0.03</v>
      </c>
      <c r="R7" s="269">
        <v>0</v>
      </c>
      <c r="S7" s="976">
        <v>0.56000000000000005</v>
      </c>
      <c r="T7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5.1779999999999999</v>
      </c>
      <c r="U7" s="142"/>
      <c r="W7" s="145" t="s">
        <v>19</v>
      </c>
      <c r="X7" s="272">
        <v>14.99</v>
      </c>
      <c r="Y7" s="270">
        <v>15.172000000000001</v>
      </c>
      <c r="Z7" s="269">
        <v>15.548</v>
      </c>
      <c r="AA7" s="270">
        <v>16.366</v>
      </c>
      <c r="AB7" s="269">
        <v>16.87</v>
      </c>
      <c r="AC7" s="270">
        <v>16.957999999999998</v>
      </c>
      <c r="AE7" s="297"/>
      <c r="AF7" s="454"/>
      <c r="AG7" s="454"/>
      <c r="AH7" s="454"/>
      <c r="AI7" s="454"/>
      <c r="AJ7" s="454"/>
      <c r="AK7" s="454"/>
      <c r="AL7" s="454"/>
    </row>
    <row r="8" spans="2:38" ht="21.6">
      <c r="B8" s="130">
        <v>44351</v>
      </c>
      <c r="C8" s="135">
        <v>22410</v>
      </c>
      <c r="D8" s="136">
        <v>14990</v>
      </c>
      <c r="E8" s="131">
        <v>9220</v>
      </c>
      <c r="F8" s="135">
        <v>4140</v>
      </c>
      <c r="G8" s="137">
        <v>19867</v>
      </c>
      <c r="H8" s="137">
        <v>14996</v>
      </c>
      <c r="I8" s="137">
        <v>0</v>
      </c>
      <c r="J8" s="132">
        <v>1738.6</v>
      </c>
      <c r="K8" s="276">
        <f t="shared" si="0"/>
        <v>36601.599999999999</v>
      </c>
      <c r="L8" s="131">
        <f>Table2523467891011101213121412[[#This Row],[Jones Creek Target (bopd)]]-Table2523467891011101213121412[[#This Row],[Jones Creek Prod (bopd)]]</f>
        <v>2543</v>
      </c>
      <c r="M8" s="132">
        <f>Table2523467891011101213121412[[#This Row],[Odidi Target (bopd)]]-Table2523467891011101213121412[[#This Row],[Odidi prod (bopd)]]</f>
        <v>-6</v>
      </c>
      <c r="N8" s="132">
        <f>Table2523467891011101213121412[[#This Row],[Batan Target (bopd)]]-Table2523467891011101213121412[[#This Row],[Batan Daily Prod (bopd)]]</f>
        <v>9220</v>
      </c>
      <c r="O8" s="133">
        <f>Table2523467891011101213121412[[#This Row],[Egwa Target (bopd)]]-Table2523467891011101213121412[[#This Row],[Egwa Prod (bopd)]]</f>
        <v>2401.4</v>
      </c>
      <c r="P8" s="689">
        <v>4.5880000000000001</v>
      </c>
      <c r="Q8" s="269">
        <v>0.31</v>
      </c>
      <c r="R8" s="269">
        <v>0</v>
      </c>
      <c r="S8" s="976">
        <v>0.56000000000000005</v>
      </c>
      <c r="T8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5.4580000000000002</v>
      </c>
      <c r="U8" s="142"/>
      <c r="W8" s="145" t="s">
        <v>16</v>
      </c>
      <c r="X8" s="272">
        <v>9.2200000000000006</v>
      </c>
      <c r="Y8" s="268">
        <v>0</v>
      </c>
      <c r="Z8" s="267">
        <v>0</v>
      </c>
      <c r="AA8" s="268">
        <v>0</v>
      </c>
      <c r="AB8" s="267">
        <v>0</v>
      </c>
      <c r="AC8" s="268">
        <v>0</v>
      </c>
      <c r="AE8" s="298"/>
      <c r="AF8" s="452"/>
      <c r="AG8" s="452"/>
      <c r="AH8" s="452"/>
      <c r="AI8" s="452"/>
      <c r="AJ8" s="452"/>
      <c r="AK8" s="452"/>
      <c r="AL8" s="452"/>
    </row>
    <row r="9" spans="2:38" ht="21.6">
      <c r="B9" s="130">
        <v>44352</v>
      </c>
      <c r="C9" s="135">
        <v>22410</v>
      </c>
      <c r="D9" s="136">
        <v>14990</v>
      </c>
      <c r="E9" s="131">
        <v>9220</v>
      </c>
      <c r="F9" s="135">
        <v>4140</v>
      </c>
      <c r="G9" s="137">
        <v>19832</v>
      </c>
      <c r="H9" s="137">
        <v>14935</v>
      </c>
      <c r="I9" s="137">
        <v>0</v>
      </c>
      <c r="J9" s="137">
        <v>1393</v>
      </c>
      <c r="K9" s="276">
        <f t="shared" si="0"/>
        <v>36160</v>
      </c>
      <c r="L9" s="131">
        <f>Table2523467891011101213121412[[#This Row],[Jones Creek Target (bopd)]]-Table2523467891011101213121412[[#This Row],[Jones Creek Prod (bopd)]]</f>
        <v>2578</v>
      </c>
      <c r="M9" s="132">
        <f>Table2523467891011101213121412[[#This Row],[Odidi Target (bopd)]]-Table2523467891011101213121412[[#This Row],[Odidi prod (bopd)]]</f>
        <v>55</v>
      </c>
      <c r="N9" s="132">
        <f>Table2523467891011101213121412[[#This Row],[Batan Target (bopd)]]-Table2523467891011101213121412[[#This Row],[Batan Daily Prod (bopd)]]</f>
        <v>9220</v>
      </c>
      <c r="O9" s="133">
        <f>Table2523467891011101213121412[[#This Row],[Egwa Target (bopd)]]-Table2523467891011101213121412[[#This Row],[Egwa Prod (bopd)]]</f>
        <v>2747</v>
      </c>
      <c r="P9" s="689"/>
      <c r="Q9" s="269"/>
      <c r="R9" s="269"/>
      <c r="S9" s="976"/>
      <c r="T9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9" s="142"/>
      <c r="W9" s="145" t="s">
        <v>18</v>
      </c>
      <c r="X9" s="273">
        <v>4.1399999999999997</v>
      </c>
      <c r="Y9" s="270">
        <v>3.1520000000000001</v>
      </c>
      <c r="Z9" s="269">
        <v>3.13</v>
      </c>
      <c r="AA9" s="270">
        <v>3.1349999999999998</v>
      </c>
      <c r="AB9" s="269">
        <v>3.1379999999999999</v>
      </c>
      <c r="AC9" s="270" t="s">
        <v>408</v>
      </c>
      <c r="AF9" s="454"/>
      <c r="AG9" s="454"/>
      <c r="AH9" s="454"/>
      <c r="AI9" s="454"/>
      <c r="AJ9" s="454"/>
      <c r="AK9" s="454"/>
      <c r="AL9" s="454"/>
    </row>
    <row r="10" spans="2:38" ht="21.6">
      <c r="B10" s="130">
        <v>44353</v>
      </c>
      <c r="C10" s="135">
        <v>22410</v>
      </c>
      <c r="D10" s="136">
        <v>14990</v>
      </c>
      <c r="E10" s="131">
        <v>9220</v>
      </c>
      <c r="F10" s="135">
        <v>4140</v>
      </c>
      <c r="G10" s="137">
        <v>19742</v>
      </c>
      <c r="H10" s="137">
        <v>14081</v>
      </c>
      <c r="I10" s="137">
        <v>0</v>
      </c>
      <c r="J10" s="132">
        <v>1633</v>
      </c>
      <c r="K10" s="276">
        <f t="shared" si="0"/>
        <v>35456</v>
      </c>
      <c r="L10" s="131">
        <f>Table2523467891011101213121412[[#This Row],[Jones Creek Target (bopd)]]-Table2523467891011101213121412[[#This Row],[Jones Creek Prod (bopd)]]</f>
        <v>2668</v>
      </c>
      <c r="M10" s="132">
        <f>Table2523467891011101213121412[[#This Row],[Odidi Target (bopd)]]-Table2523467891011101213121412[[#This Row],[Odidi prod (bopd)]]</f>
        <v>909</v>
      </c>
      <c r="N10" s="132">
        <f>Table2523467891011101213121412[[#This Row],[Batan Target (bopd)]]-Table2523467891011101213121412[[#This Row],[Batan Daily Prod (bopd)]]</f>
        <v>9220</v>
      </c>
      <c r="O10" s="133">
        <f>Table2523467891011101213121412[[#This Row],[Egwa Target (bopd)]]-Table2523467891011101213121412[[#This Row],[Egwa Prod (bopd)]]</f>
        <v>2507</v>
      </c>
      <c r="P10" s="689"/>
      <c r="Q10" s="269"/>
      <c r="R10" s="269"/>
      <c r="S10" s="976"/>
      <c r="T10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10" s="142"/>
      <c r="AC10" s="670"/>
      <c r="AF10" s="453"/>
      <c r="AG10" s="453"/>
      <c r="AH10" s="453"/>
      <c r="AI10" s="453"/>
      <c r="AJ10" s="452"/>
      <c r="AK10" s="453"/>
      <c r="AL10" s="452"/>
    </row>
    <row r="11" spans="2:38" ht="21.6">
      <c r="B11" s="130">
        <v>44354</v>
      </c>
      <c r="C11" s="135">
        <v>22410</v>
      </c>
      <c r="D11" s="136">
        <v>14990</v>
      </c>
      <c r="E11" s="131">
        <v>9220</v>
      </c>
      <c r="F11" s="135">
        <v>4140</v>
      </c>
      <c r="G11" s="137">
        <v>19417</v>
      </c>
      <c r="H11" s="137">
        <v>15525</v>
      </c>
      <c r="I11" s="137">
        <v>0</v>
      </c>
      <c r="J11" s="137">
        <v>2551</v>
      </c>
      <c r="K11" s="276">
        <f t="shared" si="0"/>
        <v>37493</v>
      </c>
      <c r="L11" s="131">
        <f>Table2523467891011101213121412[[#This Row],[Jones Creek Target (bopd)]]-Table2523467891011101213121412[[#This Row],[Jones Creek Prod (bopd)]]</f>
        <v>2993</v>
      </c>
      <c r="M11" s="132">
        <f>Table2523467891011101213121412[[#This Row],[Odidi Target (bopd)]]-Table2523467891011101213121412[[#This Row],[Odidi prod (bopd)]]</f>
        <v>-535</v>
      </c>
      <c r="N11" s="132">
        <f>Table2523467891011101213121412[[#This Row],[Batan Target (bopd)]]-Table2523467891011101213121412[[#This Row],[Batan Daily Prod (bopd)]]</f>
        <v>9220</v>
      </c>
      <c r="O11" s="133">
        <f>Table2523467891011101213121412[[#This Row],[Egwa Target (bopd)]]-Table2523467891011101213121412[[#This Row],[Egwa Prod (bopd)]]</f>
        <v>1589</v>
      </c>
      <c r="P11" s="689">
        <v>4.5880000000000001</v>
      </c>
      <c r="Q11" s="269">
        <v>4.66</v>
      </c>
      <c r="R11" s="269">
        <v>0</v>
      </c>
      <c r="S11" s="976">
        <v>1.05</v>
      </c>
      <c r="T11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10.298</v>
      </c>
      <c r="U11" s="142"/>
    </row>
    <row r="12" spans="2:38" ht="21.6">
      <c r="B12" s="130">
        <v>44355</v>
      </c>
      <c r="C12" s="135">
        <v>22410</v>
      </c>
      <c r="D12" s="136">
        <v>14990</v>
      </c>
      <c r="E12" s="131">
        <v>9220</v>
      </c>
      <c r="F12" s="135">
        <v>4140</v>
      </c>
      <c r="G12" s="132">
        <v>17209</v>
      </c>
      <c r="H12" s="137">
        <v>15158</v>
      </c>
      <c r="I12" s="137">
        <v>0</v>
      </c>
      <c r="J12" s="132">
        <v>2580</v>
      </c>
      <c r="K12" s="276">
        <f t="shared" si="0"/>
        <v>34947</v>
      </c>
      <c r="L12" s="131">
        <f>Table2523467891011101213121412[[#This Row],[Jones Creek Target (bopd)]]-Table2523467891011101213121412[[#This Row],[Jones Creek Prod (bopd)]]</f>
        <v>5201</v>
      </c>
      <c r="M12" s="132">
        <f>Table2523467891011101213121412[[#This Row],[Odidi Target (bopd)]]-Table2523467891011101213121412[[#This Row],[Odidi prod (bopd)]]</f>
        <v>-168</v>
      </c>
      <c r="N12" s="132">
        <f>Table2523467891011101213121412[[#This Row],[Batan Target (bopd)]]-Table2523467891011101213121412[[#This Row],[Batan Daily Prod (bopd)]]</f>
        <v>9220</v>
      </c>
      <c r="O12" s="133">
        <f>Table2523467891011101213121412[[#This Row],[Egwa Target (bopd)]]-Table2523467891011101213121412[[#This Row],[Egwa Prod (bopd)]]</f>
        <v>1560</v>
      </c>
      <c r="P12" s="689"/>
      <c r="Q12" s="269"/>
      <c r="R12" s="269"/>
      <c r="S12" s="976"/>
      <c r="T12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12" s="975"/>
      <c r="V12" s="42"/>
    </row>
    <row r="13" spans="2:38" ht="21.6">
      <c r="B13" s="130">
        <v>44356</v>
      </c>
      <c r="C13" s="135">
        <v>22410</v>
      </c>
      <c r="D13" s="136">
        <v>14990</v>
      </c>
      <c r="E13" s="131">
        <v>9220</v>
      </c>
      <c r="F13" s="135">
        <v>4140</v>
      </c>
      <c r="G13" s="132">
        <v>11912</v>
      </c>
      <c r="H13" s="137">
        <v>15003</v>
      </c>
      <c r="I13" s="132">
        <v>0</v>
      </c>
      <c r="J13" s="132">
        <v>2579.5</v>
      </c>
      <c r="K13" s="276">
        <f t="shared" si="0"/>
        <v>29494.5</v>
      </c>
      <c r="L13" s="131">
        <f>Table2523467891011101213121412[[#This Row],[Jones Creek Target (bopd)]]-Table2523467891011101213121412[[#This Row],[Jones Creek Prod (bopd)]]</f>
        <v>10498</v>
      </c>
      <c r="M13" s="132">
        <f>Table2523467891011101213121412[[#This Row],[Odidi Target (bopd)]]-Table2523467891011101213121412[[#This Row],[Odidi prod (bopd)]]</f>
        <v>-13</v>
      </c>
      <c r="N13" s="132">
        <f>Table2523467891011101213121412[[#This Row],[Batan Target (bopd)]]-Table2523467891011101213121412[[#This Row],[Batan Daily Prod (bopd)]]</f>
        <v>9220</v>
      </c>
      <c r="O13" s="133">
        <f>Table2523467891011101213121412[[#This Row],[Egwa Target (bopd)]]-Table2523467891011101213121412[[#This Row],[Egwa Prod (bopd)]]</f>
        <v>1560.5</v>
      </c>
      <c r="P13" s="689">
        <v>6.8</v>
      </c>
      <c r="Q13" s="269">
        <v>5.54</v>
      </c>
      <c r="R13" s="269">
        <v>0</v>
      </c>
      <c r="S13" s="976">
        <v>1.07</v>
      </c>
      <c r="T13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13.41</v>
      </c>
      <c r="U13" s="142"/>
    </row>
    <row r="14" spans="2:38" ht="21.6">
      <c r="B14" s="130">
        <v>44357</v>
      </c>
      <c r="C14" s="135">
        <v>22410</v>
      </c>
      <c r="D14" s="136">
        <v>14990</v>
      </c>
      <c r="E14" s="131">
        <v>9220</v>
      </c>
      <c r="F14" s="135">
        <v>4140</v>
      </c>
      <c r="G14" s="132">
        <v>12654</v>
      </c>
      <c r="H14" s="137">
        <v>15981</v>
      </c>
      <c r="I14" s="132">
        <v>0</v>
      </c>
      <c r="J14" s="132">
        <v>2596</v>
      </c>
      <c r="K14" s="276">
        <f t="shared" si="0"/>
        <v>31231</v>
      </c>
      <c r="L14" s="131">
        <f>Table2523467891011101213121412[[#This Row],[Jones Creek Target (bopd)]]-Table2523467891011101213121412[[#This Row],[Jones Creek Prod (bopd)]]</f>
        <v>9756</v>
      </c>
      <c r="M14" s="132">
        <f>Table2523467891011101213121412[[#This Row],[Odidi Target (bopd)]]-Table2523467891011101213121412[[#This Row],[Odidi prod (bopd)]]</f>
        <v>-991</v>
      </c>
      <c r="N14" s="132">
        <f>Table2523467891011101213121412[[#This Row],[Batan Target (bopd)]]-Table2523467891011101213121412[[#This Row],[Batan Daily Prod (bopd)]]</f>
        <v>9220</v>
      </c>
      <c r="O14" s="133">
        <f>Table2523467891011101213121412[[#This Row],[Egwa Target (bopd)]]-Table2523467891011101213121412[[#This Row],[Egwa Prod (bopd)]]</f>
        <v>1544</v>
      </c>
      <c r="P14" s="689">
        <v>6.14</v>
      </c>
      <c r="Q14" s="269">
        <v>4.6900000000000004</v>
      </c>
      <c r="R14" s="269">
        <v>0</v>
      </c>
      <c r="S14" s="976">
        <v>1.03</v>
      </c>
      <c r="T14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11.86</v>
      </c>
      <c r="U14" s="142"/>
    </row>
    <row r="15" spans="2:38" ht="21.6">
      <c r="B15" s="130">
        <v>44358</v>
      </c>
      <c r="C15" s="135">
        <v>22410</v>
      </c>
      <c r="D15" s="136">
        <v>14990</v>
      </c>
      <c r="E15" s="131">
        <v>9220</v>
      </c>
      <c r="F15" s="135">
        <v>4140</v>
      </c>
      <c r="G15" s="137">
        <v>11840</v>
      </c>
      <c r="H15" s="137">
        <v>14996</v>
      </c>
      <c r="I15" s="137">
        <v>0</v>
      </c>
      <c r="J15" s="132">
        <v>2587</v>
      </c>
      <c r="K15" s="276">
        <f t="shared" si="0"/>
        <v>29423</v>
      </c>
      <c r="L15" s="131">
        <f>Table2523467891011101213121412[[#This Row],[Jones Creek Target (bopd)]]-Table2523467891011101213121412[[#This Row],[Jones Creek Prod (bopd)]]</f>
        <v>10570</v>
      </c>
      <c r="M15" s="132">
        <f>Table2523467891011101213121412[[#This Row],[Odidi Target (bopd)]]-Table2523467891011101213121412[[#This Row],[Odidi prod (bopd)]]</f>
        <v>-6</v>
      </c>
      <c r="N15" s="132">
        <f>Table2523467891011101213121412[[#This Row],[Batan Target (bopd)]]-Table2523467891011101213121412[[#This Row],[Batan Daily Prod (bopd)]]</f>
        <v>9220</v>
      </c>
      <c r="O15" s="133">
        <f>Table2523467891011101213121412[[#This Row],[Egwa Target (bopd)]]-Table2523467891011101213121412[[#This Row],[Egwa Prod (bopd)]]</f>
        <v>1553</v>
      </c>
      <c r="P15" s="689"/>
      <c r="Q15" s="269"/>
      <c r="R15" s="269"/>
      <c r="S15" s="976">
        <v>1.0389999999999999</v>
      </c>
      <c r="T15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1.0389999999999999</v>
      </c>
      <c r="U15" s="142"/>
    </row>
    <row r="16" spans="2:38" ht="21.6">
      <c r="B16" s="130">
        <v>44359</v>
      </c>
      <c r="C16" s="135">
        <v>22410</v>
      </c>
      <c r="D16" s="136">
        <v>14990</v>
      </c>
      <c r="E16" s="131">
        <v>9220</v>
      </c>
      <c r="F16" s="135">
        <v>4140</v>
      </c>
      <c r="G16" s="137">
        <v>4539</v>
      </c>
      <c r="H16" s="137">
        <v>15393</v>
      </c>
      <c r="I16" s="577">
        <v>836</v>
      </c>
      <c r="J16" s="132">
        <v>2592</v>
      </c>
      <c r="K16" s="276">
        <f t="shared" si="0"/>
        <v>23360</v>
      </c>
      <c r="L16" s="131">
        <f>Table2523467891011101213121412[[#This Row],[Jones Creek Target (bopd)]]-Table2523467891011101213121412[[#This Row],[Jones Creek Prod (bopd)]]</f>
        <v>17871</v>
      </c>
      <c r="M16" s="132">
        <f>Table2523467891011101213121412[[#This Row],[Odidi Target (bopd)]]-Table2523467891011101213121412[[#This Row],[Odidi prod (bopd)]]</f>
        <v>-403</v>
      </c>
      <c r="N16" s="132">
        <f>Table2523467891011101213121412[[#This Row],[Batan Target (bopd)]]-Table2523467891011101213121412[[#This Row],[Batan Daily Prod (bopd)]]</f>
        <v>8384</v>
      </c>
      <c r="O16" s="133">
        <f>Table2523467891011101213121412[[#This Row],[Egwa Target (bopd)]]-Table2523467891011101213121412[[#This Row],[Egwa Prod (bopd)]]</f>
        <v>1548</v>
      </c>
      <c r="P16" s="689"/>
      <c r="Q16" s="269"/>
      <c r="R16" s="269"/>
      <c r="S16" s="976"/>
      <c r="T16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16" s="142"/>
    </row>
    <row r="17" spans="2:21" ht="21.6">
      <c r="B17" s="130">
        <v>44360</v>
      </c>
      <c r="C17" s="135">
        <v>22410</v>
      </c>
      <c r="D17" s="136">
        <v>14990</v>
      </c>
      <c r="E17" s="131">
        <v>9220</v>
      </c>
      <c r="F17" s="135">
        <v>4140</v>
      </c>
      <c r="G17" s="137">
        <v>0</v>
      </c>
      <c r="H17" s="137">
        <v>14778</v>
      </c>
      <c r="I17" s="577">
        <v>0</v>
      </c>
      <c r="J17" s="132">
        <v>2609</v>
      </c>
      <c r="K17" s="276">
        <f t="shared" si="0"/>
        <v>17387</v>
      </c>
      <c r="L17" s="131">
        <f>Table2523467891011101213121412[[#This Row],[Jones Creek Target (bopd)]]-Table2523467891011101213121412[[#This Row],[Jones Creek Prod (bopd)]]</f>
        <v>22410</v>
      </c>
      <c r="M17" s="132">
        <f>Table2523467891011101213121412[[#This Row],[Odidi Target (bopd)]]-Table2523467891011101213121412[[#This Row],[Odidi prod (bopd)]]</f>
        <v>212</v>
      </c>
      <c r="N17" s="132">
        <f>Table2523467891011101213121412[[#This Row],[Batan Target (bopd)]]-Table2523467891011101213121412[[#This Row],[Batan Daily Prod (bopd)]]</f>
        <v>9220</v>
      </c>
      <c r="O17" s="133">
        <f>Table2523467891011101213121412[[#This Row],[Egwa Target (bopd)]]-Table2523467891011101213121412[[#This Row],[Egwa Prod (bopd)]]</f>
        <v>1531</v>
      </c>
      <c r="P17" s="689"/>
      <c r="Q17" s="269"/>
      <c r="R17" s="269"/>
      <c r="S17" s="976"/>
      <c r="T17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17" s="142"/>
    </row>
    <row r="18" spans="2:21" ht="21.6">
      <c r="B18" s="130">
        <v>44361</v>
      </c>
      <c r="C18" s="135">
        <v>22410</v>
      </c>
      <c r="D18" s="136">
        <v>14990</v>
      </c>
      <c r="E18" s="131">
        <v>9220</v>
      </c>
      <c r="F18" s="135">
        <v>4140</v>
      </c>
      <c r="G18" s="137">
        <v>0</v>
      </c>
      <c r="H18" s="137">
        <v>14125</v>
      </c>
      <c r="I18" s="577">
        <v>0</v>
      </c>
      <c r="J18" s="132">
        <v>2616</v>
      </c>
      <c r="K18" s="276">
        <f t="shared" si="0"/>
        <v>16741</v>
      </c>
      <c r="L18" s="131">
        <f>Table2523467891011101213121412[[#This Row],[Jones Creek Target (bopd)]]-Table2523467891011101213121412[[#This Row],[Jones Creek Prod (bopd)]]</f>
        <v>22410</v>
      </c>
      <c r="M18" s="132">
        <f>Table2523467891011101213121412[[#This Row],[Odidi Target (bopd)]]-Table2523467891011101213121412[[#This Row],[Odidi prod (bopd)]]</f>
        <v>865</v>
      </c>
      <c r="N18" s="132">
        <f>Table2523467891011101213121412[[#This Row],[Batan Target (bopd)]]-Table2523467891011101213121412[[#This Row],[Batan Daily Prod (bopd)]]</f>
        <v>9220</v>
      </c>
      <c r="O18" s="133">
        <f>Table2523467891011101213121412[[#This Row],[Egwa Target (bopd)]]-Table2523467891011101213121412[[#This Row],[Egwa Prod (bopd)]]</f>
        <v>1524</v>
      </c>
      <c r="P18" s="689"/>
      <c r="Q18" s="269"/>
      <c r="R18" s="269"/>
      <c r="S18" s="976"/>
      <c r="T18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18" s="142"/>
    </row>
    <row r="19" spans="2:21" ht="21.6">
      <c r="B19" s="130">
        <v>44362</v>
      </c>
      <c r="C19" s="135">
        <v>22410</v>
      </c>
      <c r="D19" s="136">
        <v>14990</v>
      </c>
      <c r="E19" s="131">
        <v>9220</v>
      </c>
      <c r="F19" s="135">
        <v>4140</v>
      </c>
      <c r="G19" s="137">
        <v>6423</v>
      </c>
      <c r="H19" s="137">
        <v>14547</v>
      </c>
      <c r="I19" s="577">
        <v>0</v>
      </c>
      <c r="J19" s="132">
        <v>2614</v>
      </c>
      <c r="K19" s="276">
        <f t="shared" si="0"/>
        <v>23584</v>
      </c>
      <c r="L19" s="131">
        <f>Table2523467891011101213121412[[#This Row],[Jones Creek Target (bopd)]]-Table2523467891011101213121412[[#This Row],[Jones Creek Prod (bopd)]]</f>
        <v>15987</v>
      </c>
      <c r="M19" s="132">
        <f>Table2523467891011101213121412[[#This Row],[Odidi Target (bopd)]]-Table2523467891011101213121412[[#This Row],[Odidi prod (bopd)]]</f>
        <v>443</v>
      </c>
      <c r="N19" s="132">
        <f>Table2523467891011101213121412[[#This Row],[Batan Target (bopd)]]-Table2523467891011101213121412[[#This Row],[Batan Daily Prod (bopd)]]</f>
        <v>9220</v>
      </c>
      <c r="O19" s="133">
        <f>Table2523467891011101213121412[[#This Row],[Egwa Target (bopd)]]-Table2523467891011101213121412[[#This Row],[Egwa Prod (bopd)]]</f>
        <v>1526</v>
      </c>
      <c r="P19" s="689">
        <v>2.34</v>
      </c>
      <c r="Q19" s="269">
        <v>5.83</v>
      </c>
      <c r="R19" s="269">
        <v>0</v>
      </c>
      <c r="S19" s="976">
        <v>1.123</v>
      </c>
      <c r="T19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9.2929999999999993</v>
      </c>
      <c r="U19" s="142"/>
    </row>
    <row r="20" spans="2:21" ht="21.6">
      <c r="B20" s="130">
        <v>44363</v>
      </c>
      <c r="C20" s="135">
        <v>22410</v>
      </c>
      <c r="D20" s="136">
        <v>14990</v>
      </c>
      <c r="E20" s="131">
        <v>9220</v>
      </c>
      <c r="F20" s="135">
        <v>4140</v>
      </c>
      <c r="G20" s="137">
        <v>11872</v>
      </c>
      <c r="H20" s="137">
        <v>15171</v>
      </c>
      <c r="I20" s="577">
        <v>0</v>
      </c>
      <c r="J20" s="132">
        <v>2669</v>
      </c>
      <c r="K20" s="276">
        <f t="shared" si="0"/>
        <v>29712</v>
      </c>
      <c r="L20" s="131">
        <f>Table2523467891011101213121412[[#This Row],[Jones Creek Target (bopd)]]-Table2523467891011101213121412[[#This Row],[Jones Creek Prod (bopd)]]</f>
        <v>10538</v>
      </c>
      <c r="M20" s="132">
        <f>Table2523467891011101213121412[[#This Row],[Odidi Target (bopd)]]-Table2523467891011101213121412[[#This Row],[Odidi prod (bopd)]]</f>
        <v>-181</v>
      </c>
      <c r="N20" s="132">
        <f>Table2523467891011101213121412[[#This Row],[Batan Target (bopd)]]-Table2523467891011101213121412[[#This Row],[Batan Daily Prod (bopd)]]</f>
        <v>9220</v>
      </c>
      <c r="O20" s="133">
        <f>Table2523467891011101213121412[[#This Row],[Egwa Target (bopd)]]-Table2523467891011101213121412[[#This Row],[Egwa Prod (bopd)]]</f>
        <v>1471</v>
      </c>
      <c r="P20" s="689">
        <v>4.63</v>
      </c>
      <c r="Q20" s="269">
        <v>7.88</v>
      </c>
      <c r="R20" s="269">
        <v>0</v>
      </c>
      <c r="S20" s="976">
        <v>1.1200000000000001</v>
      </c>
      <c r="T20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13.629999999999999</v>
      </c>
      <c r="U20" s="142"/>
    </row>
    <row r="21" spans="2:21" ht="21.6">
      <c r="B21" s="130">
        <v>44364</v>
      </c>
      <c r="C21" s="135">
        <v>22410</v>
      </c>
      <c r="D21" s="136">
        <v>14990</v>
      </c>
      <c r="E21" s="131">
        <v>9220</v>
      </c>
      <c r="F21" s="135">
        <v>4140</v>
      </c>
      <c r="G21" s="137">
        <v>15901</v>
      </c>
      <c r="H21" s="137">
        <v>15868</v>
      </c>
      <c r="I21" s="577">
        <v>0</v>
      </c>
      <c r="J21" s="132">
        <v>2568</v>
      </c>
      <c r="K21" s="276">
        <f t="shared" si="0"/>
        <v>34337</v>
      </c>
      <c r="L21" s="131">
        <f>Table2523467891011101213121412[[#This Row],[Jones Creek Target (bopd)]]-Table2523467891011101213121412[[#This Row],[Jones Creek Prod (bopd)]]</f>
        <v>6509</v>
      </c>
      <c r="M21" s="132">
        <f>Table2523467891011101213121412[[#This Row],[Odidi Target (bopd)]]-Table2523467891011101213121412[[#This Row],[Odidi prod (bopd)]]</f>
        <v>-878</v>
      </c>
      <c r="N21" s="132">
        <f>Table2523467891011101213121412[[#This Row],[Batan Target (bopd)]]-Table2523467891011101213121412[[#This Row],[Batan Daily Prod (bopd)]]</f>
        <v>9220</v>
      </c>
      <c r="O21" s="133">
        <f>Table2523467891011101213121412[[#This Row],[Egwa Target (bopd)]]-Table2523467891011101213121412[[#This Row],[Egwa Prod (bopd)]]</f>
        <v>1572</v>
      </c>
      <c r="P21" s="689">
        <v>5.8856000000000002</v>
      </c>
      <c r="Q21" s="269">
        <v>10.91</v>
      </c>
      <c r="R21" s="269">
        <v>0</v>
      </c>
      <c r="S21" s="976">
        <v>1.113</v>
      </c>
      <c r="T21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17.9086</v>
      </c>
      <c r="U21" s="142"/>
    </row>
    <row r="22" spans="2:21" ht="21.6">
      <c r="B22" s="130">
        <v>44365</v>
      </c>
      <c r="C22" s="135">
        <v>22410</v>
      </c>
      <c r="D22" s="136">
        <v>14990</v>
      </c>
      <c r="E22" s="131">
        <v>9220</v>
      </c>
      <c r="F22" s="135">
        <v>4140</v>
      </c>
      <c r="G22" s="137">
        <v>21472</v>
      </c>
      <c r="H22" s="137">
        <v>15014</v>
      </c>
      <c r="I22" s="137">
        <v>0</v>
      </c>
      <c r="J22" s="132">
        <v>2801</v>
      </c>
      <c r="K22" s="276">
        <f t="shared" si="0"/>
        <v>39287</v>
      </c>
      <c r="L22" s="131">
        <f>Table2523467891011101213121412[[#This Row],[Jones Creek Target (bopd)]]-Table2523467891011101213121412[[#This Row],[Jones Creek Prod (bopd)]]</f>
        <v>938</v>
      </c>
      <c r="M22" s="132">
        <f>Table2523467891011101213121412[[#This Row],[Odidi Target (bopd)]]-Table2523467891011101213121412[[#This Row],[Odidi prod (bopd)]]</f>
        <v>-24</v>
      </c>
      <c r="N22" s="132">
        <f>Table2523467891011101213121412[[#This Row],[Batan Target (bopd)]]-Table2523467891011101213121412[[#This Row],[Batan Daily Prod (bopd)]]</f>
        <v>9220</v>
      </c>
      <c r="O22" s="133">
        <f>Table2523467891011101213121412[[#This Row],[Egwa Target (bopd)]]-Table2523467891011101213121412[[#This Row],[Egwa Prod (bopd)]]</f>
        <v>1339</v>
      </c>
      <c r="P22" s="689">
        <v>8.49</v>
      </c>
      <c r="Q22" s="269">
        <v>8.7899999999999991</v>
      </c>
      <c r="R22" s="269">
        <v>0</v>
      </c>
      <c r="S22" s="976">
        <v>1.3</v>
      </c>
      <c r="T22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18.579999999999998</v>
      </c>
      <c r="U22" s="142"/>
    </row>
    <row r="23" spans="2:21" ht="21.6">
      <c r="B23" s="130">
        <v>44366</v>
      </c>
      <c r="C23" s="135">
        <v>22410</v>
      </c>
      <c r="D23" s="136">
        <v>14990</v>
      </c>
      <c r="E23" s="131">
        <v>9220</v>
      </c>
      <c r="F23" s="135">
        <v>4140</v>
      </c>
      <c r="G23" s="137">
        <v>17303</v>
      </c>
      <c r="H23" s="137">
        <v>15800</v>
      </c>
      <c r="I23" s="137">
        <v>0</v>
      </c>
      <c r="J23" s="137">
        <v>2868.5</v>
      </c>
      <c r="K23" s="276">
        <f t="shared" si="0"/>
        <v>35971.5</v>
      </c>
      <c r="L23" s="131">
        <f>Table2523467891011101213121412[[#This Row],[Jones Creek Target (bopd)]]-Table2523467891011101213121412[[#This Row],[Jones Creek Prod (bopd)]]</f>
        <v>5107</v>
      </c>
      <c r="M23" s="132">
        <f>Table2523467891011101213121412[[#This Row],[Odidi Target (bopd)]]-Table2523467891011101213121412[[#This Row],[Odidi prod (bopd)]]</f>
        <v>-810</v>
      </c>
      <c r="N23" s="132">
        <f>Table2523467891011101213121412[[#This Row],[Batan Target (bopd)]]-Table2523467891011101213121412[[#This Row],[Batan Daily Prod (bopd)]]</f>
        <v>9220</v>
      </c>
      <c r="O23" s="133">
        <f>Table2523467891011101213121412[[#This Row],[Egwa Target (bopd)]]-Table2523467891011101213121412[[#This Row],[Egwa Prod (bopd)]]</f>
        <v>1271.5</v>
      </c>
      <c r="P23" s="689"/>
      <c r="Q23" s="269"/>
      <c r="R23" s="269"/>
      <c r="S23" s="976"/>
      <c r="T23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23" s="142"/>
    </row>
    <row r="24" spans="2:21" ht="21.6">
      <c r="B24" s="130">
        <v>44367</v>
      </c>
      <c r="C24" s="135">
        <v>22410</v>
      </c>
      <c r="D24" s="136">
        <v>14990</v>
      </c>
      <c r="E24" s="131">
        <v>9220</v>
      </c>
      <c r="F24" s="135">
        <v>4140</v>
      </c>
      <c r="G24" s="132">
        <v>6870</v>
      </c>
      <c r="H24" s="132">
        <v>14855</v>
      </c>
      <c r="I24" s="137">
        <v>0</v>
      </c>
      <c r="J24" s="137">
        <v>2911</v>
      </c>
      <c r="K24" s="276">
        <f t="shared" si="0"/>
        <v>24636</v>
      </c>
      <c r="L24" s="131">
        <f>Table2523467891011101213121412[[#This Row],[Jones Creek Target (bopd)]]-Table2523467891011101213121412[[#This Row],[Jones Creek Prod (bopd)]]</f>
        <v>15540</v>
      </c>
      <c r="M24" s="132">
        <f>Table2523467891011101213121412[[#This Row],[Odidi Target (bopd)]]-Table2523467891011101213121412[[#This Row],[Odidi prod (bopd)]]</f>
        <v>135</v>
      </c>
      <c r="N24" s="132">
        <f>Table2523467891011101213121412[[#This Row],[Batan Target (bopd)]]-Table2523467891011101213121412[[#This Row],[Batan Daily Prod (bopd)]]</f>
        <v>9220</v>
      </c>
      <c r="O24" s="133">
        <f>Table2523467891011101213121412[[#This Row],[Egwa Target (bopd)]]-Table2523467891011101213121412[[#This Row],[Egwa Prod (bopd)]]</f>
        <v>1229</v>
      </c>
      <c r="P24" s="689"/>
      <c r="Q24" s="269">
        <v>17.84</v>
      </c>
      <c r="R24" s="269"/>
      <c r="S24" s="976"/>
      <c r="T24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17.84</v>
      </c>
      <c r="U24" s="142"/>
    </row>
    <row r="25" spans="2:21" ht="21.6">
      <c r="B25" s="130">
        <v>44368</v>
      </c>
      <c r="C25" s="135">
        <v>22410</v>
      </c>
      <c r="D25" s="136">
        <v>14990</v>
      </c>
      <c r="E25" s="131">
        <v>9220</v>
      </c>
      <c r="F25" s="135">
        <v>4140</v>
      </c>
      <c r="G25" s="132">
        <v>11344</v>
      </c>
      <c r="H25" s="137">
        <v>6627</v>
      </c>
      <c r="I25" s="137">
        <v>0</v>
      </c>
      <c r="J25" s="137">
        <v>2930.2</v>
      </c>
      <c r="K25" s="276">
        <f t="shared" si="0"/>
        <v>20901.2</v>
      </c>
      <c r="L25" s="131">
        <f>Table2523467891011101213121412[[#This Row],[Jones Creek Target (bopd)]]-Table2523467891011101213121412[[#This Row],[Jones Creek Prod (bopd)]]</f>
        <v>11066</v>
      </c>
      <c r="M25" s="132">
        <f>Table2523467891011101213121412[[#This Row],[Odidi Target (bopd)]]-Table2523467891011101213121412[[#This Row],[Odidi prod (bopd)]]</f>
        <v>8363</v>
      </c>
      <c r="N25" s="132">
        <f>Table2523467891011101213121412[[#This Row],[Batan Target (bopd)]]-Table2523467891011101213121412[[#This Row],[Batan Daily Prod (bopd)]]</f>
        <v>9220</v>
      </c>
      <c r="O25" s="133">
        <f>Table2523467891011101213121412[[#This Row],[Egwa Target (bopd)]]-Table2523467891011101213121412[[#This Row],[Egwa Prod (bopd)]]</f>
        <v>1209.8000000000002</v>
      </c>
      <c r="P25" s="689">
        <v>4.6029999999999998</v>
      </c>
      <c r="Q25" s="267">
        <v>15.91</v>
      </c>
      <c r="R25" s="269">
        <v>0</v>
      </c>
      <c r="S25" s="976">
        <v>1.554</v>
      </c>
      <c r="T25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22.067</v>
      </c>
      <c r="U25" s="142"/>
    </row>
    <row r="26" spans="2:21" ht="21.6">
      <c r="B26" s="130">
        <v>44369</v>
      </c>
      <c r="C26" s="135">
        <v>22410</v>
      </c>
      <c r="D26" s="136">
        <v>14990</v>
      </c>
      <c r="E26" s="131">
        <v>9220</v>
      </c>
      <c r="F26" s="135">
        <v>4140</v>
      </c>
      <c r="G26" s="137">
        <v>19234</v>
      </c>
      <c r="H26" s="137">
        <v>7206</v>
      </c>
      <c r="I26" s="137">
        <v>0</v>
      </c>
      <c r="J26" s="132">
        <v>2937</v>
      </c>
      <c r="K26" s="276">
        <f t="shared" si="0"/>
        <v>29377</v>
      </c>
      <c r="L26" s="131">
        <f>Table2523467891011101213121412[[#This Row],[Jones Creek Target (bopd)]]-Table2523467891011101213121412[[#This Row],[Jones Creek Prod (bopd)]]</f>
        <v>3176</v>
      </c>
      <c r="M26" s="132">
        <f>Table2523467891011101213121412[[#This Row],[Odidi Target (bopd)]]-Table2523467891011101213121412[[#This Row],[Odidi prod (bopd)]]</f>
        <v>7784</v>
      </c>
      <c r="N26" s="132">
        <f>Table2523467891011101213121412[[#This Row],[Batan Target (bopd)]]-Table2523467891011101213121412[[#This Row],[Batan Daily Prod (bopd)]]</f>
        <v>9220</v>
      </c>
      <c r="O26" s="133">
        <f>Table2523467891011101213121412[[#This Row],[Egwa Target (bopd)]]-Table2523467891011101213121412[[#This Row],[Egwa Prod (bopd)]]</f>
        <v>1203</v>
      </c>
      <c r="P26" s="689">
        <v>8.4</v>
      </c>
      <c r="Q26" s="269">
        <v>9.0399999999999991</v>
      </c>
      <c r="R26" s="269">
        <v>0</v>
      </c>
      <c r="S26" s="976">
        <v>1.59</v>
      </c>
      <c r="T26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19.03</v>
      </c>
      <c r="U26" s="142"/>
    </row>
    <row r="27" spans="2:21" ht="21.6">
      <c r="B27" s="130">
        <v>44370</v>
      </c>
      <c r="C27" s="135">
        <v>22410</v>
      </c>
      <c r="D27" s="136">
        <v>14990</v>
      </c>
      <c r="E27" s="131">
        <v>9220</v>
      </c>
      <c r="F27" s="135">
        <v>4140</v>
      </c>
      <c r="G27" s="137">
        <v>18899</v>
      </c>
      <c r="H27" s="137">
        <v>11404</v>
      </c>
      <c r="I27" s="137">
        <v>2844</v>
      </c>
      <c r="J27" s="132">
        <v>2953</v>
      </c>
      <c r="K27" s="276">
        <f t="shared" si="0"/>
        <v>36100</v>
      </c>
      <c r="L27" s="131">
        <f>Table2523467891011101213121412[[#This Row],[Jones Creek Target (bopd)]]-Table2523467891011101213121412[[#This Row],[Jones Creek Prod (bopd)]]</f>
        <v>3511</v>
      </c>
      <c r="M27" s="132">
        <f>Table2523467891011101213121412[[#This Row],[Odidi Target (bopd)]]-Table2523467891011101213121412[[#This Row],[Odidi prod (bopd)]]</f>
        <v>3586</v>
      </c>
      <c r="N27" s="132">
        <f>Table2523467891011101213121412[[#This Row],[Batan Target (bopd)]]-Table2523467891011101213121412[[#This Row],[Batan Daily Prod (bopd)]]</f>
        <v>6376</v>
      </c>
      <c r="O27" s="133">
        <f>Table2523467891011101213121412[[#This Row],[Egwa Target (bopd)]]-Table2523467891011101213121412[[#This Row],[Egwa Prod (bopd)]]</f>
        <v>1187</v>
      </c>
      <c r="P27" s="689">
        <v>8.7799999999999994</v>
      </c>
      <c r="Q27" s="269">
        <v>17.829999999999998</v>
      </c>
      <c r="R27" s="269">
        <v>0.4</v>
      </c>
      <c r="S27" s="976">
        <v>1.6439999999999999</v>
      </c>
      <c r="T27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28.653999999999996</v>
      </c>
      <c r="U27" s="142"/>
    </row>
    <row r="28" spans="2:21" ht="21.6">
      <c r="B28" s="130">
        <v>44371</v>
      </c>
      <c r="C28" s="135">
        <v>22410</v>
      </c>
      <c r="D28" s="136">
        <v>14990</v>
      </c>
      <c r="E28" s="131">
        <v>9220</v>
      </c>
      <c r="F28" s="135">
        <v>4140</v>
      </c>
      <c r="G28" s="137">
        <v>18579</v>
      </c>
      <c r="H28" s="137">
        <v>11984</v>
      </c>
      <c r="I28" s="137">
        <v>4945</v>
      </c>
      <c r="J28" s="132">
        <v>2958</v>
      </c>
      <c r="K28" s="276">
        <f t="shared" si="0"/>
        <v>38466</v>
      </c>
      <c r="L28" s="131">
        <f>Table2523467891011101213121412[[#This Row],[Jones Creek Target (bopd)]]-Table2523467891011101213121412[[#This Row],[Jones Creek Prod (bopd)]]</f>
        <v>3831</v>
      </c>
      <c r="M28" s="132">
        <f>Table2523467891011101213121412[[#This Row],[Odidi Target (bopd)]]-Table2523467891011101213121412[[#This Row],[Odidi prod (bopd)]]</f>
        <v>3006</v>
      </c>
      <c r="N28" s="132">
        <f>Table2523467891011101213121412[[#This Row],[Batan Target (bopd)]]-Table2523467891011101213121412[[#This Row],[Batan Daily Prod (bopd)]]</f>
        <v>4275</v>
      </c>
      <c r="O28" s="133">
        <f>Table2523467891011101213121412[[#This Row],[Egwa Target (bopd)]]-Table2523467891011101213121412[[#This Row],[Egwa Prod (bopd)]]</f>
        <v>1182</v>
      </c>
      <c r="P28" s="689">
        <v>8.59</v>
      </c>
      <c r="Q28" s="269">
        <v>20.59</v>
      </c>
      <c r="R28" s="269"/>
      <c r="S28" s="976">
        <v>1.702</v>
      </c>
      <c r="T28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30.882000000000001</v>
      </c>
      <c r="U28" s="142"/>
    </row>
    <row r="29" spans="2:21" ht="21.6">
      <c r="B29" s="130">
        <v>44372</v>
      </c>
      <c r="C29" s="135">
        <v>22410</v>
      </c>
      <c r="D29" s="136">
        <v>14990</v>
      </c>
      <c r="E29" s="131">
        <v>9220</v>
      </c>
      <c r="F29" s="135">
        <v>4140</v>
      </c>
      <c r="G29" s="137">
        <v>18132</v>
      </c>
      <c r="H29" s="137">
        <v>13379</v>
      </c>
      <c r="I29" s="137">
        <v>5864</v>
      </c>
      <c r="J29" s="132">
        <v>2972</v>
      </c>
      <c r="K29" s="276">
        <f t="shared" si="0"/>
        <v>40347</v>
      </c>
      <c r="L29" s="131">
        <f>Table2523467891011101213121412[[#This Row],[Jones Creek Target (bopd)]]-Table2523467891011101213121412[[#This Row],[Jones Creek Prod (bopd)]]</f>
        <v>4278</v>
      </c>
      <c r="M29" s="132">
        <f>Table2523467891011101213121412[[#This Row],[Odidi Target (bopd)]]-Table2523467891011101213121412[[#This Row],[Odidi prod (bopd)]]</f>
        <v>1611</v>
      </c>
      <c r="N29" s="132">
        <f>Table2523467891011101213121412[[#This Row],[Batan Target (bopd)]]-Table2523467891011101213121412[[#This Row],[Batan Daily Prod (bopd)]]</f>
        <v>3356</v>
      </c>
      <c r="O29" s="133">
        <f>Table2523467891011101213121412[[#This Row],[Egwa Target (bopd)]]-Table2523467891011101213121412[[#This Row],[Egwa Prod (bopd)]]</f>
        <v>1168</v>
      </c>
      <c r="P29" s="689"/>
      <c r="Q29" s="269"/>
      <c r="R29" s="269"/>
      <c r="S29" s="976"/>
      <c r="T29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29" s="142"/>
    </row>
    <row r="30" spans="2:21" ht="21.6">
      <c r="B30" s="130">
        <v>44373</v>
      </c>
      <c r="C30" s="135">
        <v>22410</v>
      </c>
      <c r="D30" s="136">
        <v>14990</v>
      </c>
      <c r="E30" s="131">
        <v>9220</v>
      </c>
      <c r="F30" s="135">
        <v>4140</v>
      </c>
      <c r="G30" s="137">
        <v>18397</v>
      </c>
      <c r="H30" s="137">
        <v>13652</v>
      </c>
      <c r="I30" s="137">
        <v>4226</v>
      </c>
      <c r="J30" s="137">
        <v>2984</v>
      </c>
      <c r="K30" s="276">
        <f t="shared" si="0"/>
        <v>39259</v>
      </c>
      <c r="L30" s="131">
        <f>Table2523467891011101213121412[[#This Row],[Jones Creek Target (bopd)]]-Table2523467891011101213121412[[#This Row],[Jones Creek Prod (bopd)]]</f>
        <v>4013</v>
      </c>
      <c r="M30" s="132">
        <f>Table2523467891011101213121412[[#This Row],[Odidi Target (bopd)]]-Table2523467891011101213121412[[#This Row],[Odidi prod (bopd)]]</f>
        <v>1338</v>
      </c>
      <c r="N30" s="132">
        <f>Table2523467891011101213121412[[#This Row],[Batan Target (bopd)]]-Table2523467891011101213121412[[#This Row],[Batan Daily Prod (bopd)]]</f>
        <v>4994</v>
      </c>
      <c r="O30" s="133">
        <f>Table2523467891011101213121412[[#This Row],[Egwa Target (bopd)]]-Table2523467891011101213121412[[#This Row],[Egwa Prod (bopd)]]</f>
        <v>1156</v>
      </c>
      <c r="P30" s="689"/>
      <c r="Q30" s="269"/>
      <c r="R30" s="269"/>
      <c r="S30" s="976"/>
      <c r="T30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30" s="142"/>
    </row>
    <row r="31" spans="2:21" ht="21.6">
      <c r="B31" s="130">
        <v>44374</v>
      </c>
      <c r="C31" s="135">
        <v>22410</v>
      </c>
      <c r="D31" s="136">
        <v>14990</v>
      </c>
      <c r="E31" s="131">
        <v>9220</v>
      </c>
      <c r="F31" s="135">
        <v>4140</v>
      </c>
      <c r="G31" s="137">
        <v>18480</v>
      </c>
      <c r="H31" s="137">
        <v>13710</v>
      </c>
      <c r="I31" s="137">
        <v>3968</v>
      </c>
      <c r="J31" s="137">
        <v>2978</v>
      </c>
      <c r="K31" s="276">
        <f t="shared" si="0"/>
        <v>39136</v>
      </c>
      <c r="L31" s="131">
        <f>Table2523467891011101213121412[[#This Row],[Jones Creek Target (bopd)]]-Table2523467891011101213121412[[#This Row],[Jones Creek Prod (bopd)]]</f>
        <v>3930</v>
      </c>
      <c r="M31" s="132">
        <f>Table2523467891011101213121412[[#This Row],[Odidi Target (bopd)]]-Table2523467891011101213121412[[#This Row],[Odidi prod (bopd)]]</f>
        <v>1280</v>
      </c>
      <c r="N31" s="132">
        <f>Table2523467891011101213121412[[#This Row],[Batan Target (bopd)]]-Table2523467891011101213121412[[#This Row],[Batan Daily Prod (bopd)]]</f>
        <v>5252</v>
      </c>
      <c r="O31" s="133">
        <f>Table2523467891011101213121412[[#This Row],[Egwa Target (bopd)]]-Table2523467891011101213121412[[#This Row],[Egwa Prod (bopd)]]</f>
        <v>1162</v>
      </c>
      <c r="P31" s="689"/>
      <c r="Q31" s="269"/>
      <c r="R31" s="269"/>
      <c r="S31" s="976"/>
      <c r="T31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31" s="142"/>
    </row>
    <row r="32" spans="2:21" ht="21.6">
      <c r="B32" s="130">
        <v>44375</v>
      </c>
      <c r="C32" s="135">
        <v>22410</v>
      </c>
      <c r="D32" s="136">
        <v>14990</v>
      </c>
      <c r="E32" s="131">
        <v>9220</v>
      </c>
      <c r="F32" s="135">
        <v>4140</v>
      </c>
      <c r="G32" s="137">
        <v>18685</v>
      </c>
      <c r="H32" s="132">
        <v>13470</v>
      </c>
      <c r="I32" s="137">
        <v>4209</v>
      </c>
      <c r="J32" s="132">
        <v>3003</v>
      </c>
      <c r="K32" s="276">
        <f t="shared" si="0"/>
        <v>39367</v>
      </c>
      <c r="L32" s="131">
        <f>Table2523467891011101213121412[[#This Row],[Jones Creek Target (bopd)]]-Table2523467891011101213121412[[#This Row],[Jones Creek Prod (bopd)]]</f>
        <v>3725</v>
      </c>
      <c r="M32" s="132">
        <f>Table2523467891011101213121412[[#This Row],[Odidi Target (bopd)]]-Table2523467891011101213121412[[#This Row],[Odidi prod (bopd)]]</f>
        <v>1520</v>
      </c>
      <c r="N32" s="132">
        <f>Table2523467891011101213121412[[#This Row],[Batan Target (bopd)]]-Table2523467891011101213121412[[#This Row],[Batan Daily Prod (bopd)]]</f>
        <v>5011</v>
      </c>
      <c r="O32" s="133">
        <f>Table2523467891011101213121412[[#This Row],[Egwa Target (bopd)]]-Table2523467891011101213121412[[#This Row],[Egwa Prod (bopd)]]</f>
        <v>1137</v>
      </c>
      <c r="P32" s="689">
        <v>5.899</v>
      </c>
      <c r="Q32" s="269">
        <v>5.59</v>
      </c>
      <c r="R32" s="269">
        <v>0.4</v>
      </c>
      <c r="S32" s="976">
        <v>2.06</v>
      </c>
      <c r="T32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13.949000000000002</v>
      </c>
      <c r="U32" s="142"/>
    </row>
    <row r="33" spans="2:23" ht="21.6">
      <c r="B33" s="130">
        <v>44376</v>
      </c>
      <c r="C33" s="135">
        <v>22410</v>
      </c>
      <c r="D33" s="136">
        <v>14990</v>
      </c>
      <c r="E33" s="131">
        <v>9220</v>
      </c>
      <c r="F33" s="135">
        <v>4140</v>
      </c>
      <c r="G33" s="132">
        <v>18575</v>
      </c>
      <c r="H33" s="132">
        <v>14502</v>
      </c>
      <c r="I33" s="137">
        <v>2289</v>
      </c>
      <c r="J33" s="137">
        <v>3177</v>
      </c>
      <c r="K33" s="276">
        <f t="shared" si="0"/>
        <v>38543</v>
      </c>
      <c r="L33" s="131">
        <f>Table2523467891011101213121412[[#This Row],[Jones Creek Target (bopd)]]-Table2523467891011101213121412[[#This Row],[Jones Creek Prod (bopd)]]</f>
        <v>3835</v>
      </c>
      <c r="M33" s="132">
        <f>Table2523467891011101213121412[[#This Row],[Odidi Target (bopd)]]-Table2523467891011101213121412[[#This Row],[Odidi prod (bopd)]]</f>
        <v>488</v>
      </c>
      <c r="N33" s="132">
        <f>Table2523467891011101213121412[[#This Row],[Batan Target (bopd)]]-Table2523467891011101213121412[[#This Row],[Batan Daily Prod (bopd)]]</f>
        <v>6931</v>
      </c>
      <c r="O33" s="133">
        <f>Table2523467891011101213121412[[#This Row],[Egwa Target (bopd)]]-Table2523467891011101213121412[[#This Row],[Egwa Prod (bopd)]]</f>
        <v>963</v>
      </c>
      <c r="P33" s="689">
        <v>8.59</v>
      </c>
      <c r="Q33" s="269">
        <v>3.16</v>
      </c>
      <c r="R33" s="269">
        <v>0.4</v>
      </c>
      <c r="S33" s="976">
        <v>2.105</v>
      </c>
      <c r="T33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14.254999999999999</v>
      </c>
      <c r="U33" s="142"/>
    </row>
    <row r="34" spans="2:23" ht="21.6">
      <c r="B34" s="130">
        <v>44377</v>
      </c>
      <c r="C34" s="135">
        <v>22410</v>
      </c>
      <c r="D34" s="136">
        <v>14990</v>
      </c>
      <c r="E34" s="131">
        <v>9220</v>
      </c>
      <c r="F34" s="135">
        <v>4140</v>
      </c>
      <c r="G34" s="137">
        <v>16983</v>
      </c>
      <c r="H34" s="132">
        <v>16241</v>
      </c>
      <c r="I34" s="137">
        <v>0</v>
      </c>
      <c r="J34" s="137">
        <v>3207</v>
      </c>
      <c r="K34" s="276">
        <f t="shared" si="0"/>
        <v>36431</v>
      </c>
      <c r="L34" s="131">
        <f>Table2523467891011101213121412[[#This Row],[Jones Creek Target (bopd)]]-Table2523467891011101213121412[[#This Row],[Jones Creek Prod (bopd)]]</f>
        <v>5427</v>
      </c>
      <c r="M34" s="132">
        <f>Table2523467891011101213121412[[#This Row],[Odidi Target (bopd)]]-Table2523467891011101213121412[[#This Row],[Odidi prod (bopd)]]</f>
        <v>-1251</v>
      </c>
      <c r="N34" s="132">
        <f>Table2523467891011101213121412[[#This Row],[Batan Target (bopd)]]-Table2523467891011101213121412[[#This Row],[Batan Daily Prod (bopd)]]</f>
        <v>9220</v>
      </c>
      <c r="O34" s="133">
        <f>Table2523467891011101213121412[[#This Row],[Egwa Target (bopd)]]-Table2523467891011101213121412[[#This Row],[Egwa Prod (bopd)]]</f>
        <v>933</v>
      </c>
      <c r="P34" s="689">
        <v>8.0500000000000007</v>
      </c>
      <c r="Q34" s="269">
        <v>2.2799999999999998</v>
      </c>
      <c r="R34" s="269">
        <v>0</v>
      </c>
      <c r="S34" s="976">
        <v>2.258</v>
      </c>
      <c r="T34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12.588000000000001</v>
      </c>
      <c r="U34" s="142"/>
    </row>
    <row r="35" spans="2:23" ht="21.6">
      <c r="B35" s="130">
        <v>44378</v>
      </c>
      <c r="C35" s="135">
        <v>22410</v>
      </c>
      <c r="D35" s="136">
        <v>14990</v>
      </c>
      <c r="E35" s="131">
        <v>9220</v>
      </c>
      <c r="F35" s="135">
        <v>4140</v>
      </c>
      <c r="G35" s="137">
        <v>19415</v>
      </c>
      <c r="H35" s="137">
        <v>15172</v>
      </c>
      <c r="I35" s="137">
        <v>0</v>
      </c>
      <c r="J35" s="137">
        <v>3152</v>
      </c>
      <c r="K35" s="276">
        <f t="shared" si="0"/>
        <v>37739</v>
      </c>
      <c r="L35" s="131">
        <f>Table2523467891011101213121412[[#This Row],[Jones Creek Target (bopd)]]-Table2523467891011101213121412[[#This Row],[Jones Creek Prod (bopd)]]</f>
        <v>2995</v>
      </c>
      <c r="M35" s="132">
        <f>Table2523467891011101213121412[[#This Row],[Odidi Target (bopd)]]-Table2523467891011101213121412[[#This Row],[Odidi prod (bopd)]]</f>
        <v>-182</v>
      </c>
      <c r="N35" s="132">
        <f>Table2523467891011101213121412[[#This Row],[Batan Target (bopd)]]-Table2523467891011101213121412[[#This Row],[Batan Daily Prod (bopd)]]</f>
        <v>9220</v>
      </c>
      <c r="O35" s="133">
        <f>Table2523467891011101213121412[[#This Row],[Egwa Target (bopd)]]-Table2523467891011101213121412[[#This Row],[Egwa Prod (bopd)]]</f>
        <v>988</v>
      </c>
      <c r="P35" s="689">
        <v>8.59</v>
      </c>
      <c r="Q35" s="269">
        <v>4.8099999999999996</v>
      </c>
      <c r="R35" s="269">
        <v>0</v>
      </c>
      <c r="S35" s="976">
        <v>2.29</v>
      </c>
      <c r="T35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15.69</v>
      </c>
      <c r="U35" s="142"/>
    </row>
    <row r="36" spans="2:23" ht="21.6">
      <c r="B36" s="130">
        <v>44379</v>
      </c>
      <c r="C36" s="135">
        <v>22410</v>
      </c>
      <c r="D36" s="136">
        <v>14990</v>
      </c>
      <c r="E36" s="131">
        <v>9220</v>
      </c>
      <c r="F36" s="135">
        <v>4140</v>
      </c>
      <c r="G36" s="137">
        <v>18830</v>
      </c>
      <c r="H36" s="137">
        <v>15548</v>
      </c>
      <c r="I36" s="137">
        <v>0</v>
      </c>
      <c r="J36" s="137">
        <v>3130</v>
      </c>
      <c r="K36" s="276">
        <f t="shared" si="0"/>
        <v>37508</v>
      </c>
      <c r="L36" s="131">
        <f>Table2523467891011101213121412[[#This Row],[Jones Creek Target (bopd)]]-Table2523467891011101213121412[[#This Row],[Jones Creek Prod (bopd)]]</f>
        <v>3580</v>
      </c>
      <c r="M36" s="132">
        <f>Table2523467891011101213121412[[#This Row],[Odidi Target (bopd)]]-Table2523467891011101213121412[[#This Row],[Odidi prod (bopd)]]</f>
        <v>-558</v>
      </c>
      <c r="N36" s="132">
        <f>Table2523467891011101213121412[[#This Row],[Batan Target (bopd)]]-Table2523467891011101213121412[[#This Row],[Batan Daily Prod (bopd)]]</f>
        <v>9220</v>
      </c>
      <c r="O36" s="133">
        <f>Table2523467891011101213121412[[#This Row],[Egwa Target (bopd)]]-Table2523467891011101213121412[[#This Row],[Egwa Prod (bopd)]]</f>
        <v>1010</v>
      </c>
      <c r="P36" s="689">
        <v>8.61</v>
      </c>
      <c r="Q36" s="269">
        <v>7.92</v>
      </c>
      <c r="R36" s="269">
        <v>0</v>
      </c>
      <c r="S36" s="976">
        <v>2.3370000000000002</v>
      </c>
      <c r="T36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18.866999999999997</v>
      </c>
      <c r="U36" s="142"/>
    </row>
    <row r="37" spans="2:23" ht="21.6">
      <c r="B37" s="130">
        <v>44380</v>
      </c>
      <c r="C37" s="135">
        <v>22410</v>
      </c>
      <c r="D37" s="136">
        <v>14990</v>
      </c>
      <c r="E37" s="131">
        <v>9220</v>
      </c>
      <c r="F37" s="135">
        <v>4140</v>
      </c>
      <c r="G37" s="137">
        <v>18430</v>
      </c>
      <c r="H37" s="137">
        <v>16366</v>
      </c>
      <c r="I37" s="137">
        <v>0</v>
      </c>
      <c r="J37" s="137">
        <v>3135</v>
      </c>
      <c r="K37" s="276">
        <f t="shared" si="0"/>
        <v>37931</v>
      </c>
      <c r="L37" s="131">
        <f>Table2523467891011101213121412[[#This Row],[Jones Creek Target (bopd)]]-Table2523467891011101213121412[[#This Row],[Jones Creek Prod (bopd)]]</f>
        <v>3980</v>
      </c>
      <c r="M37" s="132">
        <f>Table2523467891011101213121412[[#This Row],[Odidi Target (bopd)]]-Table2523467891011101213121412[[#This Row],[Odidi prod (bopd)]]</f>
        <v>-1376</v>
      </c>
      <c r="N37" s="132">
        <f>Table2523467891011101213121412[[#This Row],[Batan Target (bopd)]]-Table2523467891011101213121412[[#This Row],[Batan Daily Prod (bopd)]]</f>
        <v>9220</v>
      </c>
      <c r="O37" s="133">
        <f>Table2523467891011101213121412[[#This Row],[Egwa Target (bopd)]]-Table2523467891011101213121412[[#This Row],[Egwa Prod (bopd)]]</f>
        <v>1005</v>
      </c>
      <c r="P37" s="689"/>
      <c r="Q37" s="269"/>
      <c r="R37" s="269"/>
      <c r="S37" s="976"/>
      <c r="T37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37" s="142"/>
    </row>
    <row r="38" spans="2:23" ht="21.6">
      <c r="B38" s="130">
        <v>44381</v>
      </c>
      <c r="C38" s="135">
        <v>22410</v>
      </c>
      <c r="D38" s="136">
        <v>14990</v>
      </c>
      <c r="E38" s="131">
        <v>9220</v>
      </c>
      <c r="F38" s="135">
        <v>4140</v>
      </c>
      <c r="G38" s="137">
        <v>18134</v>
      </c>
      <c r="H38" s="137">
        <v>16870</v>
      </c>
      <c r="I38" s="137">
        <v>0</v>
      </c>
      <c r="J38" s="132">
        <v>3138</v>
      </c>
      <c r="K38" s="276">
        <f t="shared" si="0"/>
        <v>38142</v>
      </c>
      <c r="L38" s="131">
        <f>Table2523467891011101213121412[[#This Row],[Jones Creek Target (bopd)]]-Table2523467891011101213121412[[#This Row],[Jones Creek Prod (bopd)]]</f>
        <v>4276</v>
      </c>
      <c r="M38" s="132">
        <f>Table2523467891011101213121412[[#This Row],[Odidi Target (bopd)]]-Table2523467891011101213121412[[#This Row],[Odidi prod (bopd)]]</f>
        <v>-1880</v>
      </c>
      <c r="N38" s="132">
        <f>Table2523467891011101213121412[[#This Row],[Batan Target (bopd)]]-Table2523467891011101213121412[[#This Row],[Batan Daily Prod (bopd)]]</f>
        <v>9220</v>
      </c>
      <c r="O38" s="133">
        <f>Table2523467891011101213121412[[#This Row],[Egwa Target (bopd)]]-Table2523467891011101213121412[[#This Row],[Egwa Prod (bopd)]]</f>
        <v>1002</v>
      </c>
      <c r="P38" s="689"/>
      <c r="Q38" s="269"/>
      <c r="R38" s="269"/>
      <c r="S38" s="976"/>
      <c r="T38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38" s="142"/>
    </row>
    <row r="39" spans="2:23" ht="21.6">
      <c r="B39" s="130">
        <v>44382</v>
      </c>
      <c r="C39" s="135">
        <v>22410</v>
      </c>
      <c r="D39" s="136">
        <v>14990</v>
      </c>
      <c r="E39" s="131">
        <v>9220</v>
      </c>
      <c r="F39" s="135">
        <v>4140</v>
      </c>
      <c r="G39" s="137">
        <v>18546</v>
      </c>
      <c r="H39" s="137">
        <v>16958</v>
      </c>
      <c r="I39" s="137">
        <v>0</v>
      </c>
      <c r="J39" s="132">
        <v>3132.5</v>
      </c>
      <c r="K39" s="276">
        <f t="shared" si="0"/>
        <v>38636.5</v>
      </c>
      <c r="L39" s="131">
        <f>Table2523467891011101213121412[[#This Row],[Jones Creek Target (bopd)]]-Table2523467891011101213121412[[#This Row],[Jones Creek Prod (bopd)]]</f>
        <v>3864</v>
      </c>
      <c r="M39" s="132">
        <f>Table2523467891011101213121412[[#This Row],[Odidi Target (bopd)]]-Table2523467891011101213121412[[#This Row],[Odidi prod (bopd)]]</f>
        <v>-1968</v>
      </c>
      <c r="N39" s="132">
        <f>Table2523467891011101213121412[[#This Row],[Batan Target (bopd)]]-Table2523467891011101213121412[[#This Row],[Batan Daily Prod (bopd)]]</f>
        <v>9220</v>
      </c>
      <c r="O39" s="133">
        <f>Table2523467891011101213121412[[#This Row],[Egwa Target (bopd)]]-Table2523467891011101213121412[[#This Row],[Egwa Prod (bopd)]]</f>
        <v>1007.5</v>
      </c>
      <c r="P39" s="689">
        <v>8.5890000000000004</v>
      </c>
      <c r="Q39" s="269">
        <v>10.38</v>
      </c>
      <c r="R39" s="269">
        <v>0</v>
      </c>
      <c r="S39" s="976">
        <v>2.5379999999999998</v>
      </c>
      <c r="T39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21.507000000000001</v>
      </c>
      <c r="U39" s="142"/>
    </row>
    <row r="40" spans="2:23" ht="21.6">
      <c r="B40" s="130">
        <v>44383</v>
      </c>
      <c r="C40" s="135">
        <v>22550</v>
      </c>
      <c r="D40" s="136">
        <v>14890</v>
      </c>
      <c r="E40" s="131">
        <v>9500</v>
      </c>
      <c r="F40" s="135">
        <v>4270</v>
      </c>
      <c r="G40" s="132"/>
      <c r="H40" s="301"/>
      <c r="I40" s="137"/>
      <c r="J40" s="132"/>
      <c r="K40" s="276">
        <f t="shared" si="0"/>
        <v>0</v>
      </c>
      <c r="L40" s="131"/>
      <c r="M40" s="132"/>
      <c r="N40" s="132"/>
      <c r="O40" s="133"/>
      <c r="P40" s="689"/>
      <c r="Q40" s="269"/>
      <c r="R40" s="269"/>
      <c r="S40" s="976"/>
      <c r="T40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40" s="142"/>
    </row>
    <row r="41" spans="2:23" ht="21.6">
      <c r="B41" s="130">
        <v>44384</v>
      </c>
      <c r="C41" s="135">
        <v>22550</v>
      </c>
      <c r="D41" s="136">
        <v>14890</v>
      </c>
      <c r="E41" s="131">
        <v>9500</v>
      </c>
      <c r="F41" s="135">
        <v>4270</v>
      </c>
      <c r="G41" s="132"/>
      <c r="H41" s="132"/>
      <c r="I41" s="132"/>
      <c r="J41" s="132"/>
      <c r="K41" s="276">
        <f t="shared" si="0"/>
        <v>0</v>
      </c>
      <c r="L41" s="131"/>
      <c r="M41" s="132"/>
      <c r="N41" s="132"/>
      <c r="O41" s="133"/>
      <c r="P41" s="689"/>
      <c r="Q41" s="269"/>
      <c r="R41" s="269"/>
      <c r="S41" s="976"/>
      <c r="T41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41" s="142"/>
    </row>
    <row r="42" spans="2:23" ht="21.6">
      <c r="B42" s="130">
        <v>44385</v>
      </c>
      <c r="C42" s="135">
        <v>22550</v>
      </c>
      <c r="D42" s="136">
        <v>14890</v>
      </c>
      <c r="E42" s="131">
        <v>9500</v>
      </c>
      <c r="F42" s="135">
        <v>4270</v>
      </c>
      <c r="G42" s="132"/>
      <c r="H42" s="132"/>
      <c r="I42" s="132"/>
      <c r="J42" s="132"/>
      <c r="K42" s="276">
        <f t="shared" si="0"/>
        <v>0</v>
      </c>
      <c r="L42" s="131"/>
      <c r="M42" s="132"/>
      <c r="N42" s="132"/>
      <c r="O42" s="133"/>
      <c r="P42" s="689"/>
      <c r="Q42" s="269"/>
      <c r="R42" s="269"/>
      <c r="S42" s="976"/>
      <c r="T42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42" s="142"/>
      <c r="V42" s="42"/>
    </row>
    <row r="43" spans="2:23" ht="21.6">
      <c r="B43" s="130">
        <v>44386</v>
      </c>
      <c r="C43" s="135">
        <v>22550</v>
      </c>
      <c r="D43" s="136">
        <v>14890</v>
      </c>
      <c r="E43" s="131">
        <v>9500</v>
      </c>
      <c r="F43" s="135">
        <v>4270</v>
      </c>
      <c r="G43" s="137"/>
      <c r="H43" s="137"/>
      <c r="I43" s="137"/>
      <c r="J43" s="132"/>
      <c r="K43" s="276">
        <f t="shared" si="0"/>
        <v>0</v>
      </c>
      <c r="L43" s="131"/>
      <c r="M43" s="132"/>
      <c r="N43" s="132"/>
      <c r="O43" s="133"/>
      <c r="P43" s="689"/>
      <c r="Q43" s="269"/>
      <c r="R43" s="269"/>
      <c r="S43" s="976"/>
      <c r="T43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43" s="142"/>
    </row>
    <row r="44" spans="2:23" ht="21.6">
      <c r="B44" s="130">
        <v>44387</v>
      </c>
      <c r="C44" s="135">
        <v>22550</v>
      </c>
      <c r="D44" s="136">
        <v>14890</v>
      </c>
      <c r="E44" s="131">
        <v>9500</v>
      </c>
      <c r="F44" s="135">
        <v>4270</v>
      </c>
      <c r="G44" s="137"/>
      <c r="H44" s="137"/>
      <c r="I44" s="137"/>
      <c r="J44" s="132"/>
      <c r="K44" s="276">
        <f t="shared" si="0"/>
        <v>0</v>
      </c>
      <c r="L44" s="131"/>
      <c r="M44" s="132"/>
      <c r="N44" s="132"/>
      <c r="O44" s="133"/>
      <c r="P44" s="689"/>
      <c r="Q44" s="269"/>
      <c r="R44" s="269"/>
      <c r="S44" s="976"/>
      <c r="T44" s="977">
        <f>Table2523467891011101213121412[[#This Row],[Egwa Flared Gas (MMscf/d)]]+Table2523467891011101213121412[[#This Row],[ Batan Flared Gas (MMscf/d)]]+Table2523467891011101213121412[[#This Row],[ Odidi Flared Gas (MMscf/d)]]+Table2523467891011101213121412[[#This Row],[ J/C Flared Gas (MMscf/d)]]</f>
        <v>0</v>
      </c>
      <c r="U44" s="142"/>
    </row>
    <row r="46" spans="2:23" ht="15.6" thickBot="1"/>
    <row r="47" spans="2:23" ht="33.950000000000003" customHeight="1" thickBot="1">
      <c r="B47" s="1303" t="s">
        <v>149</v>
      </c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5"/>
      <c r="P47" s="694"/>
      <c r="Q47" s="694"/>
      <c r="R47" s="694"/>
      <c r="S47" s="694"/>
      <c r="V47" s="23"/>
      <c r="W47" s="117"/>
    </row>
    <row r="48" spans="2:23" ht="41.45" customHeight="1">
      <c r="B48" s="655" t="s">
        <v>22</v>
      </c>
      <c r="C48" s="651" t="s">
        <v>358</v>
      </c>
      <c r="D48" s="1334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7"/>
      <c r="N48" s="1307"/>
      <c r="O48" s="1308"/>
      <c r="P48" s="683"/>
      <c r="Q48" s="683"/>
      <c r="R48" s="683"/>
      <c r="S48" s="683"/>
      <c r="V48" s="118"/>
      <c r="W48" s="119"/>
    </row>
    <row r="49" spans="2:23" ht="42" customHeight="1">
      <c r="B49" s="656" t="s">
        <v>17</v>
      </c>
      <c r="C49" s="652">
        <v>3.8639999999999999</v>
      </c>
      <c r="D49" s="1335" t="s">
        <v>409</v>
      </c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10"/>
      <c r="P49" s="684"/>
      <c r="Q49" s="684"/>
      <c r="R49" s="684"/>
      <c r="S49" s="684"/>
      <c r="V49" s="118"/>
      <c r="W49" s="119"/>
    </row>
    <row r="50" spans="2:23" ht="24.95" customHeight="1">
      <c r="B50" s="656" t="s">
        <v>19</v>
      </c>
      <c r="C50" s="693">
        <v>-1.968</v>
      </c>
      <c r="D50" s="1336" t="s">
        <v>410</v>
      </c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6"/>
      <c r="P50" s="685"/>
      <c r="Q50" s="685"/>
      <c r="R50" s="685"/>
      <c r="S50" s="685"/>
      <c r="V50" s="23"/>
    </row>
    <row r="51" spans="2:23" ht="21.6">
      <c r="B51" s="656" t="s">
        <v>16</v>
      </c>
      <c r="C51" s="652">
        <v>9.2200000000000006</v>
      </c>
      <c r="D51" s="1336" t="s">
        <v>411</v>
      </c>
      <c r="E51" s="1285"/>
      <c r="F51" s="1285"/>
      <c r="G51" s="1285"/>
      <c r="H51" s="1285"/>
      <c r="I51" s="1285"/>
      <c r="J51" s="1285"/>
      <c r="K51" s="1285"/>
      <c r="L51" s="1285"/>
      <c r="M51" s="1285"/>
      <c r="N51" s="1285"/>
      <c r="O51" s="1286"/>
      <c r="P51" s="685"/>
      <c r="Q51" s="685"/>
      <c r="R51" s="685"/>
      <c r="S51" s="685"/>
      <c r="V51" s="118"/>
      <c r="W51" s="662"/>
    </row>
    <row r="52" spans="2:23" ht="26.45" customHeight="1" thickBot="1">
      <c r="B52" s="657" t="s">
        <v>18</v>
      </c>
      <c r="C52" s="653">
        <v>1.008</v>
      </c>
      <c r="D52" s="1328" t="s">
        <v>362</v>
      </c>
      <c r="E52" s="1329"/>
      <c r="F52" s="1329"/>
      <c r="G52" s="1329"/>
      <c r="H52" s="1329"/>
      <c r="I52" s="1329"/>
      <c r="J52" s="1329"/>
      <c r="K52" s="1329"/>
      <c r="L52" s="1329"/>
      <c r="M52" s="1329"/>
      <c r="N52" s="1329"/>
      <c r="O52" s="1330"/>
      <c r="P52" s="685"/>
      <c r="Q52" s="685"/>
      <c r="R52" s="685"/>
      <c r="S52" s="685"/>
      <c r="V52" s="118"/>
      <c r="W52" s="119"/>
    </row>
    <row r="53" spans="2:23" ht="27" customHeight="1" thickBot="1">
      <c r="B53" s="658" t="s">
        <v>187</v>
      </c>
      <c r="C53" s="654">
        <f>SUM(C49:C52)</f>
        <v>12.123999999999999</v>
      </c>
      <c r="D53" s="1331" t="s">
        <v>412</v>
      </c>
      <c r="E53" s="1332"/>
      <c r="F53" s="1332"/>
      <c r="G53" s="1332"/>
      <c r="H53" s="1332"/>
      <c r="I53" s="1332"/>
      <c r="J53" s="1332"/>
      <c r="K53" s="1332"/>
      <c r="L53" s="1332"/>
      <c r="M53" s="1332"/>
      <c r="N53" s="1332"/>
      <c r="O53" s="1333"/>
      <c r="P53" s="684"/>
      <c r="Q53" s="684"/>
      <c r="R53" s="684"/>
      <c r="S53" s="684"/>
      <c r="T53" s="402"/>
      <c r="U53" s="402"/>
    </row>
    <row r="56" spans="2:23" ht="20.45">
      <c r="F56" s="30"/>
    </row>
    <row r="57" spans="2:23" ht="35.450000000000003" customHeight="1">
      <c r="C57" s="271"/>
      <c r="G57" s="31"/>
      <c r="H57" s="31"/>
      <c r="I57" s="31"/>
    </row>
    <row r="58" spans="2:23" ht="24.75" customHeight="1">
      <c r="D58" s="30"/>
      <c r="G58" s="36"/>
      <c r="H58" s="36"/>
      <c r="I58" s="36"/>
    </row>
    <row r="59" spans="2:23" ht="20.25" customHeight="1">
      <c r="G59" s="23"/>
      <c r="H59" s="23"/>
      <c r="I59" s="23"/>
      <c r="J59" s="23"/>
      <c r="K59" s="23"/>
      <c r="L59" s="23"/>
    </row>
    <row r="60" spans="2:23" ht="17.45">
      <c r="C60" s="147"/>
      <c r="G60" s="23"/>
      <c r="H60" s="23"/>
      <c r="I60" s="23"/>
      <c r="J60" s="23"/>
      <c r="K60" s="23"/>
      <c r="L60" s="23"/>
    </row>
    <row r="61" spans="2:23" ht="22.9">
      <c r="C61" s="325"/>
      <c r="G61" s="23"/>
      <c r="H61" s="23"/>
      <c r="I61" s="23"/>
      <c r="J61" s="23"/>
      <c r="K61" s="23"/>
      <c r="L61" s="23"/>
    </row>
    <row r="62" spans="2:23" ht="17.45">
      <c r="C62" s="444"/>
      <c r="D62" s="444"/>
      <c r="F62" s="444"/>
      <c r="G62" s="23"/>
      <c r="H62" s="23"/>
      <c r="I62" s="23"/>
      <c r="J62" s="23"/>
      <c r="K62" s="23"/>
      <c r="L62" s="23"/>
    </row>
    <row r="63" spans="2:23">
      <c r="C63" s="444"/>
      <c r="D63" s="444"/>
      <c r="F63" s="444"/>
    </row>
    <row r="64" spans="2:23">
      <c r="C64" s="444"/>
      <c r="D64" s="444"/>
      <c r="F64" s="444"/>
    </row>
    <row r="65" spans="3:6">
      <c r="C65" s="444"/>
      <c r="D65" s="444"/>
      <c r="F65" s="444"/>
    </row>
  </sheetData>
  <mergeCells count="8">
    <mergeCell ref="D52:O52"/>
    <mergeCell ref="D53:O53"/>
    <mergeCell ref="Y3:AC3"/>
    <mergeCell ref="B47:O47"/>
    <mergeCell ref="D48:O48"/>
    <mergeCell ref="D49:O49"/>
    <mergeCell ref="D50:O50"/>
    <mergeCell ref="D51:O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AC999"/>
  <sheetViews>
    <sheetView topLeftCell="A62" zoomScale="90" zoomScaleNormal="90" workbookViewId="0">
      <selection activeCell="E80" sqref="E80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9.21875" style="580"/>
    <col min="7" max="7" width="11.21875" style="580" bestFit="1" customWidth="1"/>
    <col min="8" max="8" width="6.77734375" style="580" customWidth="1"/>
    <col min="9" max="9" width="7.6640625" style="580" customWidth="1"/>
    <col min="10" max="10" width="8" style="580" customWidth="1"/>
    <col min="11" max="11" width="27.6640625" style="580" customWidth="1"/>
    <col min="12" max="12" width="11.21875" style="580" bestFit="1" customWidth="1"/>
    <col min="13" max="16384" width="9.21875" style="580"/>
  </cols>
  <sheetData>
    <row r="1" spans="2:29" ht="22.9" thickBot="1">
      <c r="B1"/>
      <c r="C1" s="1226" t="s">
        <v>413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 thickBo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18" customHeight="1" thickBot="1">
      <c r="B3"/>
      <c r="C3" s="1252" t="s">
        <v>414</v>
      </c>
      <c r="D3" s="1291"/>
      <c r="E3" s="1291"/>
      <c r="F3" s="1291"/>
      <c r="G3" s="1291"/>
      <c r="H3" s="1291"/>
      <c r="I3" s="1291"/>
      <c r="J3" s="1291"/>
      <c r="K3" s="1292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40.15" thickBot="1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 ht="19.899999999999999" thickBot="1">
      <c r="B5" s="808">
        <v>1</v>
      </c>
      <c r="C5" s="809" t="s">
        <v>41</v>
      </c>
      <c r="D5" s="810" t="s">
        <v>42</v>
      </c>
      <c r="E5" s="811">
        <v>28</v>
      </c>
      <c r="F5" s="812">
        <v>1706</v>
      </c>
      <c r="G5" s="812">
        <v>580</v>
      </c>
      <c r="H5" s="812">
        <v>66</v>
      </c>
      <c r="I5" s="812">
        <v>995</v>
      </c>
      <c r="J5" s="812">
        <v>494</v>
      </c>
      <c r="K5" s="813" t="s">
        <v>235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 ht="19.899999999999999" thickBot="1">
      <c r="B6" s="814">
        <v>2</v>
      </c>
      <c r="C6" s="815" t="s">
        <v>43</v>
      </c>
      <c r="D6" s="219" t="s">
        <v>44</v>
      </c>
      <c r="E6" s="220">
        <v>28</v>
      </c>
      <c r="F6" s="221">
        <v>1132</v>
      </c>
      <c r="G6" s="278">
        <v>566</v>
      </c>
      <c r="H6" s="221">
        <v>50</v>
      </c>
      <c r="I6" s="221">
        <v>607</v>
      </c>
      <c r="J6" s="221">
        <v>147</v>
      </c>
      <c r="K6" s="816" t="s">
        <v>235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 ht="19.899999999999999" thickBot="1">
      <c r="B7" s="814">
        <v>3</v>
      </c>
      <c r="C7" s="815" t="s">
        <v>45</v>
      </c>
      <c r="D7" s="219" t="s">
        <v>44</v>
      </c>
      <c r="E7" s="220">
        <v>32</v>
      </c>
      <c r="F7" s="221">
        <v>2221</v>
      </c>
      <c r="G7" s="278">
        <v>1044</v>
      </c>
      <c r="H7" s="221">
        <v>53</v>
      </c>
      <c r="I7" s="221">
        <v>669</v>
      </c>
      <c r="J7" s="221">
        <v>249</v>
      </c>
      <c r="K7" s="816" t="s">
        <v>235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 ht="19.899999999999999" thickBot="1">
      <c r="B8" s="817">
        <v>4</v>
      </c>
      <c r="C8" s="818" t="s">
        <v>46</v>
      </c>
      <c r="D8" s="192" t="s">
        <v>47</v>
      </c>
      <c r="E8" s="193">
        <v>40</v>
      </c>
      <c r="F8" s="194">
        <v>1753</v>
      </c>
      <c r="G8" s="188">
        <v>1157</v>
      </c>
      <c r="H8" s="194">
        <v>34</v>
      </c>
      <c r="I8" s="194">
        <v>323</v>
      </c>
      <c r="J8" s="194">
        <v>129</v>
      </c>
      <c r="K8" s="81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 ht="21" customHeight="1" thickBot="1">
      <c r="B9" s="817">
        <v>5</v>
      </c>
      <c r="C9" s="818" t="s">
        <v>48</v>
      </c>
      <c r="D9" s="192" t="s">
        <v>47</v>
      </c>
      <c r="E9" s="193" t="s">
        <v>49</v>
      </c>
      <c r="F9" s="194">
        <v>1538</v>
      </c>
      <c r="G9" s="188">
        <v>1000</v>
      </c>
      <c r="H9" s="194">
        <v>35</v>
      </c>
      <c r="I9" s="194">
        <v>310</v>
      </c>
      <c r="J9" s="194">
        <v>163</v>
      </c>
      <c r="K9" s="81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 ht="19.899999999999999" thickBot="1">
      <c r="B10" s="814">
        <v>6</v>
      </c>
      <c r="C10" s="815" t="s">
        <v>373</v>
      </c>
      <c r="D10" s="219" t="s">
        <v>47</v>
      </c>
      <c r="E10" s="220">
        <v>24</v>
      </c>
      <c r="F10" s="221"/>
      <c r="G10" s="278"/>
      <c r="H10" s="221"/>
      <c r="I10" s="221"/>
      <c r="J10" s="221"/>
      <c r="K10" s="816" t="s">
        <v>402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 ht="19.899999999999999" thickBot="1">
      <c r="B11" s="814">
        <v>7</v>
      </c>
      <c r="C11" s="815" t="s">
        <v>50</v>
      </c>
      <c r="D11" s="219" t="s">
        <v>47</v>
      </c>
      <c r="E11" s="220" t="s">
        <v>51</v>
      </c>
      <c r="F11" s="221">
        <v>1480</v>
      </c>
      <c r="G11" s="278">
        <v>444</v>
      </c>
      <c r="H11" s="221">
        <v>70</v>
      </c>
      <c r="I11" s="221">
        <v>762</v>
      </c>
      <c r="J11" s="221">
        <v>173</v>
      </c>
      <c r="K11" s="816" t="s">
        <v>235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 ht="19.899999999999999" thickBot="1">
      <c r="B12" s="814">
        <v>8</v>
      </c>
      <c r="C12" s="815" t="s">
        <v>52</v>
      </c>
      <c r="D12" s="219" t="s">
        <v>47</v>
      </c>
      <c r="E12" s="220">
        <v>40</v>
      </c>
      <c r="F12" s="221">
        <v>1652</v>
      </c>
      <c r="G12" s="278">
        <v>760</v>
      </c>
      <c r="H12" s="221">
        <v>54</v>
      </c>
      <c r="I12" s="221">
        <v>447</v>
      </c>
      <c r="J12" s="221">
        <v>159</v>
      </c>
      <c r="K12" s="816" t="s">
        <v>235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 ht="19.899999999999999" thickBot="1">
      <c r="B13" s="814">
        <v>9</v>
      </c>
      <c r="C13" s="815" t="s">
        <v>53</v>
      </c>
      <c r="D13" s="219" t="s">
        <v>47</v>
      </c>
      <c r="E13" s="220">
        <v>28</v>
      </c>
      <c r="F13" s="221">
        <v>1410</v>
      </c>
      <c r="G13" s="278">
        <v>663</v>
      </c>
      <c r="H13" s="221">
        <v>53.33</v>
      </c>
      <c r="I13" s="221">
        <v>430</v>
      </c>
      <c r="J13" s="221">
        <v>342</v>
      </c>
      <c r="K13" s="698" t="s">
        <v>235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 ht="19.899999999999999" thickBot="1">
      <c r="B14" s="814">
        <v>10</v>
      </c>
      <c r="C14" s="815" t="s">
        <v>54</v>
      </c>
      <c r="D14" s="219" t="s">
        <v>47</v>
      </c>
      <c r="E14" s="220" t="s">
        <v>55</v>
      </c>
      <c r="F14" s="221">
        <v>1633</v>
      </c>
      <c r="G14" s="278">
        <v>784</v>
      </c>
      <c r="H14" s="221">
        <v>52</v>
      </c>
      <c r="I14" s="221">
        <v>492</v>
      </c>
      <c r="J14" s="221">
        <v>377</v>
      </c>
      <c r="K14" s="698" t="s">
        <v>415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19.899999999999999" thickBot="1">
      <c r="B15" s="820">
        <v>11</v>
      </c>
      <c r="C15" s="818" t="s">
        <v>56</v>
      </c>
      <c r="D15" s="192" t="s">
        <v>47</v>
      </c>
      <c r="E15" s="193">
        <v>44</v>
      </c>
      <c r="F15" s="194">
        <v>3857</v>
      </c>
      <c r="G15" s="188">
        <v>1620</v>
      </c>
      <c r="H15" s="194">
        <v>58</v>
      </c>
      <c r="I15" s="194">
        <v>329</v>
      </c>
      <c r="J15" s="194">
        <v>352</v>
      </c>
      <c r="K15" s="821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 ht="19.899999999999999" thickBot="1">
      <c r="B16" s="822">
        <v>12</v>
      </c>
      <c r="C16" s="823" t="s">
        <v>57</v>
      </c>
      <c r="D16" s="824" t="s">
        <v>47</v>
      </c>
      <c r="E16" s="825">
        <v>28</v>
      </c>
      <c r="F16" s="826">
        <v>1706</v>
      </c>
      <c r="G16" s="827">
        <v>273</v>
      </c>
      <c r="H16" s="826">
        <v>84</v>
      </c>
      <c r="I16" s="826">
        <v>377</v>
      </c>
      <c r="J16" s="826">
        <v>305</v>
      </c>
      <c r="K16" s="828" t="s">
        <v>235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 ht="19.899999999999999" thickBot="1">
      <c r="B17"/>
      <c r="C17" s="204"/>
      <c r="D17" s="205"/>
      <c r="E17" s="205"/>
      <c r="F17" s="224">
        <f>SUM(F5:F16)</f>
        <v>20088</v>
      </c>
      <c r="G17" s="224">
        <f>SUM(G5:G16)</f>
        <v>8891</v>
      </c>
      <c r="H17" s="207"/>
      <c r="I17" s="408"/>
      <c r="J17" s="207"/>
      <c r="K17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 ht="19.899999999999999" thickBot="1">
      <c r="B18"/>
      <c r="C18"/>
      <c r="D18" s="1253"/>
      <c r="E18" s="1253"/>
      <c r="F18" s="1"/>
      <c r="G18" s="208">
        <f>ROUNDUP(G17,-1)</f>
        <v>8900</v>
      </c>
      <c r="H18" s="373"/>
      <c r="I18" s="418"/>
      <c r="J18" s="699"/>
      <c r="K18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 ht="19.5" customHeight="1" thickBot="1">
      <c r="B19"/>
      <c r="C19"/>
      <c r="D19" s="1"/>
      <c r="E19" s="1"/>
      <c r="F19" s="1"/>
      <c r="G19" s="1"/>
      <c r="H19" s="1"/>
      <c r="I19"/>
      <c r="J19" s="1"/>
      <c r="K19"/>
      <c r="L19" s="579">
        <f>27450+5500</f>
        <v>32950</v>
      </c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19.899999999999999" thickBot="1">
      <c r="B20"/>
      <c r="C20"/>
      <c r="D20" s="1"/>
      <c r="E20" s="1"/>
      <c r="F20" s="1"/>
      <c r="G20" s="1"/>
      <c r="H20" s="1"/>
      <c r="I20" s="1"/>
      <c r="J20" s="1"/>
      <c r="K20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26.25" customHeight="1" thickBot="1">
      <c r="B21" s="303"/>
      <c r="C21" s="1252" t="s">
        <v>416</v>
      </c>
      <c r="D21" s="1291"/>
      <c r="E21" s="1291"/>
      <c r="F21" s="1291"/>
      <c r="G21" s="1291"/>
      <c r="H21" s="1291"/>
      <c r="I21" s="1291"/>
      <c r="J21" s="1291"/>
      <c r="K21" s="1292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ht="40.15" thickBot="1">
      <c r="B22" s="829" t="s">
        <v>156</v>
      </c>
      <c r="C22" s="830" t="s">
        <v>31</v>
      </c>
      <c r="D22" s="803" t="s">
        <v>32</v>
      </c>
      <c r="E22" s="803" t="s">
        <v>33</v>
      </c>
      <c r="F22" s="803" t="s">
        <v>34</v>
      </c>
      <c r="G22" s="803" t="s">
        <v>35</v>
      </c>
      <c r="H22" s="803" t="s">
        <v>37</v>
      </c>
      <c r="I22" s="803" t="s">
        <v>38</v>
      </c>
      <c r="J22" s="803" t="s">
        <v>39</v>
      </c>
      <c r="K22" s="803" t="s">
        <v>40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</row>
    <row r="23" spans="2:29" ht="19.899999999999999" thickBot="1">
      <c r="B23" s="982">
        <v>1</v>
      </c>
      <c r="C23" s="983" t="s">
        <v>417</v>
      </c>
      <c r="D23" s="983" t="s">
        <v>418</v>
      </c>
      <c r="E23" s="984">
        <v>24</v>
      </c>
      <c r="F23" s="985">
        <v>547</v>
      </c>
      <c r="G23" s="986">
        <v>241</v>
      </c>
      <c r="H23" s="986">
        <v>56</v>
      </c>
      <c r="I23" s="986">
        <v>1724</v>
      </c>
      <c r="J23" s="986">
        <v>600</v>
      </c>
      <c r="K23" s="987"/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19.899999999999999" thickBot="1">
      <c r="B24" s="831">
        <v>2</v>
      </c>
      <c r="C24" s="832" t="s">
        <v>376</v>
      </c>
      <c r="D24" s="832" t="s">
        <v>89</v>
      </c>
      <c r="E24" s="833">
        <v>24</v>
      </c>
      <c r="F24" s="834">
        <v>1203</v>
      </c>
      <c r="G24" s="835">
        <v>412</v>
      </c>
      <c r="H24" s="835">
        <v>56</v>
      </c>
      <c r="I24" s="835">
        <v>340</v>
      </c>
      <c r="J24" s="835">
        <v>600</v>
      </c>
      <c r="K24" s="836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 ht="19.899999999999999" thickBot="1">
      <c r="B25" s="831">
        <v>3</v>
      </c>
      <c r="C25" s="837" t="s">
        <v>61</v>
      </c>
      <c r="D25" s="837" t="s">
        <v>62</v>
      </c>
      <c r="E25" s="838">
        <v>28</v>
      </c>
      <c r="F25" s="834">
        <v>888</v>
      </c>
      <c r="G25" s="835">
        <v>355</v>
      </c>
      <c r="H25" s="835">
        <v>56</v>
      </c>
      <c r="I25" s="835">
        <v>782</v>
      </c>
      <c r="J25" s="835">
        <v>370</v>
      </c>
      <c r="K25" s="836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 ht="19.899999999999999" thickBot="1">
      <c r="B26" s="831">
        <v>4</v>
      </c>
      <c r="C26" s="837" t="s">
        <v>64</v>
      </c>
      <c r="D26" s="837" t="s">
        <v>65</v>
      </c>
      <c r="E26" s="838">
        <v>32</v>
      </c>
      <c r="F26" s="834">
        <v>2161</v>
      </c>
      <c r="G26" s="835">
        <v>1404</v>
      </c>
      <c r="H26" s="835">
        <v>33</v>
      </c>
      <c r="I26" s="835">
        <v>430</v>
      </c>
      <c r="J26" s="835">
        <v>400</v>
      </c>
      <c r="K26" s="836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 ht="19.899999999999999" thickBot="1">
      <c r="B27" s="831">
        <v>5</v>
      </c>
      <c r="C27" s="837" t="s">
        <v>69</v>
      </c>
      <c r="D27" s="837" t="s">
        <v>70</v>
      </c>
      <c r="E27" s="838">
        <v>24</v>
      </c>
      <c r="F27" s="834">
        <v>963</v>
      </c>
      <c r="G27" s="835">
        <v>347</v>
      </c>
      <c r="H27" s="835">
        <v>65</v>
      </c>
      <c r="I27" s="835">
        <v>2411</v>
      </c>
      <c r="J27" s="835">
        <v>750</v>
      </c>
      <c r="K27" s="836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19.899999999999999" thickBot="1">
      <c r="B28" s="831">
        <v>6</v>
      </c>
      <c r="C28" s="837" t="s">
        <v>71</v>
      </c>
      <c r="D28" s="837" t="s">
        <v>72</v>
      </c>
      <c r="E28" s="838">
        <v>28</v>
      </c>
      <c r="F28" s="834">
        <v>859</v>
      </c>
      <c r="G28" s="835">
        <v>326</v>
      </c>
      <c r="H28" s="835">
        <v>67</v>
      </c>
      <c r="I28" s="835">
        <v>3000</v>
      </c>
      <c r="J28" s="835">
        <v>750</v>
      </c>
      <c r="K28" s="836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19.899999999999999" thickBot="1">
      <c r="B29" s="831">
        <v>7</v>
      </c>
      <c r="C29" s="837" t="s">
        <v>73</v>
      </c>
      <c r="D29" s="837" t="s">
        <v>72</v>
      </c>
      <c r="E29" s="838">
        <v>44</v>
      </c>
      <c r="F29" s="834">
        <v>1099</v>
      </c>
      <c r="G29" s="835">
        <v>659</v>
      </c>
      <c r="H29" s="835">
        <v>23</v>
      </c>
      <c r="I29" s="835">
        <v>3206</v>
      </c>
      <c r="J29" s="835">
        <v>480</v>
      </c>
      <c r="K29" s="836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ht="19.899999999999999" thickBot="1">
      <c r="B30" s="831">
        <v>8</v>
      </c>
      <c r="C30" s="837" t="s">
        <v>74</v>
      </c>
      <c r="D30" s="837" t="s">
        <v>75</v>
      </c>
      <c r="E30" s="838">
        <v>36</v>
      </c>
      <c r="F30" s="834">
        <v>3196</v>
      </c>
      <c r="G30" s="835">
        <v>1406</v>
      </c>
      <c r="H30" s="835">
        <v>55</v>
      </c>
      <c r="I30" s="835">
        <v>1306</v>
      </c>
      <c r="J30" s="835">
        <v>850</v>
      </c>
      <c r="K30" s="836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</row>
    <row r="31" spans="2:29" ht="19.899999999999999" thickBot="1">
      <c r="B31" s="831">
        <v>9</v>
      </c>
      <c r="C31" s="837" t="s">
        <v>76</v>
      </c>
      <c r="D31" s="837" t="s">
        <v>77</v>
      </c>
      <c r="E31" s="838">
        <v>20</v>
      </c>
      <c r="F31" s="834">
        <v>717</v>
      </c>
      <c r="G31" s="835">
        <v>323</v>
      </c>
      <c r="H31" s="835">
        <v>56</v>
      </c>
      <c r="I31" s="835">
        <v>264</v>
      </c>
      <c r="J31" s="835">
        <v>180</v>
      </c>
      <c r="K31" s="836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</row>
    <row r="32" spans="2:29" ht="19.899999999999999" thickBot="1">
      <c r="B32" s="831">
        <v>10</v>
      </c>
      <c r="C32" s="837" t="s">
        <v>78</v>
      </c>
      <c r="D32" s="837" t="s">
        <v>79</v>
      </c>
      <c r="E32" s="838">
        <v>52</v>
      </c>
      <c r="F32" s="834">
        <v>1046</v>
      </c>
      <c r="G32" s="835">
        <v>1025</v>
      </c>
      <c r="H32" s="835">
        <v>1</v>
      </c>
      <c r="I32" s="835">
        <v>553</v>
      </c>
      <c r="J32" s="835">
        <v>200</v>
      </c>
      <c r="K32" s="836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</row>
    <row r="33" spans="2:29" s="647" customFormat="1" ht="19.899999999999999" thickBot="1">
      <c r="B33" s="831">
        <v>11</v>
      </c>
      <c r="C33" s="837" t="s">
        <v>80</v>
      </c>
      <c r="D33" s="837" t="s">
        <v>81</v>
      </c>
      <c r="E33" s="838">
        <v>32</v>
      </c>
      <c r="F33" s="834">
        <v>1639</v>
      </c>
      <c r="G33" s="835">
        <v>492</v>
      </c>
      <c r="H33" s="835">
        <v>70</v>
      </c>
      <c r="I33" s="835">
        <v>1849</v>
      </c>
      <c r="J33" s="835">
        <v>435</v>
      </c>
      <c r="K33" s="836"/>
      <c r="L33" s="646"/>
      <c r="M33" s="646"/>
      <c r="N33" s="646"/>
      <c r="O33" s="646"/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</row>
    <row r="34" spans="2:29" ht="19.899999999999999" thickBot="1">
      <c r="B34" s="831">
        <v>12</v>
      </c>
      <c r="C34" s="837" t="s">
        <v>82</v>
      </c>
      <c r="D34" s="837" t="s">
        <v>65</v>
      </c>
      <c r="E34" s="838">
        <v>28</v>
      </c>
      <c r="F34" s="834">
        <v>1023</v>
      </c>
      <c r="G34" s="835">
        <v>1003</v>
      </c>
      <c r="H34" s="835">
        <v>15</v>
      </c>
      <c r="I34" s="835">
        <v>587</v>
      </c>
      <c r="J34" s="835">
        <v>400</v>
      </c>
      <c r="K34" s="836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</row>
    <row r="35" spans="2:29" ht="19.899999999999999" thickBot="1">
      <c r="B35" s="772">
        <v>13</v>
      </c>
      <c r="C35" s="773" t="s">
        <v>379</v>
      </c>
      <c r="D35" s="773" t="s">
        <v>380</v>
      </c>
      <c r="E35" s="774">
        <v>20</v>
      </c>
      <c r="F35" s="775">
        <v>758</v>
      </c>
      <c r="G35" s="776">
        <v>286</v>
      </c>
      <c r="H35" s="776">
        <v>63</v>
      </c>
      <c r="I35" s="776">
        <v>2273</v>
      </c>
      <c r="J35" s="776">
        <v>762</v>
      </c>
      <c r="K35" s="777" t="s">
        <v>402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</row>
    <row r="36" spans="2:29" ht="19.899999999999999" thickBot="1">
      <c r="B36" s="772">
        <v>14</v>
      </c>
      <c r="C36" s="773" t="s">
        <v>351</v>
      </c>
      <c r="D36" s="773" t="s">
        <v>352</v>
      </c>
      <c r="E36" s="774">
        <v>24</v>
      </c>
      <c r="F36" s="775">
        <v>750</v>
      </c>
      <c r="G36" s="776">
        <v>300</v>
      </c>
      <c r="H36" s="776">
        <v>60</v>
      </c>
      <c r="I36" s="776" t="s">
        <v>164</v>
      </c>
      <c r="J36" s="776">
        <v>1000</v>
      </c>
      <c r="K36" s="777" t="s">
        <v>402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</row>
    <row r="37" spans="2:29" s="647" customFormat="1" ht="19.899999999999999" thickBot="1">
      <c r="B37" s="831">
        <v>15</v>
      </c>
      <c r="C37" s="837" t="s">
        <v>83</v>
      </c>
      <c r="D37" s="837" t="s">
        <v>84</v>
      </c>
      <c r="E37" s="838">
        <v>44</v>
      </c>
      <c r="F37" s="834">
        <v>3273</v>
      </c>
      <c r="G37" s="835">
        <v>1047</v>
      </c>
      <c r="H37" s="835">
        <v>64</v>
      </c>
      <c r="I37" s="835">
        <v>4131</v>
      </c>
      <c r="J37" s="835">
        <v>1150</v>
      </c>
      <c r="K37" s="836"/>
      <c r="L37" s="780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</row>
    <row r="38" spans="2:29" ht="19.899999999999999" thickBot="1">
      <c r="B38" s="831">
        <v>16</v>
      </c>
      <c r="C38" s="773" t="s">
        <v>85</v>
      </c>
      <c r="D38" s="773" t="s">
        <v>72</v>
      </c>
      <c r="E38" s="774">
        <v>32</v>
      </c>
      <c r="F38" s="775">
        <v>1427</v>
      </c>
      <c r="G38" s="776">
        <v>899</v>
      </c>
      <c r="H38" s="776">
        <v>37</v>
      </c>
      <c r="I38" s="776">
        <v>1058</v>
      </c>
      <c r="J38" s="776">
        <v>522</v>
      </c>
      <c r="K38" s="782" t="s">
        <v>235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</row>
    <row r="39" spans="2:29" s="647" customFormat="1" ht="19.899999999999999" thickBot="1">
      <c r="B39" s="831">
        <v>17</v>
      </c>
      <c r="C39" s="837" t="s">
        <v>86</v>
      </c>
      <c r="D39" s="837" t="s">
        <v>87</v>
      </c>
      <c r="E39" s="838">
        <v>28</v>
      </c>
      <c r="F39" s="834">
        <v>901</v>
      </c>
      <c r="G39" s="835">
        <v>405</v>
      </c>
      <c r="H39" s="835">
        <v>55</v>
      </c>
      <c r="I39" s="835">
        <v>5513</v>
      </c>
      <c r="J39" s="835">
        <v>1450</v>
      </c>
      <c r="K39" s="836"/>
      <c r="L39" s="646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</row>
    <row r="40" spans="2:29" ht="19.899999999999999" thickBot="1">
      <c r="B40" s="831">
        <v>18</v>
      </c>
      <c r="C40" s="837" t="s">
        <v>88</v>
      </c>
      <c r="D40" s="837" t="s">
        <v>89</v>
      </c>
      <c r="E40" s="838">
        <v>28</v>
      </c>
      <c r="F40" s="834">
        <v>1172</v>
      </c>
      <c r="G40" s="835">
        <v>527</v>
      </c>
      <c r="H40" s="835">
        <v>55</v>
      </c>
      <c r="I40" s="835">
        <v>2051</v>
      </c>
      <c r="J40" s="835">
        <v>522</v>
      </c>
      <c r="K40" s="836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</row>
    <row r="41" spans="2:29" s="647" customFormat="1" ht="19.899999999999999" thickBot="1">
      <c r="B41" s="831">
        <v>19</v>
      </c>
      <c r="C41" s="837" t="s">
        <v>90</v>
      </c>
      <c r="D41" s="837" t="s">
        <v>84</v>
      </c>
      <c r="E41" s="838">
        <v>48</v>
      </c>
      <c r="F41" s="834">
        <v>547</v>
      </c>
      <c r="G41" s="835">
        <v>509</v>
      </c>
      <c r="H41" s="835">
        <v>7</v>
      </c>
      <c r="I41" s="835">
        <v>6498</v>
      </c>
      <c r="J41" s="835">
        <v>550</v>
      </c>
      <c r="K41" s="836"/>
      <c r="L41" s="646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ht="19.899999999999999" thickBot="1">
      <c r="B42" s="831">
        <v>20</v>
      </c>
      <c r="C42" s="837" t="s">
        <v>91</v>
      </c>
      <c r="D42" s="837" t="s">
        <v>89</v>
      </c>
      <c r="E42" s="838">
        <v>36</v>
      </c>
      <c r="F42" s="834">
        <v>497</v>
      </c>
      <c r="G42" s="835">
        <v>496</v>
      </c>
      <c r="H42" s="835">
        <v>0</v>
      </c>
      <c r="I42" s="835">
        <v>1297</v>
      </c>
      <c r="J42" s="835">
        <v>200</v>
      </c>
      <c r="K42" s="836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</row>
    <row r="43" spans="2:29" ht="19.899999999999999" thickBot="1">
      <c r="B43" s="831">
        <v>21</v>
      </c>
      <c r="C43" s="837" t="s">
        <v>92</v>
      </c>
      <c r="D43" s="837" t="s">
        <v>93</v>
      </c>
      <c r="E43" s="838">
        <v>24</v>
      </c>
      <c r="F43" s="834">
        <v>651</v>
      </c>
      <c r="G43" s="835">
        <v>378</v>
      </c>
      <c r="H43" s="835">
        <v>38</v>
      </c>
      <c r="I43" s="835">
        <v>373</v>
      </c>
      <c r="J43" s="835">
        <v>180</v>
      </c>
      <c r="K43" s="836"/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</row>
    <row r="44" spans="2:29" ht="19.899999999999999" thickBot="1">
      <c r="B44" s="831">
        <v>22</v>
      </c>
      <c r="C44" s="837" t="s">
        <v>94</v>
      </c>
      <c r="D44" s="837" t="s">
        <v>67</v>
      </c>
      <c r="E44" s="838">
        <v>24</v>
      </c>
      <c r="F44" s="834">
        <v>1600</v>
      </c>
      <c r="G44" s="835">
        <v>912</v>
      </c>
      <c r="H44" s="835">
        <v>41</v>
      </c>
      <c r="I44" s="835">
        <v>258</v>
      </c>
      <c r="J44" s="835">
        <v>370</v>
      </c>
      <c r="K44" s="836"/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</row>
    <row r="45" spans="2:29" ht="19.899999999999999" thickBot="1">
      <c r="B45" s="831">
        <v>23</v>
      </c>
      <c r="C45" s="837" t="s">
        <v>95</v>
      </c>
      <c r="D45" s="837" t="s">
        <v>65</v>
      </c>
      <c r="E45" s="840">
        <v>20</v>
      </c>
      <c r="F45" s="834">
        <v>576</v>
      </c>
      <c r="G45" s="835">
        <v>426</v>
      </c>
      <c r="H45" s="835">
        <v>51</v>
      </c>
      <c r="I45" s="835">
        <v>415</v>
      </c>
      <c r="J45" s="835">
        <v>300</v>
      </c>
      <c r="K45" s="836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</row>
    <row r="46" spans="2:29" ht="19.899999999999999" thickBot="1">
      <c r="B46" s="756">
        <v>24</v>
      </c>
      <c r="C46" s="757" t="s">
        <v>96</v>
      </c>
      <c r="D46" s="757" t="s">
        <v>67</v>
      </c>
      <c r="E46" s="758">
        <v>36</v>
      </c>
      <c r="F46" s="759">
        <v>2120</v>
      </c>
      <c r="G46" s="760">
        <v>954</v>
      </c>
      <c r="H46" s="760">
        <v>53</v>
      </c>
      <c r="I46" s="760">
        <v>450</v>
      </c>
      <c r="J46" s="760">
        <v>400</v>
      </c>
      <c r="K46" s="761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.75" customHeight="1" thickBot="1">
      <c r="B47" s="839"/>
      <c r="C47" s="700"/>
      <c r="D47" s="701"/>
      <c r="E47" s="701"/>
      <c r="F47" s="224">
        <f>SUM(F24:F46)</f>
        <v>29066</v>
      </c>
      <c r="G47" s="224">
        <f>SUM(G23:G46)</f>
        <v>15132</v>
      </c>
      <c r="H47" s="840"/>
      <c r="I47" s="841"/>
      <c r="J47" s="840"/>
      <c r="K47" s="83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" customHeight="1" thickBot="1">
      <c r="B48" s="839"/>
      <c r="C48" s="1343"/>
      <c r="D48" s="1343"/>
      <c r="E48" s="1343"/>
      <c r="F48" s="842"/>
      <c r="G48" s="208">
        <f>ROUNDUP(G47,-1)</f>
        <v>15140</v>
      </c>
      <c r="H48" s="842"/>
      <c r="I48" s="843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8.75" customHeight="1" thickBot="1">
      <c r="B49" s="839"/>
      <c r="C49" s="839"/>
      <c r="D49" s="842"/>
      <c r="E49" s="842"/>
      <c r="F49" s="842"/>
      <c r="G49"/>
      <c r="H49" s="842"/>
      <c r="I49" s="842"/>
      <c r="J49" s="839"/>
      <c r="K49" s="83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5" customHeight="1" thickBot="1">
      <c r="B50" s="844"/>
      <c r="C50" s="844"/>
      <c r="D50" s="844"/>
      <c r="E50" s="844"/>
      <c r="F50" s="844"/>
      <c r="G50" s="844"/>
      <c r="H50" s="844"/>
      <c r="I50" s="844"/>
      <c r="J50" s="844"/>
      <c r="K50" s="845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19.899999999999999" thickBot="1">
      <c r="B51" s="844"/>
      <c r="C51" s="844"/>
      <c r="D51" s="844"/>
      <c r="E51" s="844"/>
      <c r="F51" s="844"/>
      <c r="G51" s="844"/>
      <c r="H51" s="844"/>
      <c r="I51" s="844"/>
      <c r="J51" s="844"/>
      <c r="K51" s="845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19.899999999999999" thickBot="1">
      <c r="B52" s="844"/>
      <c r="C52" s="1252" t="s">
        <v>419</v>
      </c>
      <c r="D52" s="1291"/>
      <c r="E52" s="1291"/>
      <c r="F52" s="1291"/>
      <c r="G52" s="1291"/>
      <c r="H52" s="1291"/>
      <c r="I52" s="1291"/>
      <c r="J52" s="1291"/>
      <c r="K52" s="1292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40.15" thickBot="1">
      <c r="B53" s="179" t="s">
        <v>156</v>
      </c>
      <c r="C53" s="179" t="s">
        <v>31</v>
      </c>
      <c r="D53" s="180" t="s">
        <v>32</v>
      </c>
      <c r="E53" s="180" t="s">
        <v>33</v>
      </c>
      <c r="F53" s="180" t="s">
        <v>34</v>
      </c>
      <c r="G53" s="180" t="s">
        <v>35</v>
      </c>
      <c r="H53" s="180" t="s">
        <v>37</v>
      </c>
      <c r="I53" s="182" t="s">
        <v>38</v>
      </c>
      <c r="J53" s="182" t="s">
        <v>39</v>
      </c>
      <c r="K53" s="183" t="s">
        <v>40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</row>
    <row r="54" spans="2:29" ht="19.899999999999999" thickBot="1">
      <c r="B54" s="210">
        <v>1</v>
      </c>
      <c r="C54" s="216" t="s">
        <v>98</v>
      </c>
      <c r="D54" s="192" t="s">
        <v>99</v>
      </c>
      <c r="E54" s="193">
        <v>36</v>
      </c>
      <c r="F54" s="194">
        <f>((100/(100-H54))*G54)</f>
        <v>2403.2258064516127</v>
      </c>
      <c r="G54" s="194">
        <v>1490</v>
      </c>
      <c r="H54" s="194">
        <v>38</v>
      </c>
      <c r="I54" s="193">
        <v>439</v>
      </c>
      <c r="J54" s="193">
        <v>330</v>
      </c>
      <c r="K54" s="846"/>
      <c r="L54" s="621"/>
      <c r="M54" s="621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8.75" customHeight="1" thickBot="1">
      <c r="B55" s="210">
        <v>2</v>
      </c>
      <c r="C55" s="216" t="s">
        <v>100</v>
      </c>
      <c r="D55" s="192" t="s">
        <v>101</v>
      </c>
      <c r="E55" s="193">
        <v>36</v>
      </c>
      <c r="F55" s="194">
        <v>968</v>
      </c>
      <c r="G55" s="194">
        <v>968</v>
      </c>
      <c r="H55" s="194">
        <v>0</v>
      </c>
      <c r="I55" s="193">
        <v>345</v>
      </c>
      <c r="J55" s="193">
        <v>120</v>
      </c>
      <c r="K55" s="846"/>
      <c r="L55" s="602"/>
      <c r="M55" s="602"/>
      <c r="N55" s="602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 ht="15" customHeight="1" thickBot="1">
      <c r="B56" s="210">
        <v>3</v>
      </c>
      <c r="C56" s="216" t="s">
        <v>104</v>
      </c>
      <c r="D56" s="192" t="s">
        <v>99</v>
      </c>
      <c r="E56" s="193">
        <v>24</v>
      </c>
      <c r="F56" s="194">
        <f>((100/(100-H56))*G56)</f>
        <v>1108.1081081081081</v>
      </c>
      <c r="G56" s="194">
        <v>410</v>
      </c>
      <c r="H56" s="194">
        <v>63</v>
      </c>
      <c r="I56" s="193">
        <v>373</v>
      </c>
      <c r="J56" s="193">
        <v>220</v>
      </c>
      <c r="K56" s="846"/>
      <c r="L56" s="621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 ht="19.899999999999999" thickBot="1">
      <c r="B57" s="210">
        <v>4</v>
      </c>
      <c r="C57" s="216" t="s">
        <v>106</v>
      </c>
      <c r="D57" s="192" t="s">
        <v>103</v>
      </c>
      <c r="E57" s="193">
        <v>28</v>
      </c>
      <c r="F57" s="194">
        <v>778</v>
      </c>
      <c r="G57" s="194">
        <v>630</v>
      </c>
      <c r="H57" s="194">
        <v>19</v>
      </c>
      <c r="I57" s="193">
        <v>959</v>
      </c>
      <c r="J57" s="193">
        <v>370</v>
      </c>
      <c r="K57" s="846"/>
      <c r="L57" s="621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5" customHeight="1" thickBot="1">
      <c r="B58" s="210">
        <v>6</v>
      </c>
      <c r="C58" s="216" t="s">
        <v>109</v>
      </c>
      <c r="D58" s="192" t="s">
        <v>110</v>
      </c>
      <c r="E58" s="193">
        <v>28</v>
      </c>
      <c r="F58" s="194">
        <v>1096</v>
      </c>
      <c r="G58" s="194">
        <v>526</v>
      </c>
      <c r="H58" s="194">
        <v>52</v>
      </c>
      <c r="I58" s="193">
        <v>308</v>
      </c>
      <c r="J58" s="193">
        <v>240</v>
      </c>
      <c r="K58" s="846"/>
      <c r="L58" s="621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 ht="19.899999999999999" thickBot="1">
      <c r="B59" s="210">
        <v>7</v>
      </c>
      <c r="C59" s="216" t="s">
        <v>111</v>
      </c>
      <c r="D59" s="192" t="s">
        <v>99</v>
      </c>
      <c r="E59" s="193">
        <v>36</v>
      </c>
      <c r="F59" s="194">
        <v>2705</v>
      </c>
      <c r="G59" s="194">
        <v>1271</v>
      </c>
      <c r="H59" s="194">
        <v>53</v>
      </c>
      <c r="I59" s="193">
        <v>439</v>
      </c>
      <c r="J59" s="193">
        <v>370</v>
      </c>
      <c r="K59" s="846"/>
      <c r="L59" s="621"/>
      <c r="M59" s="621"/>
      <c r="N59" s="621"/>
      <c r="O59" s="621"/>
      <c r="P59" s="621"/>
      <c r="Q59" s="621"/>
      <c r="R59" s="621"/>
      <c r="S59" s="621"/>
      <c r="T59" s="62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 ht="19.899999999999999" thickBot="1">
      <c r="B60" s="210">
        <v>8</v>
      </c>
      <c r="C60" s="216" t="s">
        <v>112</v>
      </c>
      <c r="D60" s="192" t="s">
        <v>103</v>
      </c>
      <c r="E60" s="193">
        <v>56</v>
      </c>
      <c r="F60" s="194">
        <v>5814</v>
      </c>
      <c r="G60" s="194">
        <v>5814</v>
      </c>
      <c r="H60" s="194">
        <v>0</v>
      </c>
      <c r="I60" s="193">
        <v>439</v>
      </c>
      <c r="J60" s="193">
        <v>602</v>
      </c>
      <c r="K60" s="846"/>
      <c r="L60" s="621"/>
      <c r="M60" s="621"/>
      <c r="N60" s="680"/>
      <c r="O60" s="680"/>
      <c r="P60" s="680"/>
      <c r="Q60" s="680"/>
      <c r="R60" s="680"/>
      <c r="S60" s="680"/>
      <c r="T60" s="680"/>
      <c r="U60" s="680"/>
      <c r="V60" s="680"/>
      <c r="W60" s="680"/>
      <c r="X60" s="680"/>
      <c r="Y60" s="680"/>
      <c r="Z60" s="680"/>
      <c r="AA60" s="680"/>
      <c r="AB60" s="621"/>
      <c r="AC60" s="621"/>
    </row>
    <row r="61" spans="2:29" ht="19.899999999999999" thickBot="1">
      <c r="B61" s="210">
        <v>9</v>
      </c>
      <c r="C61" s="216" t="s">
        <v>113</v>
      </c>
      <c r="D61" s="192" t="s">
        <v>103</v>
      </c>
      <c r="E61" s="193">
        <v>36</v>
      </c>
      <c r="F61" s="194">
        <v>2199</v>
      </c>
      <c r="G61" s="194">
        <v>2001</v>
      </c>
      <c r="H61" s="194">
        <v>9</v>
      </c>
      <c r="I61" s="193">
        <v>346</v>
      </c>
      <c r="J61" s="193">
        <v>440</v>
      </c>
      <c r="K61" s="846"/>
      <c r="L61" s="621"/>
      <c r="M61" s="583"/>
      <c r="N61" s="621"/>
      <c r="O61" s="621"/>
      <c r="P61" s="621"/>
      <c r="Q61" s="621"/>
      <c r="R61" s="621"/>
      <c r="S61" s="621"/>
      <c r="T61" s="621"/>
      <c r="U61" s="621"/>
      <c r="V61" s="621"/>
      <c r="W61" s="621"/>
      <c r="X61" s="621"/>
      <c r="Y61" s="621"/>
      <c r="Z61" s="621"/>
      <c r="AA61" s="583"/>
      <c r="AB61" s="621"/>
      <c r="AC61" s="621"/>
    </row>
    <row r="62" spans="2:29" ht="19.899999999999999" thickBot="1">
      <c r="B62" s="210">
        <v>11</v>
      </c>
      <c r="C62" s="216" t="s">
        <v>114</v>
      </c>
      <c r="D62" s="192" t="s">
        <v>99</v>
      </c>
      <c r="E62" s="193">
        <v>40</v>
      </c>
      <c r="F62" s="194">
        <v>1958</v>
      </c>
      <c r="G62" s="194">
        <v>1155</v>
      </c>
      <c r="H62" s="194">
        <v>41</v>
      </c>
      <c r="I62" s="193">
        <v>396</v>
      </c>
      <c r="J62" s="193">
        <v>300</v>
      </c>
      <c r="K62" s="846"/>
      <c r="L62" s="621"/>
      <c r="M62" s="621"/>
      <c r="N62" s="621"/>
      <c r="O62" s="621"/>
      <c r="P62" s="621"/>
      <c r="Q62" s="621"/>
      <c r="R62" s="621"/>
      <c r="S62" s="621"/>
      <c r="T62" s="621"/>
      <c r="U62" s="621"/>
      <c r="V62" s="621"/>
      <c r="W62" s="621"/>
      <c r="X62" s="621"/>
      <c r="Y62" s="621"/>
      <c r="Z62" s="621"/>
      <c r="AA62" s="621"/>
      <c r="AB62" s="621"/>
      <c r="AC62" s="621"/>
    </row>
    <row r="63" spans="2:29" ht="19.899999999999999" thickBot="1">
      <c r="B63" s="210">
        <v>10</v>
      </c>
      <c r="C63" s="216" t="s">
        <v>115</v>
      </c>
      <c r="D63" s="192" t="s">
        <v>105</v>
      </c>
      <c r="E63" s="193">
        <v>20</v>
      </c>
      <c r="F63" s="194">
        <v>738</v>
      </c>
      <c r="G63" s="194">
        <v>649</v>
      </c>
      <c r="H63" s="194">
        <v>12</v>
      </c>
      <c r="I63" s="193">
        <v>293</v>
      </c>
      <c r="J63" s="193">
        <v>510</v>
      </c>
      <c r="K63" s="846"/>
      <c r="L63" s="621"/>
      <c r="M63" s="621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 ht="19.899999999999999" thickBot="1">
      <c r="B64" s="210">
        <v>12</v>
      </c>
      <c r="C64" s="216" t="s">
        <v>116</v>
      </c>
      <c r="D64" s="192" t="s">
        <v>117</v>
      </c>
      <c r="E64" s="193">
        <v>28</v>
      </c>
      <c r="F64" s="194">
        <v>771</v>
      </c>
      <c r="G64" s="194">
        <v>172</v>
      </c>
      <c r="H64" s="194">
        <v>78</v>
      </c>
      <c r="I64" s="193">
        <v>669</v>
      </c>
      <c r="J64" s="193">
        <v>200</v>
      </c>
      <c r="K64" s="846"/>
      <c r="L64" s="621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 ht="19.899999999999999" thickBot="1">
      <c r="B65" s="210">
        <v>14</v>
      </c>
      <c r="C65" s="216" t="s">
        <v>119</v>
      </c>
      <c r="D65" s="192" t="s">
        <v>103</v>
      </c>
      <c r="E65" s="193">
        <v>28</v>
      </c>
      <c r="F65" s="194">
        <v>628</v>
      </c>
      <c r="G65" s="194">
        <v>308</v>
      </c>
      <c r="H65" s="194">
        <v>51</v>
      </c>
      <c r="I65" s="193">
        <v>340</v>
      </c>
      <c r="J65" s="193">
        <v>120</v>
      </c>
      <c r="K65" s="846"/>
      <c r="L65" s="621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 ht="19.899999999999999" thickBot="1">
      <c r="B66" s="210">
        <v>15</v>
      </c>
      <c r="C66" s="216" t="s">
        <v>120</v>
      </c>
      <c r="D66" s="192" t="s">
        <v>101</v>
      </c>
      <c r="E66" s="193">
        <v>20</v>
      </c>
      <c r="F66" s="194">
        <v>240</v>
      </c>
      <c r="G66" s="194">
        <v>113</v>
      </c>
      <c r="H66" s="194">
        <v>53</v>
      </c>
      <c r="I66" s="193">
        <v>393</v>
      </c>
      <c r="J66" s="193">
        <v>160</v>
      </c>
      <c r="K66" s="846"/>
      <c r="L66" s="621"/>
      <c r="M66" s="621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 ht="19.899999999999999" thickBot="1">
      <c r="B67" s="210">
        <v>16</v>
      </c>
      <c r="C67" s="216" t="s">
        <v>121</v>
      </c>
      <c r="D67" s="192" t="s">
        <v>105</v>
      </c>
      <c r="E67" s="193">
        <v>24</v>
      </c>
      <c r="F67" s="194">
        <v>360</v>
      </c>
      <c r="G67" s="194">
        <v>227</v>
      </c>
      <c r="H67" s="194">
        <v>40</v>
      </c>
      <c r="I67" s="193">
        <v>217</v>
      </c>
      <c r="J67" s="193">
        <v>140</v>
      </c>
      <c r="K67" s="846"/>
      <c r="L67" s="621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 ht="19.899999999999999" thickBot="1">
      <c r="B68" s="263">
        <v>17</v>
      </c>
      <c r="C68" s="253" t="s">
        <v>122</v>
      </c>
      <c r="D68" s="254" t="s">
        <v>110</v>
      </c>
      <c r="E68" s="255">
        <v>24</v>
      </c>
      <c r="F68" s="197">
        <v>908</v>
      </c>
      <c r="G68" s="197">
        <v>835</v>
      </c>
      <c r="H68" s="197">
        <v>8</v>
      </c>
      <c r="I68" s="255">
        <v>332</v>
      </c>
      <c r="J68" s="255">
        <v>570</v>
      </c>
      <c r="K68" s="779"/>
      <c r="L68" s="621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 ht="19.899999999999999" thickBot="1">
      <c r="B69" s="210">
        <v>18</v>
      </c>
      <c r="C69" s="216" t="s">
        <v>123</v>
      </c>
      <c r="D69" s="192" t="s">
        <v>124</v>
      </c>
      <c r="E69" s="193">
        <v>24</v>
      </c>
      <c r="F69" s="194">
        <v>903</v>
      </c>
      <c r="G69" s="194">
        <v>289</v>
      </c>
      <c r="H69" s="194">
        <v>68</v>
      </c>
      <c r="I69" s="193">
        <v>1025</v>
      </c>
      <c r="J69" s="193">
        <v>330</v>
      </c>
      <c r="K69" s="846"/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 ht="15" customHeight="1" thickBot="1">
      <c r="B70" s="222">
        <v>19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7" t="s">
        <v>235</v>
      </c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 ht="19.899999999999999" thickBot="1">
      <c r="B71" s="210">
        <v>20</v>
      </c>
      <c r="C71" s="216" t="s">
        <v>128</v>
      </c>
      <c r="D71" s="192" t="s">
        <v>105</v>
      </c>
      <c r="E71" s="193">
        <v>24</v>
      </c>
      <c r="F71" s="194">
        <v>741</v>
      </c>
      <c r="G71" s="194">
        <v>200</v>
      </c>
      <c r="H71" s="194">
        <v>73</v>
      </c>
      <c r="I71" s="193">
        <v>300</v>
      </c>
      <c r="J71" s="193">
        <v>180</v>
      </c>
      <c r="K71" s="846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16.5" customHeight="1" thickBot="1">
      <c r="B72" s="222">
        <v>21</v>
      </c>
      <c r="C72" s="218" t="s">
        <v>129</v>
      </c>
      <c r="D72" s="219" t="s">
        <v>99</v>
      </c>
      <c r="E72" s="220">
        <v>20</v>
      </c>
      <c r="F72" s="221">
        <v>700</v>
      </c>
      <c r="G72" s="221">
        <v>427</v>
      </c>
      <c r="H72" s="221">
        <v>39</v>
      </c>
      <c r="I72" s="220">
        <v>345</v>
      </c>
      <c r="J72" s="220">
        <v>100</v>
      </c>
      <c r="K72" s="848" t="s">
        <v>68</v>
      </c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 ht="15" customHeight="1" thickBot="1">
      <c r="B73" s="222">
        <v>22</v>
      </c>
      <c r="C73" s="218" t="s">
        <v>130</v>
      </c>
      <c r="D73" s="219" t="s">
        <v>105</v>
      </c>
      <c r="E73" s="220">
        <v>16</v>
      </c>
      <c r="F73" s="221">
        <v>791</v>
      </c>
      <c r="G73" s="220">
        <v>340</v>
      </c>
      <c r="H73" s="221">
        <v>57</v>
      </c>
      <c r="I73" s="220">
        <v>309</v>
      </c>
      <c r="J73" s="220">
        <v>182</v>
      </c>
      <c r="K73" s="848" t="s">
        <v>68</v>
      </c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18" customHeight="1" thickBot="1">
      <c r="B74" s="222">
        <v>23</v>
      </c>
      <c r="C74" s="218" t="s">
        <v>131</v>
      </c>
      <c r="D74" s="219" t="s">
        <v>110</v>
      </c>
      <c r="E74" s="220">
        <v>24</v>
      </c>
      <c r="F74" s="221">
        <v>878</v>
      </c>
      <c r="G74" s="220">
        <v>430</v>
      </c>
      <c r="H74" s="221">
        <v>51</v>
      </c>
      <c r="I74" s="220">
        <v>486</v>
      </c>
      <c r="J74" s="220">
        <v>377</v>
      </c>
      <c r="K74" s="848" t="s">
        <v>68</v>
      </c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27" thickBot="1">
      <c r="B75" s="210">
        <v>24</v>
      </c>
      <c r="C75" s="216" t="s">
        <v>132</v>
      </c>
      <c r="D75" s="192" t="s">
        <v>133</v>
      </c>
      <c r="E75" s="193">
        <v>24</v>
      </c>
      <c r="F75" s="194">
        <v>595</v>
      </c>
      <c r="G75" s="194">
        <v>304</v>
      </c>
      <c r="H75" s="194">
        <v>49</v>
      </c>
      <c r="I75" s="193">
        <v>333</v>
      </c>
      <c r="J75" s="193">
        <v>170</v>
      </c>
      <c r="K75" s="846"/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1" customHeight="1" thickBot="1">
      <c r="B76" s="210">
        <v>25</v>
      </c>
      <c r="C76" s="216" t="s">
        <v>134</v>
      </c>
      <c r="D76" s="192" t="s">
        <v>135</v>
      </c>
      <c r="E76" s="193">
        <v>20</v>
      </c>
      <c r="F76" s="194">
        <v>475</v>
      </c>
      <c r="G76" s="194">
        <v>190</v>
      </c>
      <c r="H76" s="194">
        <v>60</v>
      </c>
      <c r="I76" s="193">
        <v>1836</v>
      </c>
      <c r="J76" s="193">
        <v>563</v>
      </c>
      <c r="K76" s="848"/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18.75" customHeight="1" thickBot="1">
      <c r="B77" s="222">
        <v>26</v>
      </c>
      <c r="C77" s="218" t="s">
        <v>136</v>
      </c>
      <c r="D77" s="219" t="s">
        <v>105</v>
      </c>
      <c r="E77" s="220">
        <v>40</v>
      </c>
      <c r="F77" s="221">
        <v>2922</v>
      </c>
      <c r="G77" s="221">
        <v>1169</v>
      </c>
      <c r="H77" s="221">
        <v>60</v>
      </c>
      <c r="I77" s="221">
        <v>319</v>
      </c>
      <c r="J77" s="221">
        <v>310</v>
      </c>
      <c r="K77" s="847" t="s">
        <v>235</v>
      </c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21" customHeight="1" thickBot="1">
      <c r="B78" s="222">
        <v>27</v>
      </c>
      <c r="C78" s="218" t="s">
        <v>137</v>
      </c>
      <c r="D78" s="219" t="s">
        <v>110</v>
      </c>
      <c r="E78" s="220">
        <v>40</v>
      </c>
      <c r="F78" s="849">
        <v>2222</v>
      </c>
      <c r="G78" s="849">
        <v>822</v>
      </c>
      <c r="H78" s="221">
        <v>63</v>
      </c>
      <c r="I78" s="220">
        <v>348</v>
      </c>
      <c r="J78" s="220">
        <v>260</v>
      </c>
      <c r="K78" s="847" t="s">
        <v>235</v>
      </c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.75" customHeight="1" thickBot="1">
      <c r="B79"/>
      <c r="C79" s="1344"/>
      <c r="D79" s="1344"/>
      <c r="E79" s="1344"/>
      <c r="F79" s="850">
        <f>SUM(F54:F78)</f>
        <v>35984.33391455972</v>
      </c>
      <c r="G79" s="851">
        <f>SUM(G54:G78)</f>
        <v>21634</v>
      </c>
      <c r="H79" s="225"/>
      <c r="I79" s="408"/>
      <c r="J79" s="225"/>
      <c r="K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</row>
    <row r="80" spans="2:29" ht="21" customHeight="1" thickBot="1">
      <c r="B80"/>
      <c r="C80"/>
      <c r="D80"/>
      <c r="E80"/>
      <c r="F80" s="1"/>
      <c r="G80" s="852">
        <f>ROUNDUP(G79,-1)</f>
        <v>21640</v>
      </c>
      <c r="H80" s="1"/>
      <c r="I80"/>
      <c r="J80" s="225"/>
      <c r="K80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 thickBot="1">
      <c r="B81"/>
      <c r="C81"/>
      <c r="D81" s="1"/>
      <c r="E81" s="1"/>
      <c r="F81" s="1"/>
      <c r="G81" s="1"/>
      <c r="H81" s="1"/>
      <c r="I81" s="1"/>
      <c r="J81" s="1"/>
      <c r="K81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18.95" customHeight="1" thickBot="1">
      <c r="B82"/>
      <c r="C82" s="1252" t="s">
        <v>420</v>
      </c>
      <c r="D82" s="1291"/>
      <c r="E82" s="1291"/>
      <c r="F82" s="1291"/>
      <c r="G82" s="1291"/>
      <c r="H82" s="1291"/>
      <c r="I82" s="1291"/>
      <c r="J82" s="1291"/>
      <c r="K82" s="1292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40.15" thickBot="1">
      <c r="B83" s="179" t="s">
        <v>156</v>
      </c>
      <c r="C83" s="803" t="s">
        <v>31</v>
      </c>
      <c r="D83" s="804" t="s">
        <v>32</v>
      </c>
      <c r="E83" s="804" t="s">
        <v>33</v>
      </c>
      <c r="F83" s="988" t="s">
        <v>34</v>
      </c>
      <c r="G83" s="988" t="s">
        <v>35</v>
      </c>
      <c r="H83" s="804" t="s">
        <v>37</v>
      </c>
      <c r="I83" s="806" t="s">
        <v>38</v>
      </c>
      <c r="J83" s="806" t="s">
        <v>39</v>
      </c>
      <c r="K83" s="226" t="s">
        <v>40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19.899999999999999" thickBot="1">
      <c r="B84" s="766">
        <v>1</v>
      </c>
      <c r="C84" s="767" t="s">
        <v>139</v>
      </c>
      <c r="D84" s="768" t="s">
        <v>140</v>
      </c>
      <c r="E84" s="769">
        <v>20</v>
      </c>
      <c r="F84" s="770">
        <v>550</v>
      </c>
      <c r="G84" s="770">
        <v>137.5</v>
      </c>
      <c r="H84" s="769">
        <v>75</v>
      </c>
      <c r="I84" s="771">
        <v>335</v>
      </c>
      <c r="J84" s="769">
        <v>420</v>
      </c>
      <c r="K84" s="294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19.899999999999999" thickBot="1">
      <c r="B85" s="853">
        <v>2</v>
      </c>
      <c r="C85" s="229" t="s">
        <v>142</v>
      </c>
      <c r="D85" s="230" t="s">
        <v>143</v>
      </c>
      <c r="E85" s="193">
        <v>24</v>
      </c>
      <c r="F85" s="188">
        <v>555</v>
      </c>
      <c r="G85" s="188">
        <v>540</v>
      </c>
      <c r="H85" s="193">
        <v>3.5</v>
      </c>
      <c r="I85" s="432">
        <v>400</v>
      </c>
      <c r="J85" s="187">
        <v>315</v>
      </c>
      <c r="K85" s="238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 ht="19.899999999999999" thickBot="1">
      <c r="B86" s="853">
        <v>3</v>
      </c>
      <c r="C86" s="229" t="s">
        <v>144</v>
      </c>
      <c r="D86" s="230" t="s">
        <v>140</v>
      </c>
      <c r="E86" s="193">
        <v>32</v>
      </c>
      <c r="F86" s="194">
        <v>1561</v>
      </c>
      <c r="G86" s="194">
        <v>1153</v>
      </c>
      <c r="H86" s="193">
        <v>27</v>
      </c>
      <c r="I86" s="432">
        <v>841</v>
      </c>
      <c r="J86" s="187">
        <v>770</v>
      </c>
      <c r="K86" s="238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 ht="19.899999999999999" thickBot="1">
      <c r="B87" s="702">
        <v>4</v>
      </c>
      <c r="C87" s="703" t="s">
        <v>145</v>
      </c>
      <c r="D87" s="704" t="s">
        <v>146</v>
      </c>
      <c r="E87" s="705">
        <v>36</v>
      </c>
      <c r="F87" s="706">
        <v>2142</v>
      </c>
      <c r="G87" s="706">
        <v>1935</v>
      </c>
      <c r="H87" s="407">
        <v>6.5</v>
      </c>
      <c r="I87" s="707">
        <v>377</v>
      </c>
      <c r="J87" s="708">
        <v>500</v>
      </c>
      <c r="K87" s="203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 ht="19.899999999999999" thickBot="1">
      <c r="B88"/>
      <c r="C88" s="204"/>
      <c r="D88" s="205"/>
      <c r="E88" s="205"/>
      <c r="F88" s="850">
        <v>4893.8756749777749</v>
      </c>
      <c r="G88" s="851">
        <f>SUM(G84:G87)</f>
        <v>3765.5</v>
      </c>
      <c r="H88" s="207"/>
      <c r="I88" s="207"/>
      <c r="J88" s="207"/>
      <c r="K88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 ht="19.5" customHeight="1" thickBot="1">
      <c r="B89"/>
      <c r="C89" s="1342"/>
      <c r="D89" s="1342"/>
      <c r="E89" s="1342"/>
      <c r="F89" s="1"/>
      <c r="G89" s="852">
        <f>ROUNDUP(G88,-1)</f>
        <v>3770</v>
      </c>
      <c r="H89" s="1"/>
      <c r="I89"/>
      <c r="J89" s="1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 thickBot="1">
      <c r="B90" s="579"/>
      <c r="C90" s="579"/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899999999999999" thickBo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 ht="19.899999999999999" thickBot="1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 ht="19.899999999999999" thickBot="1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 ht="19.899999999999999" thickBot="1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 ht="19.899999999999999" thickBot="1">
      <c r="B95" s="579"/>
      <c r="C95" s="579"/>
      <c r="D95" s="579"/>
      <c r="E95" s="579"/>
      <c r="F95" s="579"/>
      <c r="G95" s="660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 ht="19.899999999999999" thickBot="1">
      <c r="B96" s="579"/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 ht="19.899999999999999" thickBot="1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 ht="19.899999999999999" thickBot="1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 ht="19.899999999999999" thickBot="1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 ht="19.899999999999999" thickBot="1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 ht="19.899999999999999" thickBot="1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 ht="19.899999999999999" thickBot="1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 ht="19.899999999999999" thickBot="1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 ht="19.899999999999999" thickBot="1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 ht="19.899999999999999" thickBot="1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 ht="19.899999999999999" thickBot="1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 ht="19.899999999999999" thickBot="1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 ht="19.899999999999999" thickBot="1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 ht="19.899999999999999" thickBot="1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 ht="19.899999999999999" thickBot="1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 ht="19.899999999999999" thickBot="1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 ht="19.899999999999999" thickBot="1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 ht="19.899999999999999" thickBot="1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 ht="19.899999999999999" thickBot="1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 ht="19.899999999999999" thickBot="1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 ht="19.899999999999999" thickBot="1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 ht="19.899999999999999" thickBot="1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 ht="19.899999999999999" thickBot="1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 ht="19.899999999999999" thickBot="1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 ht="19.899999999999999" thickBot="1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 ht="19.899999999999999" thickBot="1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 ht="19.899999999999999" thickBot="1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 ht="19.899999999999999" thickBot="1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 ht="19.899999999999999" thickBot="1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 ht="19.899999999999999" thickBot="1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 ht="19.899999999999999" thickBot="1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 ht="19.899999999999999" thickBot="1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 ht="19.899999999999999" thickBot="1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 ht="19.899999999999999" thickBot="1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 ht="19.899999999999999" thickBot="1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 ht="19.899999999999999" thickBot="1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 ht="19.899999999999999" thickBot="1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 ht="19.899999999999999" thickBot="1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 ht="19.899999999999999" thickBot="1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 ht="19.899999999999999" thickBot="1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 ht="19.899999999999999" thickBot="1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 ht="19.899999999999999" thickBot="1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 ht="19.899999999999999" thickBot="1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 ht="19.899999999999999" thickBot="1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 ht="19.899999999999999" thickBot="1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 ht="19.899999999999999" thickBot="1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 ht="19.899999999999999" thickBot="1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 ht="19.899999999999999" thickBot="1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 ht="19.899999999999999" thickBot="1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 ht="19.899999999999999" thickBot="1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 ht="19.899999999999999" thickBot="1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 ht="19.899999999999999" thickBot="1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 ht="19.899999999999999" thickBot="1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 ht="19.899999999999999" thickBot="1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 ht="19.899999999999999" thickBot="1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 ht="19.899999999999999" thickBot="1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 ht="19.899999999999999" thickBot="1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 ht="19.899999999999999" thickBot="1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 ht="19.899999999999999" thickBot="1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 ht="19.899999999999999" thickBot="1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 ht="19.899999999999999" thickBot="1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 ht="19.899999999999999" thickBot="1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 ht="19.899999999999999" thickBot="1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 ht="19.899999999999999" thickBot="1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 ht="19.899999999999999" thickBot="1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 ht="19.899999999999999" thickBot="1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 ht="19.899999999999999" thickBot="1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 ht="19.899999999999999" thickBot="1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 ht="19.899999999999999" thickBot="1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 ht="19.899999999999999" thickBot="1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 ht="19.899999999999999" thickBot="1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 ht="19.899999999999999" thickBot="1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 ht="19.899999999999999" thickBot="1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 ht="19.899999999999999" thickBot="1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 ht="19.899999999999999" thickBot="1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 ht="19.899999999999999" thickBot="1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 ht="19.899999999999999" thickBot="1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 ht="19.899999999999999" thickBot="1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 ht="19.899999999999999" thickBot="1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 ht="19.899999999999999" thickBot="1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 ht="19.899999999999999" thickBot="1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 ht="19.899999999999999" thickBot="1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 ht="19.899999999999999" thickBot="1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 ht="19.899999999999999" thickBot="1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 ht="19.899999999999999" thickBot="1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 ht="19.899999999999999" thickBot="1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 ht="19.899999999999999" thickBot="1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 ht="19.899999999999999" thickBot="1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 ht="19.899999999999999" thickBot="1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 ht="19.899999999999999" thickBot="1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 ht="19.899999999999999" thickBot="1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 ht="19.899999999999999" thickBot="1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 ht="19.899999999999999" thickBot="1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 ht="19.899999999999999" thickBot="1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 ht="19.899999999999999" thickBot="1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 ht="19.899999999999999" thickBot="1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 ht="19.899999999999999" thickBot="1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 ht="19.899999999999999" thickBot="1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 ht="19.899999999999999" thickBot="1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 ht="19.899999999999999" thickBot="1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 ht="19.899999999999999" thickBot="1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 ht="19.899999999999999" thickBot="1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 ht="19.899999999999999" thickBot="1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 ht="19.899999999999999" thickBot="1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 ht="19.899999999999999" thickBot="1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 ht="19.899999999999999" thickBot="1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 ht="19.899999999999999" thickBot="1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 ht="19.899999999999999" thickBot="1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 ht="19.899999999999999" thickBot="1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 ht="19.899999999999999" thickBot="1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 ht="19.899999999999999" thickBot="1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 ht="19.899999999999999" thickBot="1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 ht="19.899999999999999" thickBot="1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 ht="19.899999999999999" thickBot="1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 ht="19.899999999999999" thickBot="1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 ht="19.899999999999999" thickBot="1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 ht="19.899999999999999" thickBot="1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 ht="19.899999999999999" thickBot="1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 ht="19.899999999999999" thickBot="1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 ht="19.899999999999999" thickBot="1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 ht="19.899999999999999" thickBot="1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 ht="19.899999999999999" thickBot="1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 ht="19.899999999999999" thickBot="1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 ht="19.899999999999999" thickBot="1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 ht="19.899999999999999" thickBot="1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 ht="19.899999999999999" thickBot="1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 ht="19.899999999999999" thickBot="1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 ht="19.899999999999999" thickBot="1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 ht="19.899999999999999" thickBot="1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 ht="19.899999999999999" thickBot="1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 ht="19.899999999999999" thickBot="1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 ht="19.899999999999999" thickBot="1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 ht="19.899999999999999" thickBot="1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 ht="19.899999999999999" thickBot="1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 ht="19.899999999999999" thickBot="1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 ht="19.899999999999999" thickBot="1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 ht="19.899999999999999" thickBot="1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 ht="19.899999999999999" thickBot="1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 ht="19.899999999999999" thickBot="1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 ht="19.899999999999999" thickBot="1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 ht="19.899999999999999" thickBot="1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 ht="19.899999999999999" thickBot="1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 ht="19.899999999999999" thickBot="1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 ht="19.899999999999999" thickBot="1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 ht="19.899999999999999" thickBot="1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 ht="19.899999999999999" thickBot="1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 ht="19.899999999999999" thickBot="1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 ht="19.899999999999999" thickBot="1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 ht="19.899999999999999" thickBot="1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 ht="19.899999999999999" thickBot="1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 ht="19.899999999999999" thickBot="1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 ht="19.899999999999999" thickBot="1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 ht="19.899999999999999" thickBot="1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 ht="19.899999999999999" thickBot="1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 ht="19.899999999999999" thickBot="1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 ht="19.899999999999999" thickBot="1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 ht="19.899999999999999" thickBot="1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 ht="19.899999999999999" thickBot="1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 ht="19.899999999999999" thickBot="1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 ht="19.899999999999999" thickBot="1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 ht="19.899999999999999" thickBot="1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 ht="19.899999999999999" thickBot="1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 ht="19.899999999999999" thickBot="1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 ht="19.899999999999999" thickBot="1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 ht="19.899999999999999" thickBot="1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 ht="19.899999999999999" thickBot="1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 ht="19.899999999999999" thickBot="1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 ht="19.899999999999999" thickBot="1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 ht="19.899999999999999" thickBot="1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 ht="19.899999999999999" thickBot="1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 ht="19.899999999999999" thickBot="1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 ht="19.899999999999999" thickBot="1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 ht="19.899999999999999" thickBot="1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 ht="19.899999999999999" thickBot="1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 ht="19.899999999999999" thickBot="1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 ht="19.899999999999999" thickBot="1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 ht="19.899999999999999" thickBot="1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 ht="19.899999999999999" thickBot="1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 ht="19.899999999999999" thickBot="1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 ht="19.899999999999999" thickBot="1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 ht="19.899999999999999" thickBot="1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 ht="19.899999999999999" thickBot="1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 ht="19.899999999999999" thickBot="1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 ht="19.899999999999999" thickBot="1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 ht="19.899999999999999" thickBot="1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 ht="19.899999999999999" thickBot="1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 ht="19.899999999999999" thickBot="1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 ht="19.899999999999999" thickBot="1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 ht="19.899999999999999" thickBot="1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 ht="19.899999999999999" thickBot="1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 ht="19.899999999999999" thickBot="1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 ht="19.899999999999999" thickBot="1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 ht="19.899999999999999" thickBot="1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 ht="19.899999999999999" thickBot="1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 ht="19.899999999999999" thickBot="1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 ht="19.899999999999999" thickBot="1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 ht="19.899999999999999" thickBot="1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 ht="19.899999999999999" thickBot="1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 ht="19.899999999999999" thickBot="1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 ht="19.899999999999999" thickBot="1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 ht="19.899999999999999" thickBot="1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 ht="19.899999999999999" thickBot="1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 ht="19.899999999999999" thickBot="1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 ht="19.899999999999999" thickBot="1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 ht="19.899999999999999" thickBot="1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 ht="19.899999999999999" thickBot="1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 ht="19.899999999999999" thickBot="1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 ht="19.899999999999999" thickBot="1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 ht="19.899999999999999" thickBot="1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 ht="19.899999999999999" thickBot="1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 ht="19.899999999999999" thickBot="1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 ht="19.899999999999999" thickBot="1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 ht="19.899999999999999" thickBot="1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 ht="19.899999999999999" thickBot="1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 ht="19.899999999999999" thickBot="1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 ht="19.899999999999999" thickBot="1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 ht="19.899999999999999" thickBot="1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 ht="19.899999999999999" thickBot="1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 ht="19.899999999999999" thickBot="1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 ht="19.899999999999999" thickBot="1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 ht="19.899999999999999" thickBot="1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 ht="19.899999999999999" thickBot="1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 ht="19.899999999999999" thickBot="1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 ht="19.899999999999999" thickBot="1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 ht="19.899999999999999" thickBot="1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 ht="19.899999999999999" thickBot="1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 ht="19.899999999999999" thickBot="1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 ht="19.899999999999999" thickBot="1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 ht="19.899999999999999" thickBot="1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 ht="19.899999999999999" thickBot="1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 ht="19.899999999999999" thickBot="1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 ht="19.899999999999999" thickBot="1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 ht="19.899999999999999" thickBot="1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 ht="19.899999999999999" thickBot="1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 ht="19.899999999999999" thickBot="1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 ht="19.899999999999999" thickBot="1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 ht="19.899999999999999" thickBot="1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 ht="19.899999999999999" thickBot="1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 ht="19.899999999999999" thickBot="1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 ht="19.899999999999999" thickBot="1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 ht="19.899999999999999" thickBot="1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 ht="19.899999999999999" thickBot="1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 ht="19.899999999999999" thickBot="1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 ht="19.899999999999999" thickBot="1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 ht="19.899999999999999" thickBot="1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 ht="19.899999999999999" thickBot="1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 ht="19.899999999999999" thickBot="1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 ht="19.899999999999999" thickBot="1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 ht="19.899999999999999" thickBot="1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 ht="19.899999999999999" thickBot="1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 ht="19.899999999999999" thickBot="1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 ht="19.899999999999999" thickBot="1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 ht="19.899999999999999" thickBot="1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 ht="19.899999999999999" thickBot="1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 ht="19.899999999999999" thickBot="1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 ht="19.899999999999999" thickBot="1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 ht="19.899999999999999" thickBot="1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 ht="19.899999999999999" thickBot="1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 ht="19.899999999999999" thickBot="1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 ht="19.899999999999999" thickBot="1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 ht="19.899999999999999" thickBot="1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 ht="19.899999999999999" thickBot="1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 ht="19.899999999999999" thickBot="1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 ht="19.899999999999999" thickBot="1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 ht="19.899999999999999" thickBot="1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 ht="19.899999999999999" thickBot="1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 ht="19.899999999999999" thickBot="1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 ht="19.899999999999999" thickBot="1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 ht="19.899999999999999" thickBot="1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 ht="19.899999999999999" thickBot="1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 ht="19.899999999999999" thickBot="1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 ht="19.899999999999999" thickBot="1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 ht="19.899999999999999" thickBot="1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 ht="19.899999999999999" thickBot="1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 ht="19.899999999999999" thickBot="1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 ht="19.899999999999999" thickBot="1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 ht="19.899999999999999" thickBot="1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 ht="19.899999999999999" thickBot="1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 ht="19.899999999999999" thickBot="1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 ht="19.899999999999999" thickBot="1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 ht="19.899999999999999" thickBot="1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 ht="19.899999999999999" thickBot="1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 ht="19.899999999999999" thickBot="1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 ht="19.899999999999999" thickBot="1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 ht="19.899999999999999" thickBot="1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 ht="19.899999999999999" thickBot="1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 ht="19.899999999999999" thickBot="1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 ht="19.899999999999999" thickBot="1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 ht="19.899999999999999" thickBot="1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 ht="19.899999999999999" thickBot="1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 ht="19.899999999999999" thickBot="1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 ht="19.899999999999999" thickBot="1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 ht="19.899999999999999" thickBot="1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 ht="19.899999999999999" thickBot="1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 ht="19.899999999999999" thickBot="1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 ht="19.899999999999999" thickBot="1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 ht="19.899999999999999" thickBot="1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 ht="19.899999999999999" thickBot="1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 ht="19.899999999999999" thickBot="1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 ht="19.899999999999999" thickBot="1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 ht="19.899999999999999" thickBot="1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 ht="19.899999999999999" thickBot="1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 ht="19.899999999999999" thickBot="1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 ht="19.899999999999999" thickBot="1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 ht="19.899999999999999" thickBot="1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 ht="19.899999999999999" thickBot="1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 ht="19.899999999999999" thickBot="1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 ht="19.899999999999999" thickBot="1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 ht="19.899999999999999" thickBot="1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 ht="19.899999999999999" thickBot="1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 ht="19.899999999999999" thickBot="1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 ht="19.899999999999999" thickBot="1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 ht="19.899999999999999" thickBot="1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 ht="19.899999999999999" thickBot="1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 ht="19.899999999999999" thickBot="1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 ht="19.899999999999999" thickBot="1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 ht="19.899999999999999" thickBot="1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 ht="19.899999999999999" thickBot="1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 ht="19.899999999999999" thickBot="1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 ht="19.899999999999999" thickBot="1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 ht="19.899999999999999" thickBot="1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 ht="19.899999999999999" thickBot="1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 ht="19.899999999999999" thickBot="1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 ht="19.899999999999999" thickBot="1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 ht="19.899999999999999" thickBot="1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 ht="19.899999999999999" thickBot="1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 ht="19.899999999999999" thickBot="1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 ht="19.899999999999999" thickBot="1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 ht="19.899999999999999" thickBot="1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 ht="19.899999999999999" thickBot="1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 ht="19.899999999999999" thickBot="1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 ht="19.899999999999999" thickBot="1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 ht="19.899999999999999" thickBot="1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 ht="19.899999999999999" thickBot="1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 ht="19.899999999999999" thickBot="1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 ht="19.899999999999999" thickBot="1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 ht="19.899999999999999" thickBot="1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 ht="19.899999999999999" thickBot="1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 ht="19.899999999999999" thickBot="1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 ht="19.899999999999999" thickBot="1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 ht="19.899999999999999" thickBot="1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 ht="19.899999999999999" thickBot="1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 ht="19.899999999999999" thickBot="1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 ht="19.899999999999999" thickBot="1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 ht="19.899999999999999" thickBot="1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 ht="19.899999999999999" thickBot="1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 ht="19.899999999999999" thickBot="1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 ht="19.899999999999999" thickBot="1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 ht="19.899999999999999" thickBot="1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 ht="19.899999999999999" thickBot="1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 ht="19.899999999999999" thickBot="1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 ht="19.899999999999999" thickBot="1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 ht="19.899999999999999" thickBot="1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 ht="19.899999999999999" thickBot="1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 ht="19.899999999999999" thickBot="1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 ht="19.899999999999999" thickBot="1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 ht="19.899999999999999" thickBot="1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 ht="19.899999999999999" thickBot="1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 ht="19.899999999999999" thickBot="1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 ht="19.899999999999999" thickBot="1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 ht="19.899999999999999" thickBot="1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 ht="19.899999999999999" thickBot="1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 ht="19.899999999999999" thickBot="1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 ht="19.899999999999999" thickBot="1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 ht="19.899999999999999" thickBot="1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 ht="19.899999999999999" thickBot="1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 ht="19.899999999999999" thickBot="1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 ht="19.899999999999999" thickBot="1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 ht="19.899999999999999" thickBot="1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 ht="19.899999999999999" thickBot="1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 ht="19.899999999999999" thickBot="1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 ht="19.899999999999999" thickBot="1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 ht="19.899999999999999" thickBot="1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 ht="19.899999999999999" thickBot="1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 ht="19.899999999999999" thickBot="1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 ht="19.899999999999999" thickBot="1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 ht="19.899999999999999" thickBot="1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 ht="19.899999999999999" thickBot="1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 ht="19.899999999999999" thickBot="1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 ht="19.899999999999999" thickBot="1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 ht="19.899999999999999" thickBot="1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 ht="19.899999999999999" thickBot="1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 ht="19.899999999999999" thickBot="1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 ht="19.899999999999999" thickBot="1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 ht="19.899999999999999" thickBot="1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 ht="19.899999999999999" thickBot="1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 ht="19.899999999999999" thickBot="1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 ht="19.899999999999999" thickBot="1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 ht="19.899999999999999" thickBot="1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 ht="19.899999999999999" thickBot="1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 ht="19.899999999999999" thickBot="1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 ht="19.899999999999999" thickBot="1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 ht="19.899999999999999" thickBot="1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 ht="19.899999999999999" thickBot="1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 ht="19.899999999999999" thickBot="1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 ht="19.899999999999999" thickBot="1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 ht="19.899999999999999" thickBot="1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 ht="19.899999999999999" thickBot="1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 ht="19.899999999999999" thickBot="1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 ht="19.899999999999999" thickBot="1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 ht="19.899999999999999" thickBot="1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 ht="19.899999999999999" thickBot="1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 ht="19.899999999999999" thickBot="1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 ht="19.899999999999999" thickBot="1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 ht="19.899999999999999" thickBot="1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 ht="19.899999999999999" thickBot="1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 ht="19.899999999999999" thickBot="1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 ht="19.899999999999999" thickBot="1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 ht="19.899999999999999" thickBot="1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 ht="19.899999999999999" thickBot="1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 ht="19.899999999999999" thickBot="1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 ht="19.899999999999999" thickBot="1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 ht="19.899999999999999" thickBot="1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 ht="19.899999999999999" thickBot="1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 ht="19.899999999999999" thickBot="1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 ht="19.899999999999999" thickBot="1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 ht="19.899999999999999" thickBot="1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 ht="19.899999999999999" thickBot="1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 ht="19.899999999999999" thickBot="1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 ht="19.899999999999999" thickBot="1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 ht="19.899999999999999" thickBot="1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 ht="19.899999999999999" thickBot="1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 ht="19.899999999999999" thickBot="1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 ht="19.899999999999999" thickBot="1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 ht="19.899999999999999" thickBot="1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 ht="19.899999999999999" thickBot="1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 ht="19.899999999999999" thickBot="1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 ht="19.899999999999999" thickBot="1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 ht="19.899999999999999" thickBot="1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 ht="19.899999999999999" thickBot="1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 ht="19.899999999999999" thickBot="1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 ht="19.899999999999999" thickBot="1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 ht="19.899999999999999" thickBot="1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 ht="19.899999999999999" thickBot="1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 ht="19.899999999999999" thickBot="1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 ht="19.899999999999999" thickBot="1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 ht="19.899999999999999" thickBot="1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 ht="19.899999999999999" thickBot="1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 ht="19.899999999999999" thickBot="1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 ht="19.899999999999999" thickBot="1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 ht="19.899999999999999" thickBot="1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 ht="19.899999999999999" thickBot="1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 ht="19.899999999999999" thickBot="1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 ht="19.899999999999999" thickBot="1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 ht="19.899999999999999" thickBot="1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 ht="19.899999999999999" thickBot="1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 ht="19.899999999999999" thickBot="1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 ht="19.899999999999999" thickBot="1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 ht="19.899999999999999" thickBot="1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 ht="19.899999999999999" thickBot="1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 ht="19.899999999999999" thickBot="1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 ht="19.899999999999999" thickBot="1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 ht="19.899999999999999" thickBot="1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 ht="19.899999999999999" thickBot="1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 ht="19.899999999999999" thickBot="1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 ht="19.899999999999999" thickBot="1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 ht="19.899999999999999" thickBot="1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 ht="19.899999999999999" thickBot="1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 ht="19.899999999999999" thickBot="1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 ht="19.899999999999999" thickBot="1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 ht="19.899999999999999" thickBot="1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 ht="19.899999999999999" thickBot="1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 ht="19.899999999999999" thickBot="1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 ht="19.899999999999999" thickBot="1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 ht="19.899999999999999" thickBot="1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 ht="19.899999999999999" thickBot="1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 ht="19.899999999999999" thickBot="1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 ht="19.899999999999999" thickBot="1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 ht="19.899999999999999" thickBot="1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 ht="19.899999999999999" thickBot="1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 ht="19.899999999999999" thickBot="1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 ht="19.899999999999999" thickBot="1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 ht="19.899999999999999" thickBot="1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 ht="19.899999999999999" thickBot="1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 ht="19.899999999999999" thickBot="1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 ht="19.899999999999999" thickBot="1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 ht="19.899999999999999" thickBot="1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 ht="19.899999999999999" thickBot="1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 ht="19.899999999999999" thickBot="1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 ht="19.899999999999999" thickBot="1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 ht="19.899999999999999" thickBot="1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 ht="19.899999999999999" thickBot="1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 ht="19.899999999999999" thickBot="1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 ht="19.899999999999999" thickBot="1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 ht="19.899999999999999" thickBot="1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 ht="19.899999999999999" thickBot="1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 ht="19.899999999999999" thickBot="1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 ht="19.899999999999999" thickBot="1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 ht="19.899999999999999" thickBot="1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 ht="19.899999999999999" thickBot="1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 ht="19.899999999999999" thickBot="1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 ht="19.899999999999999" thickBot="1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 ht="19.899999999999999" thickBot="1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 ht="19.899999999999999" thickBot="1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 ht="19.899999999999999" thickBot="1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 ht="19.899999999999999" thickBot="1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 ht="19.899999999999999" thickBot="1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 ht="19.899999999999999" thickBot="1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 ht="19.899999999999999" thickBot="1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 ht="19.899999999999999" thickBot="1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 ht="19.899999999999999" thickBot="1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 ht="19.899999999999999" thickBot="1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 ht="19.899999999999999" thickBot="1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 ht="19.899999999999999" thickBot="1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 ht="19.899999999999999" thickBot="1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 ht="19.899999999999999" thickBot="1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 ht="19.899999999999999" thickBot="1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 ht="19.899999999999999" thickBot="1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 ht="19.899999999999999" thickBot="1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 ht="19.899999999999999" thickBot="1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 ht="19.899999999999999" thickBot="1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 ht="19.899999999999999" thickBot="1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 ht="19.899999999999999" thickBot="1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 ht="19.899999999999999" thickBot="1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 ht="19.899999999999999" thickBot="1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 ht="19.899999999999999" thickBot="1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 ht="19.899999999999999" thickBot="1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 ht="19.899999999999999" thickBot="1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 ht="19.899999999999999" thickBot="1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 ht="19.899999999999999" thickBot="1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 ht="19.899999999999999" thickBot="1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 ht="19.899999999999999" thickBot="1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 ht="19.899999999999999" thickBot="1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 ht="19.899999999999999" thickBot="1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 ht="19.899999999999999" thickBot="1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 ht="19.899999999999999" thickBot="1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 ht="19.899999999999999" thickBot="1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 ht="19.899999999999999" thickBot="1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 ht="19.899999999999999" thickBot="1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 ht="19.899999999999999" thickBot="1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 ht="19.899999999999999" thickBot="1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 ht="19.899999999999999" thickBot="1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 ht="19.899999999999999" thickBot="1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 ht="19.899999999999999" thickBot="1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 ht="19.899999999999999" thickBot="1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 ht="19.899999999999999" thickBot="1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 ht="19.899999999999999" thickBot="1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 ht="19.899999999999999" thickBot="1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 ht="19.899999999999999" thickBot="1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 ht="19.899999999999999" thickBot="1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 ht="19.899999999999999" thickBot="1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 ht="19.899999999999999" thickBot="1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 ht="19.899999999999999" thickBot="1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 ht="19.899999999999999" thickBot="1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 ht="19.899999999999999" thickBot="1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 ht="19.899999999999999" thickBot="1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 ht="19.899999999999999" thickBot="1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 ht="19.899999999999999" thickBot="1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 ht="19.899999999999999" thickBot="1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 ht="19.899999999999999" thickBot="1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 ht="19.899999999999999" thickBot="1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 ht="19.899999999999999" thickBot="1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 ht="19.899999999999999" thickBot="1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 ht="19.899999999999999" thickBot="1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 ht="19.899999999999999" thickBot="1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 ht="19.899999999999999" thickBot="1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 ht="19.899999999999999" thickBot="1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 ht="19.899999999999999" thickBot="1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 ht="19.899999999999999" thickBot="1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 ht="19.899999999999999" thickBot="1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 ht="19.899999999999999" thickBot="1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 ht="19.899999999999999" thickBot="1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 ht="19.899999999999999" thickBot="1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 ht="19.899999999999999" thickBot="1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 ht="19.899999999999999" thickBot="1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 ht="19.899999999999999" thickBot="1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 ht="19.899999999999999" thickBot="1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 ht="19.899999999999999" thickBot="1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 ht="19.899999999999999" thickBot="1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 ht="19.899999999999999" thickBot="1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 ht="19.899999999999999" thickBot="1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 ht="19.899999999999999" thickBot="1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 ht="19.899999999999999" thickBot="1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 ht="19.899999999999999" thickBot="1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 ht="19.899999999999999" thickBot="1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 ht="19.899999999999999" thickBot="1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 ht="19.899999999999999" thickBot="1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 ht="19.899999999999999" thickBot="1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 ht="19.899999999999999" thickBot="1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 ht="19.899999999999999" thickBot="1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 ht="19.899999999999999" thickBot="1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 ht="19.899999999999999" thickBot="1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 ht="19.899999999999999" thickBot="1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 ht="19.899999999999999" thickBot="1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 ht="19.899999999999999" thickBot="1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 ht="19.899999999999999" thickBot="1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 ht="19.899999999999999" thickBot="1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 ht="19.899999999999999" thickBot="1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 ht="19.899999999999999" thickBot="1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 ht="19.899999999999999" thickBot="1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 ht="19.899999999999999" thickBot="1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 ht="19.899999999999999" thickBot="1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 ht="19.899999999999999" thickBot="1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 ht="19.899999999999999" thickBot="1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 ht="19.899999999999999" thickBot="1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 ht="19.899999999999999" thickBot="1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 ht="19.899999999999999" thickBot="1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 ht="19.899999999999999" thickBot="1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 ht="19.899999999999999" thickBot="1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 ht="19.899999999999999" thickBot="1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 ht="19.899999999999999" thickBot="1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 ht="19.899999999999999" thickBot="1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 ht="19.899999999999999" thickBot="1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 ht="19.899999999999999" thickBot="1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 ht="19.899999999999999" thickBot="1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 ht="19.899999999999999" thickBot="1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 ht="19.899999999999999" thickBot="1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 ht="19.899999999999999" thickBot="1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 ht="19.899999999999999" thickBot="1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 ht="19.899999999999999" thickBot="1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 ht="19.899999999999999" thickBot="1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 ht="19.899999999999999" thickBot="1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 ht="19.899999999999999" thickBot="1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 ht="19.899999999999999" thickBot="1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 ht="19.899999999999999" thickBot="1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 ht="19.899999999999999" thickBot="1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 ht="19.899999999999999" thickBot="1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 ht="19.899999999999999" thickBot="1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 ht="19.899999999999999" thickBot="1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 ht="19.899999999999999" thickBot="1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 ht="19.899999999999999" thickBot="1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 ht="19.899999999999999" thickBot="1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 ht="19.899999999999999" thickBot="1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 ht="19.899999999999999" thickBot="1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 ht="19.899999999999999" thickBot="1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 ht="19.899999999999999" thickBot="1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 ht="19.899999999999999" thickBot="1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 ht="19.899999999999999" thickBot="1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 ht="19.899999999999999" thickBot="1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 ht="19.899999999999999" thickBot="1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 ht="19.899999999999999" thickBot="1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 ht="19.899999999999999" thickBot="1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 ht="19.899999999999999" thickBot="1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 ht="19.899999999999999" thickBot="1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 ht="19.899999999999999" thickBot="1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 ht="19.899999999999999" thickBot="1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 ht="19.899999999999999" thickBot="1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 ht="19.899999999999999" thickBot="1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 ht="19.899999999999999" thickBot="1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 ht="19.899999999999999" thickBot="1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 ht="19.899999999999999" thickBot="1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 ht="19.899999999999999" thickBot="1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 ht="19.899999999999999" thickBot="1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 ht="19.899999999999999" thickBot="1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 ht="19.899999999999999" thickBot="1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 ht="19.899999999999999" thickBot="1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 ht="19.899999999999999" thickBot="1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 ht="19.899999999999999" thickBot="1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 ht="19.899999999999999" thickBot="1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 ht="19.899999999999999" thickBot="1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 ht="19.899999999999999" thickBot="1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 ht="19.899999999999999" thickBot="1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 ht="19.899999999999999" thickBot="1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 ht="19.899999999999999" thickBot="1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 ht="19.899999999999999" thickBot="1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 ht="19.899999999999999" thickBot="1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 ht="19.899999999999999" thickBot="1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 ht="19.899999999999999" thickBot="1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 ht="19.899999999999999" thickBot="1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 ht="19.899999999999999" thickBot="1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 ht="19.899999999999999" thickBot="1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 ht="19.899999999999999" thickBot="1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 ht="19.899999999999999" thickBot="1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 ht="19.899999999999999" thickBot="1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 ht="19.899999999999999" thickBot="1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 ht="19.899999999999999" thickBot="1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 ht="19.899999999999999" thickBot="1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 ht="19.899999999999999" thickBot="1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 ht="19.899999999999999" thickBot="1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 ht="19.899999999999999" thickBot="1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 ht="19.899999999999999" thickBot="1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 ht="19.899999999999999" thickBot="1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 ht="19.899999999999999" thickBot="1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 ht="19.899999999999999" thickBot="1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 ht="19.899999999999999" thickBot="1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 ht="19.899999999999999" thickBot="1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 ht="19.899999999999999" thickBot="1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 ht="19.899999999999999" thickBot="1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 ht="19.899999999999999" thickBot="1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 ht="19.899999999999999" thickBot="1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 ht="19.899999999999999" thickBot="1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 ht="19.899999999999999" thickBot="1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 ht="19.899999999999999" thickBot="1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 ht="19.899999999999999" thickBot="1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 ht="19.899999999999999" thickBot="1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 ht="19.899999999999999" thickBot="1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 ht="19.899999999999999" thickBot="1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 ht="19.899999999999999" thickBot="1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 ht="19.899999999999999" thickBot="1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 ht="19.899999999999999" thickBot="1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 ht="19.899999999999999" thickBot="1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 ht="19.899999999999999" thickBot="1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 ht="19.899999999999999" thickBot="1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 ht="19.899999999999999" thickBot="1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 ht="19.899999999999999" thickBot="1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 ht="19.899999999999999" thickBot="1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 ht="19.899999999999999" thickBot="1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 ht="19.899999999999999" thickBot="1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 ht="19.899999999999999" thickBot="1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 ht="19.899999999999999" thickBot="1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 ht="19.899999999999999" thickBot="1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 ht="19.899999999999999" thickBot="1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 ht="19.899999999999999" thickBot="1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 ht="19.899999999999999" thickBot="1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 ht="19.899999999999999" thickBot="1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 ht="19.899999999999999" thickBot="1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 ht="19.899999999999999" thickBot="1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 ht="19.899999999999999" thickBot="1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 ht="19.899999999999999" thickBot="1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 ht="19.899999999999999" thickBot="1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 ht="19.899999999999999" thickBot="1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 ht="19.899999999999999" thickBot="1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 ht="19.899999999999999" thickBot="1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 ht="19.899999999999999" thickBot="1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 ht="19.899999999999999" thickBot="1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 ht="19.899999999999999" thickBot="1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 ht="19.899999999999999" thickBot="1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 ht="19.899999999999999" thickBot="1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 ht="19.899999999999999" thickBot="1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 ht="19.899999999999999" thickBot="1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 ht="19.899999999999999" thickBot="1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 ht="19.899999999999999" thickBot="1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 ht="19.899999999999999" thickBot="1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 ht="19.899999999999999" thickBot="1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 ht="19.899999999999999" thickBot="1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 ht="19.899999999999999" thickBot="1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 ht="19.899999999999999" thickBot="1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 ht="19.899999999999999" thickBot="1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 ht="19.899999999999999" thickBot="1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 ht="19.899999999999999" thickBot="1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 ht="19.899999999999999" thickBot="1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 ht="19.899999999999999" thickBot="1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 ht="19.899999999999999" thickBot="1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 ht="19.899999999999999" thickBot="1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 ht="19.899999999999999" thickBot="1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 ht="19.899999999999999" thickBot="1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 ht="19.899999999999999" thickBot="1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 ht="19.899999999999999" thickBot="1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 ht="19.899999999999999" thickBot="1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 ht="19.899999999999999" thickBot="1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 ht="19.899999999999999" thickBot="1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 ht="19.899999999999999" thickBot="1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 ht="19.899999999999999" thickBot="1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 ht="19.899999999999999" thickBot="1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 ht="19.899999999999999" thickBot="1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 ht="19.899999999999999" thickBot="1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 ht="19.899999999999999" thickBot="1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 ht="19.899999999999999" thickBot="1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 ht="19.899999999999999" thickBot="1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 ht="19.899999999999999" thickBot="1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 ht="19.899999999999999" thickBot="1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 ht="19.899999999999999" thickBot="1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 ht="19.899999999999999" thickBot="1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 ht="19.899999999999999" thickBot="1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 ht="19.899999999999999" thickBot="1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 ht="19.899999999999999" thickBot="1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 ht="19.899999999999999" thickBot="1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 ht="19.899999999999999" thickBot="1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 ht="19.899999999999999" thickBot="1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 ht="19.899999999999999" thickBot="1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 ht="19.899999999999999" thickBot="1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 ht="19.899999999999999" thickBot="1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 ht="19.899999999999999" thickBot="1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 ht="19.899999999999999" thickBot="1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 ht="19.899999999999999" thickBot="1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 ht="19.899999999999999" thickBot="1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 ht="19.899999999999999" thickBot="1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 ht="19.899999999999999" thickBot="1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 ht="19.899999999999999" thickBot="1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 ht="19.899999999999999" thickBot="1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 ht="19.899999999999999" thickBot="1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 ht="19.899999999999999" thickBot="1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 ht="19.899999999999999" thickBot="1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 ht="19.899999999999999" thickBot="1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 ht="19.899999999999999" thickBot="1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 ht="19.899999999999999" thickBot="1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 ht="19.899999999999999" thickBot="1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 ht="19.899999999999999" thickBot="1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 ht="19.899999999999999" thickBot="1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 ht="19.899999999999999" thickBot="1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 ht="19.899999999999999" thickBot="1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 ht="19.899999999999999" thickBot="1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 ht="19.899999999999999" thickBot="1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 ht="19.899999999999999" thickBot="1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 ht="19.899999999999999" thickBot="1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 ht="19.899999999999999" thickBot="1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 ht="19.899999999999999" thickBot="1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 ht="19.899999999999999" thickBot="1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 ht="19.899999999999999" thickBot="1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 ht="19.899999999999999" thickBot="1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 ht="19.899999999999999" thickBot="1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 ht="19.899999999999999" thickBot="1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 ht="19.899999999999999" thickBot="1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 ht="19.899999999999999" thickBot="1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 ht="19.899999999999999" thickBot="1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 ht="19.899999999999999" thickBot="1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 ht="19.899999999999999" thickBot="1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 ht="19.899999999999999" thickBot="1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 ht="19.899999999999999" thickBot="1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 ht="19.899999999999999" thickBot="1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 ht="19.899999999999999" thickBot="1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 ht="19.899999999999999" thickBot="1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 ht="19.899999999999999" thickBot="1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 ht="19.899999999999999" thickBot="1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 ht="19.899999999999999" thickBot="1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 ht="19.899999999999999" thickBot="1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 ht="19.899999999999999" thickBot="1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 ht="19.899999999999999" thickBot="1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 ht="19.899999999999999" thickBot="1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 ht="19.899999999999999" thickBot="1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 ht="19.899999999999999" thickBot="1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 ht="19.899999999999999" thickBot="1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 ht="19.899999999999999" thickBot="1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 ht="19.899999999999999" thickBot="1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 ht="19.899999999999999" thickBot="1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 ht="19.899999999999999" thickBot="1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 ht="19.899999999999999" thickBot="1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 ht="19.899999999999999" thickBot="1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 ht="19.899999999999999" thickBot="1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 ht="19.899999999999999" thickBot="1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 ht="19.899999999999999" thickBot="1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 ht="19.899999999999999" thickBot="1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 ht="19.899999999999999" thickBot="1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 ht="19.899999999999999" thickBot="1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 ht="19.899999999999999" thickBot="1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 ht="19.899999999999999" thickBot="1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 ht="19.899999999999999" thickBot="1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 ht="19.899999999999999" thickBot="1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 ht="19.899999999999999" thickBot="1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 ht="19.899999999999999" thickBot="1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 ht="19.899999999999999" thickBot="1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 ht="19.899999999999999" thickBot="1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 ht="19.899999999999999" thickBot="1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 ht="19.899999999999999" thickBot="1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 ht="19.899999999999999" thickBot="1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 ht="19.899999999999999" thickBot="1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 ht="19.899999999999999" thickBot="1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 ht="19.899999999999999" thickBot="1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 ht="19.899999999999999" thickBot="1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 ht="19.899999999999999" thickBot="1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 ht="19.899999999999999" thickBot="1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 ht="19.899999999999999" thickBot="1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 ht="19.899999999999999" thickBot="1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 ht="19.899999999999999" thickBot="1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 ht="19.899999999999999" thickBot="1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 ht="19.899999999999999" thickBot="1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 ht="19.899999999999999" thickBot="1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 ht="19.899999999999999" thickBot="1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 ht="19.899999999999999" thickBot="1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 ht="19.899999999999999" thickBot="1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 ht="19.899999999999999" thickBot="1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 ht="19.899999999999999" thickBot="1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 ht="19.899999999999999" thickBot="1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 ht="19.899999999999999" thickBot="1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 ht="19.899999999999999" thickBot="1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 ht="19.899999999999999" thickBot="1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 ht="19.899999999999999" thickBot="1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 ht="19.899999999999999" thickBot="1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 ht="19.899999999999999" thickBot="1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 ht="19.899999999999999" thickBot="1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 ht="19.899999999999999" thickBot="1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 ht="19.899999999999999" thickBot="1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 ht="19.899999999999999" thickBot="1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 ht="19.899999999999999" thickBot="1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 ht="19.899999999999999" thickBot="1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 ht="19.899999999999999" thickBot="1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 ht="19.899999999999999" thickBot="1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 ht="19.899999999999999" thickBot="1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 ht="19.899999999999999" thickBot="1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 ht="19.899999999999999" thickBot="1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 ht="19.899999999999999" thickBot="1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 ht="19.899999999999999" thickBot="1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 ht="19.899999999999999" thickBot="1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 ht="19.899999999999999" thickBot="1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 ht="19.899999999999999" thickBot="1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 ht="19.899999999999999" thickBot="1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 ht="19.899999999999999" thickBot="1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 ht="19.899999999999999" thickBot="1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 ht="19.899999999999999" thickBot="1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 ht="19.899999999999999" thickBot="1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 ht="19.899999999999999" thickBot="1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 ht="19.899999999999999" thickBot="1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 ht="19.899999999999999" thickBot="1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 ht="19.899999999999999" thickBot="1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 ht="19.899999999999999" thickBot="1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 ht="19.899999999999999" thickBot="1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 ht="19.899999999999999" thickBot="1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 ht="19.899999999999999" thickBot="1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 ht="19.899999999999999" thickBot="1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 ht="19.899999999999999" thickBot="1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 ht="19.899999999999999" thickBot="1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 ht="19.899999999999999" thickBot="1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 ht="19.899999999999999" thickBot="1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 ht="19.899999999999999" thickBot="1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 ht="19.899999999999999" thickBot="1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 ht="19.899999999999999" thickBot="1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 ht="19.899999999999999" thickBot="1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 ht="19.899999999999999" thickBot="1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 ht="19.899999999999999" thickBot="1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 ht="19.899999999999999" thickBot="1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 ht="19.899999999999999" thickBot="1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 ht="19.899999999999999" thickBot="1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 ht="19.899999999999999" thickBot="1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 ht="19.899999999999999" thickBot="1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</sheetData>
  <mergeCells count="9">
    <mergeCell ref="C82:K82"/>
    <mergeCell ref="C89:E89"/>
    <mergeCell ref="C48:E48"/>
    <mergeCell ref="C52:K52"/>
    <mergeCell ref="C1:K1"/>
    <mergeCell ref="C3:K3"/>
    <mergeCell ref="D18:E18"/>
    <mergeCell ref="C21:K21"/>
    <mergeCell ref="C79:E79"/>
  </mergeCells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3:AY65"/>
  <sheetViews>
    <sheetView showGridLines="0" zoomScale="60" zoomScaleNormal="60" workbookViewId="0">
      <pane xSplit="2" ySplit="4" topLeftCell="C5" activePane="bottomRight" state="frozen"/>
      <selection pane="bottomRight" activeCell="C5" sqref="C5:F5"/>
      <selection pane="bottomLeft" activeCell="A5" sqref="A5"/>
      <selection pane="topRight" activeCell="C1" sqref="C1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3.33203125" style="580" customWidth="1"/>
    <col min="4" max="4" width="10.77734375" style="580" customWidth="1"/>
    <col min="5" max="5" width="9.109375" style="580" customWidth="1"/>
    <col min="6" max="7" width="9.21875" style="580" customWidth="1"/>
    <col min="8" max="8" width="10.109375" style="580" customWidth="1"/>
    <col min="9" max="9" width="8.332031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8.109375" style="727" customWidth="1"/>
    <col min="19" max="19" width="8.44140625" style="727" customWidth="1"/>
    <col min="20" max="20" width="7.33203125" style="727" customWidth="1"/>
    <col min="21" max="21" width="9" style="727" customWidth="1"/>
    <col min="22" max="22" width="9.6640625" style="580" customWidth="1"/>
    <col min="23" max="23" width="7.77734375" style="580" customWidth="1"/>
    <col min="24" max="24" width="9" style="580" customWidth="1"/>
    <col min="25" max="25" width="9.44140625" style="580" customWidth="1"/>
    <col min="26" max="26" width="8.77734375" style="727" customWidth="1"/>
    <col min="27" max="27" width="9.5546875" style="727" customWidth="1"/>
    <col min="28" max="30" width="10.6640625" style="727" customWidth="1"/>
    <col min="31" max="32" width="11.77734375" style="580" customWidth="1"/>
    <col min="33" max="33" width="11.109375" style="580" bestFit="1" customWidth="1"/>
    <col min="34" max="34" width="11.109375" style="580" customWidth="1"/>
    <col min="35" max="35" width="9.21875" style="580"/>
    <col min="36" max="36" width="14.6640625" style="580" customWidth="1"/>
    <col min="37" max="38" width="14.77734375" style="580" customWidth="1"/>
    <col min="39" max="40" width="14.33203125" style="580" customWidth="1"/>
    <col min="41" max="41" width="14.6640625" style="580" customWidth="1"/>
    <col min="42" max="42" width="13.77734375" style="580" customWidth="1"/>
    <col min="43" max="43" width="11.5546875" style="580" customWidth="1"/>
    <col min="44" max="16384" width="9.21875" style="580"/>
  </cols>
  <sheetData>
    <row r="3" spans="2:51" ht="25.15" thickBot="1">
      <c r="AJ3" s="142"/>
      <c r="AK3" s="142"/>
      <c r="AL3" s="1227" t="s">
        <v>0</v>
      </c>
      <c r="AM3" s="1227"/>
      <c r="AN3" s="1227"/>
      <c r="AO3" s="1227"/>
      <c r="AP3" s="1227"/>
    </row>
    <row r="4" spans="2:51" ht="96" customHeight="1" thickBot="1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425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713" t="s">
        <v>432</v>
      </c>
      <c r="O4" s="714" t="s">
        <v>433</v>
      </c>
      <c r="P4" s="742" t="s">
        <v>434</v>
      </c>
      <c r="Q4" s="724" t="s">
        <v>435</v>
      </c>
      <c r="R4" s="744" t="s">
        <v>436</v>
      </c>
      <c r="S4" s="713" t="s">
        <v>437</v>
      </c>
      <c r="T4" s="713" t="s">
        <v>438</v>
      </c>
      <c r="U4" s="724" t="s">
        <v>439</v>
      </c>
      <c r="V4" s="744" t="s">
        <v>440</v>
      </c>
      <c r="W4" s="713" t="s">
        <v>441</v>
      </c>
      <c r="X4" s="713" t="s">
        <v>442</v>
      </c>
      <c r="Y4" s="714" t="s">
        <v>443</v>
      </c>
      <c r="Z4" s="715" t="s">
        <v>390</v>
      </c>
      <c r="AA4" s="713" t="s">
        <v>391</v>
      </c>
      <c r="AB4" s="713" t="s">
        <v>392</v>
      </c>
      <c r="AC4" s="724" t="s">
        <v>393</v>
      </c>
      <c r="AD4" s="744" t="s">
        <v>444</v>
      </c>
      <c r="AE4" s="713" t="s">
        <v>445</v>
      </c>
      <c r="AF4" s="713" t="s">
        <v>446</v>
      </c>
      <c r="AG4" s="724" t="s">
        <v>394</v>
      </c>
      <c r="AH4" s="728"/>
      <c r="AJ4" s="142"/>
      <c r="AK4" s="143" t="s">
        <v>14</v>
      </c>
      <c r="AL4" s="143" t="s">
        <v>147</v>
      </c>
      <c r="AM4" s="143" t="s">
        <v>147</v>
      </c>
      <c r="AN4" s="143" t="s">
        <v>147</v>
      </c>
      <c r="AO4" s="143" t="s">
        <v>147</v>
      </c>
      <c r="AP4" s="143" t="s">
        <v>147</v>
      </c>
    </row>
    <row r="5" spans="2:51" ht="41.25" customHeight="1">
      <c r="B5" s="716">
        <v>44378</v>
      </c>
      <c r="C5" s="749">
        <v>21.64</v>
      </c>
      <c r="D5" s="750">
        <v>15.132</v>
      </c>
      <c r="E5" s="751">
        <v>8.9</v>
      </c>
      <c r="F5" s="749">
        <v>3.77</v>
      </c>
      <c r="G5" s="749">
        <f>SUM(Table25234678910111012131214121516[[#This Row],[Jones Creek Target (Mbopd)]:[Egwa Target (Mbopd)]])</f>
        <v>49.442</v>
      </c>
      <c r="H5" s="752">
        <v>19.414999999999999</v>
      </c>
      <c r="I5" s="752">
        <v>15.172000000000001</v>
      </c>
      <c r="J5" s="752">
        <v>0</v>
      </c>
      <c r="K5" s="752">
        <v>3.1520000000000001</v>
      </c>
      <c r="L5" s="753">
        <f>H5+I5+J5+K5</f>
        <v>37.739000000000004</v>
      </c>
      <c r="M5" s="721">
        <v>28.72</v>
      </c>
      <c r="N5" s="746">
        <f>Table25234678910111012131214121516[[#This Row],[Jones Creek Target (Mbopd)]]-Table25234678910111012131214121516[[#This Row],[Jones Creek (Mbopd)]]</f>
        <v>2.2250000000000014</v>
      </c>
      <c r="O5" s="723">
        <f>Table25234678910111012131214121516[[#This Row],[Odidi Target (Mbopd)]]-Table25234678910111012131214121516[[#This Row],[Odidi (Mbopd)]]</f>
        <v>-4.0000000000000924E-2</v>
      </c>
      <c r="P5" s="721">
        <f>Table25234678910111012131214121516[[#This Row],[Batan Target (Mbopd)]]-Table25234678910111012131214121516[[#This Row],[Batan (Mbopd)]]</f>
        <v>8.9</v>
      </c>
      <c r="Q5" s="747">
        <f>Table25234678910111012131214121516[[#This Row],[Egwa Target (Mbopd)]]-Table25234678910111012131214121516[[#This Row],[Egwa (Mbopd)]]</f>
        <v>0.61799999999999988</v>
      </c>
      <c r="R5" s="745">
        <v>9.43</v>
      </c>
      <c r="S5" s="723">
        <v>33.53</v>
      </c>
      <c r="T5" s="723">
        <v>0</v>
      </c>
      <c r="U5" s="747">
        <v>2.29</v>
      </c>
      <c r="V5" s="746">
        <v>0.84</v>
      </c>
      <c r="W5" s="723">
        <v>0</v>
      </c>
      <c r="X5" s="723">
        <v>0</v>
      </c>
      <c r="Y5" s="721">
        <v>0</v>
      </c>
      <c r="Z5" s="746">
        <f>Table25234678910111012131214121516[[#This Row],[J/C Prod gas (MMscf)]]-Table25234678910111012131214121516[[#This Row],[J/C Utilised gas (MMscf)]]</f>
        <v>8.59</v>
      </c>
      <c r="AA5" s="723">
        <f>Table25234678910111012131214121516[[#This Row],[Odid Prod gas (MMscf)]]-Table25234678910111012131214121516[[#This Row],[Gas Export (MMscf/d)]]-Table25234678910111012131214121516[[#This Row],[Odid Utilised gas (MMscf)]]</f>
        <v>4.8100000000000023</v>
      </c>
      <c r="AB5" s="723">
        <f>Table25234678910111012131214121516[[#This Row],[Batn Prod gas (MMscf)]]-Table25234678910111012131214121516[[#This Row],[Batn Utilised gas (MMscf)]]</f>
        <v>0</v>
      </c>
      <c r="AC5" s="747">
        <f>Table25234678910111012131214121516[[#This Row],[Egwa Prod gas (MMscf)]]</f>
        <v>2.29</v>
      </c>
      <c r="AD5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45.25</v>
      </c>
      <c r="AE5" s="723">
        <f>Table25234678910111012131214121516[[#This Row],[Gas Export (MMscf/d)]]</f>
        <v>28.72</v>
      </c>
      <c r="AF5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5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15.690000000000001</v>
      </c>
      <c r="AH5" s="142"/>
      <c r="AJ5" s="144"/>
      <c r="AK5" s="148" t="s">
        <v>148</v>
      </c>
      <c r="AL5" s="152">
        <f>B36</f>
        <v>44409</v>
      </c>
      <c r="AM5" s="152">
        <f>AL5+1</f>
        <v>44410</v>
      </c>
      <c r="AN5" s="152">
        <f>AM5+1</f>
        <v>44411</v>
      </c>
      <c r="AO5" s="152">
        <f>AN5+1</f>
        <v>44412</v>
      </c>
      <c r="AP5" s="152">
        <f>AO5+1</f>
        <v>44413</v>
      </c>
    </row>
    <row r="6" spans="2:51" ht="21.6">
      <c r="B6" s="716">
        <v>44379</v>
      </c>
      <c r="C6" s="749">
        <v>21.64</v>
      </c>
      <c r="D6" s="750">
        <v>15.132</v>
      </c>
      <c r="E6" s="751">
        <v>8.9</v>
      </c>
      <c r="F6" s="749">
        <v>3.77</v>
      </c>
      <c r="G6" s="749">
        <f>SUM(Table25234678910111012131214121516[[#This Row],[Jones Creek Target (Mbopd)]:[Egwa Target (Mbopd)]])</f>
        <v>49.442</v>
      </c>
      <c r="H6" s="752">
        <v>18.829999999999998</v>
      </c>
      <c r="I6" s="752">
        <v>15.548</v>
      </c>
      <c r="J6" s="752">
        <v>0</v>
      </c>
      <c r="K6" s="752">
        <v>3.13</v>
      </c>
      <c r="L6" s="753">
        <f>H6+I6+J6+K6</f>
        <v>37.508000000000003</v>
      </c>
      <c r="M6" s="721">
        <v>28.65</v>
      </c>
      <c r="N6" s="746">
        <f>Table25234678910111012131214121516[[#This Row],[Jones Creek Target (Mbopd)]]-Table25234678910111012131214121516[[#This Row],[Jones Creek (Mbopd)]]</f>
        <v>2.8100000000000023</v>
      </c>
      <c r="O6" s="723">
        <f>Table25234678910111012131214121516[[#This Row],[Odidi Target (Mbopd)]]-Table25234678910111012131214121516[[#This Row],[Odidi (Mbopd)]]</f>
        <v>-0.41600000000000037</v>
      </c>
      <c r="P6" s="721">
        <f>Table25234678910111012131214121516[[#This Row],[Batan Target (Mbopd)]]-Table25234678910111012131214121516[[#This Row],[Batan (Mbopd)]]</f>
        <v>8.9</v>
      </c>
      <c r="Q6" s="747">
        <f>Table25234678910111012131214121516[[#This Row],[Egwa Target (Mbopd)]]-Table25234678910111012131214121516[[#This Row],[Egwa (Mbopd)]]</f>
        <v>0.64000000000000012</v>
      </c>
      <c r="R6" s="745">
        <v>9.4499999999999993</v>
      </c>
      <c r="S6" s="723">
        <v>36.58</v>
      </c>
      <c r="T6" s="723">
        <v>0</v>
      </c>
      <c r="U6" s="747">
        <v>2.34</v>
      </c>
      <c r="V6" s="746">
        <v>0.84</v>
      </c>
      <c r="W6" s="723">
        <v>0</v>
      </c>
      <c r="X6" s="723">
        <v>0</v>
      </c>
      <c r="Y6" s="721">
        <v>0</v>
      </c>
      <c r="Z6" s="746">
        <f>Table25234678910111012131214121516[[#This Row],[J/C Prod gas (MMscf)]]-Table25234678910111012131214121516[[#This Row],[J/C Utilised gas (MMscf)]]</f>
        <v>8.61</v>
      </c>
      <c r="AA6" s="723">
        <f>Table25234678910111012131214121516[[#This Row],[Odid Prod gas (MMscf)]]-Table25234678910111012131214121516[[#This Row],[Gas Export (MMscf/d)]]-Table25234678910111012131214121516[[#This Row],[Odid Utilised gas (MMscf)]]</f>
        <v>7.93</v>
      </c>
      <c r="AB6" s="723">
        <f>Table25234678910111012131214121516[[#This Row],[Batn Prod gas (MMscf)]]-Table25234678910111012131214121516[[#This Row],[Batn Utilised gas (MMscf)]]</f>
        <v>0</v>
      </c>
      <c r="AC6" s="747">
        <f>Table25234678910111012131214121516[[#This Row],[Egwa Prod gas (MMscf)]]</f>
        <v>2.34</v>
      </c>
      <c r="AD6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48.370000000000005</v>
      </c>
      <c r="AE6" s="723">
        <f>Table25234678910111012131214121516[[#This Row],[Gas Export (MMscf/d)]]</f>
        <v>28.65</v>
      </c>
      <c r="AF6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6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18.88</v>
      </c>
      <c r="AH6" s="142"/>
      <c r="AJ6" s="145" t="s">
        <v>17</v>
      </c>
      <c r="AK6" s="272">
        <v>21.64</v>
      </c>
      <c r="AL6" s="270">
        <v>17.625</v>
      </c>
      <c r="AM6" s="269">
        <v>18.175000000000001</v>
      </c>
      <c r="AN6" s="270">
        <v>18.175000000000001</v>
      </c>
      <c r="AO6" s="267">
        <v>19.103000000000002</v>
      </c>
      <c r="AP6" s="270">
        <v>18.597999999999999</v>
      </c>
      <c r="AR6" s="297"/>
      <c r="AS6" s="452"/>
      <c r="AT6" s="452"/>
      <c r="AU6" s="729"/>
      <c r="AV6" s="452"/>
      <c r="AW6" s="452"/>
      <c r="AX6" s="729"/>
      <c r="AY6" s="452"/>
    </row>
    <row r="7" spans="2:51" ht="21.6">
      <c r="B7" s="716">
        <v>44380</v>
      </c>
      <c r="C7" s="749">
        <v>21.64</v>
      </c>
      <c r="D7" s="750">
        <v>15.132</v>
      </c>
      <c r="E7" s="751">
        <v>8.9</v>
      </c>
      <c r="F7" s="749">
        <v>3.77</v>
      </c>
      <c r="G7" s="749">
        <f>SUM(Table25234678910111012131214121516[[#This Row],[Jones Creek Target (Mbopd)]:[Egwa Target (Mbopd)]])</f>
        <v>49.442</v>
      </c>
      <c r="H7" s="752">
        <v>18.43</v>
      </c>
      <c r="I7" s="752">
        <v>16.366</v>
      </c>
      <c r="J7" s="752">
        <v>0</v>
      </c>
      <c r="K7" s="752">
        <v>3.1349999999999998</v>
      </c>
      <c r="L7" s="753">
        <f>H7+I7+J7+K7</f>
        <v>37.930999999999997</v>
      </c>
      <c r="M7" s="721">
        <v>29</v>
      </c>
      <c r="N7" s="746">
        <f>Table25234678910111012131214121516[[#This Row],[Jones Creek Target (Mbopd)]]-Table25234678910111012131214121516[[#This Row],[Jones Creek (Mbopd)]]</f>
        <v>3.2100000000000009</v>
      </c>
      <c r="O7" s="723">
        <f>Table25234678910111012131214121516[[#This Row],[Odidi Target (Mbopd)]]-Table25234678910111012131214121516[[#This Row],[Odidi (Mbopd)]]</f>
        <v>-1.234</v>
      </c>
      <c r="P7" s="721">
        <f>Table25234678910111012131214121516[[#This Row],[Batan Target (Mbopd)]]-Table25234678910111012131214121516[[#This Row],[Batan (Mbopd)]]</f>
        <v>8.9</v>
      </c>
      <c r="Q7" s="747">
        <f>Table25234678910111012131214121516[[#This Row],[Egwa Target (Mbopd)]]-Table25234678910111012131214121516[[#This Row],[Egwa (Mbopd)]]</f>
        <v>0.63500000000000023</v>
      </c>
      <c r="R7" s="745">
        <v>9.43</v>
      </c>
      <c r="S7" s="723">
        <v>37.979999999999997</v>
      </c>
      <c r="T7" s="723">
        <v>0</v>
      </c>
      <c r="U7" s="747">
        <v>2.38</v>
      </c>
      <c r="V7" s="746">
        <v>0.84</v>
      </c>
      <c r="W7" s="723">
        <v>0</v>
      </c>
      <c r="X7" s="723">
        <v>0</v>
      </c>
      <c r="Y7" s="721">
        <v>0</v>
      </c>
      <c r="Z7" s="746">
        <f>Table25234678910111012131214121516[[#This Row],[J/C Prod gas (MMscf)]]-Table25234678910111012131214121516[[#This Row],[J/C Utilised gas (MMscf)]]</f>
        <v>8.59</v>
      </c>
      <c r="AA7" s="723">
        <f>Table25234678910111012131214121516[[#This Row],[Odid Prod gas (MMscf)]]-Table25234678910111012131214121516[[#This Row],[Gas Export (MMscf/d)]]-Table25234678910111012131214121516[[#This Row],[Odid Utilised gas (MMscf)]]</f>
        <v>8.9799999999999969</v>
      </c>
      <c r="AB7" s="723">
        <f>Table25234678910111012131214121516[[#This Row],[Batn Prod gas (MMscf)]]-Table25234678910111012131214121516[[#This Row],[Batn Utilised gas (MMscf)]]</f>
        <v>0</v>
      </c>
      <c r="AC7" s="747">
        <f>Table25234678910111012131214121516[[#This Row],[Egwa Prod gas (MMscf)]]</f>
        <v>2.38</v>
      </c>
      <c r="AD7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49.79</v>
      </c>
      <c r="AE7" s="723">
        <f>Table25234678910111012131214121516[[#This Row],[Gas Export (MMscf/d)]]</f>
        <v>29</v>
      </c>
      <c r="AF7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7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19.949999999999996</v>
      </c>
      <c r="AH7" s="142"/>
      <c r="AJ7" s="145" t="s">
        <v>19</v>
      </c>
      <c r="AK7" s="272">
        <v>15.14</v>
      </c>
      <c r="AL7" s="270">
        <v>14.404</v>
      </c>
      <c r="AM7" s="269">
        <v>12.17</v>
      </c>
      <c r="AN7" s="270">
        <v>11.295</v>
      </c>
      <c r="AO7" s="269">
        <v>11.131</v>
      </c>
      <c r="AP7" s="270">
        <v>11.978999999999999</v>
      </c>
      <c r="AR7" s="297"/>
      <c r="AS7" s="454"/>
      <c r="AT7" s="454"/>
      <c r="AU7" s="454"/>
      <c r="AV7" s="454"/>
      <c r="AW7" s="454"/>
      <c r="AX7" s="454"/>
      <c r="AY7" s="454"/>
    </row>
    <row r="8" spans="2:51" ht="21.6">
      <c r="B8" s="716">
        <v>44381</v>
      </c>
      <c r="C8" s="749">
        <v>21.64</v>
      </c>
      <c r="D8" s="750">
        <v>15.132</v>
      </c>
      <c r="E8" s="751">
        <v>8.9</v>
      </c>
      <c r="F8" s="749">
        <v>3.77</v>
      </c>
      <c r="G8" s="749">
        <f>SUM(Table25234678910111012131214121516[[#This Row],[Jones Creek Target (Mbopd)]:[Egwa Target (Mbopd)]])</f>
        <v>49.442</v>
      </c>
      <c r="H8" s="752">
        <v>18.134</v>
      </c>
      <c r="I8" s="752">
        <v>16.87</v>
      </c>
      <c r="J8" s="752">
        <v>0</v>
      </c>
      <c r="K8" s="754">
        <v>3.1379999999999999</v>
      </c>
      <c r="L8" s="753">
        <f>H8+I8+J8+K8</f>
        <v>38.142000000000003</v>
      </c>
      <c r="M8" s="721">
        <v>29</v>
      </c>
      <c r="N8" s="746">
        <f>Table25234678910111012131214121516[[#This Row],[Jones Creek Target (Mbopd)]]-Table25234678910111012131214121516[[#This Row],[Jones Creek (Mbopd)]]</f>
        <v>3.5060000000000002</v>
      </c>
      <c r="O8" s="723">
        <f>Table25234678910111012131214121516[[#This Row],[Odidi Target (Mbopd)]]-Table25234678910111012131214121516[[#This Row],[Odidi (Mbopd)]]</f>
        <v>-1.7380000000000013</v>
      </c>
      <c r="P8" s="721">
        <f>Table25234678910111012131214121516[[#This Row],[Batan Target (Mbopd)]]-Table25234678910111012131214121516[[#This Row],[Batan (Mbopd)]]</f>
        <v>8.9</v>
      </c>
      <c r="Q8" s="747">
        <f>Table25234678910111012131214121516[[#This Row],[Egwa Target (Mbopd)]]-Table25234678910111012131214121516[[#This Row],[Egwa (Mbopd)]]</f>
        <v>0.63200000000000012</v>
      </c>
      <c r="R8" s="745">
        <v>9.43</v>
      </c>
      <c r="S8" s="723">
        <v>38.07</v>
      </c>
      <c r="T8" s="723">
        <v>0</v>
      </c>
      <c r="U8" s="747">
        <v>2.44</v>
      </c>
      <c r="V8" s="746">
        <v>0.84</v>
      </c>
      <c r="W8" s="723">
        <v>0</v>
      </c>
      <c r="X8" s="723">
        <v>0</v>
      </c>
      <c r="Y8" s="721">
        <v>0</v>
      </c>
      <c r="Z8" s="746">
        <f>Table25234678910111012131214121516[[#This Row],[J/C Prod gas (MMscf)]]-Table25234678910111012131214121516[[#This Row],[J/C Utilised gas (MMscf)]]</f>
        <v>8.59</v>
      </c>
      <c r="AA8" s="723">
        <f>Table25234678910111012131214121516[[#This Row],[Odid Prod gas (MMscf)]]-Table25234678910111012131214121516[[#This Row],[Gas Export (MMscf/d)]]-Table25234678910111012131214121516[[#This Row],[Odid Utilised gas (MMscf)]]</f>
        <v>9.07</v>
      </c>
      <c r="AB8" s="723">
        <f>Table25234678910111012131214121516[[#This Row],[Batn Prod gas (MMscf)]]-Table25234678910111012131214121516[[#This Row],[Batn Utilised gas (MMscf)]]</f>
        <v>0</v>
      </c>
      <c r="AC8" s="747">
        <f>Table25234678910111012131214121516[[#This Row],[Egwa Prod gas (MMscf)]]</f>
        <v>2.44</v>
      </c>
      <c r="AD8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49.94</v>
      </c>
      <c r="AE8" s="723">
        <f>Table25234678910111012131214121516[[#This Row],[Gas Export (MMscf/d)]]</f>
        <v>29</v>
      </c>
      <c r="AF8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8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20.100000000000001</v>
      </c>
      <c r="AH8" s="142"/>
      <c r="AJ8" s="145" t="s">
        <v>16</v>
      </c>
      <c r="AK8" s="272">
        <v>8.9</v>
      </c>
      <c r="AL8" s="268">
        <v>1.8180000000000001</v>
      </c>
      <c r="AM8" s="267">
        <v>1.722</v>
      </c>
      <c r="AN8" s="268">
        <v>1.722</v>
      </c>
      <c r="AO8" s="267">
        <v>1.732</v>
      </c>
      <c r="AP8" s="268">
        <v>1.7190000000000001</v>
      </c>
      <c r="AR8" s="298"/>
      <c r="AS8" s="452"/>
      <c r="AT8" s="452"/>
      <c r="AU8" s="452"/>
      <c r="AV8" s="452"/>
      <c r="AW8" s="452"/>
      <c r="AX8" s="452"/>
      <c r="AY8" s="452"/>
    </row>
    <row r="9" spans="2:51" ht="21.6">
      <c r="B9" s="716">
        <v>44382</v>
      </c>
      <c r="C9" s="749">
        <v>21.64</v>
      </c>
      <c r="D9" s="750">
        <v>15.132</v>
      </c>
      <c r="E9" s="751">
        <v>8.9</v>
      </c>
      <c r="F9" s="749">
        <v>3.77</v>
      </c>
      <c r="G9" s="749">
        <f>SUM(Table25234678910111012131214121516[[#This Row],[Jones Creek Target (Mbopd)]:[Egwa Target (Mbopd)]])</f>
        <v>49.442</v>
      </c>
      <c r="H9" s="752">
        <v>18.545999999999999</v>
      </c>
      <c r="I9" s="752">
        <v>16.957999999999998</v>
      </c>
      <c r="J9" s="752">
        <v>0</v>
      </c>
      <c r="K9" s="752">
        <v>3.133</v>
      </c>
      <c r="L9" s="753">
        <f>H9+I9+J9+K9</f>
        <v>38.637</v>
      </c>
      <c r="M9" s="721">
        <v>27.69</v>
      </c>
      <c r="N9" s="746">
        <f>Table25234678910111012131214121516[[#This Row],[Jones Creek Target (Mbopd)]]-Table25234678910111012131214121516[[#This Row],[Jones Creek (Mbopd)]]</f>
        <v>3.0940000000000012</v>
      </c>
      <c r="O9" s="723">
        <f>Table25234678910111012131214121516[[#This Row],[Odidi Target (Mbopd)]]-Table25234678910111012131214121516[[#This Row],[Odidi (Mbopd)]]</f>
        <v>-1.8259999999999987</v>
      </c>
      <c r="P9" s="721">
        <f>Table25234678910111012131214121516[[#This Row],[Batan Target (Mbopd)]]-Table25234678910111012131214121516[[#This Row],[Batan (Mbopd)]]</f>
        <v>8.9</v>
      </c>
      <c r="Q9" s="747">
        <f>Table25234678910111012131214121516[[#This Row],[Egwa Target (Mbopd)]]-Table25234678910111012131214121516[[#This Row],[Egwa (Mbopd)]]</f>
        <v>0.63700000000000001</v>
      </c>
      <c r="R9" s="745">
        <v>9.43</v>
      </c>
      <c r="S9" s="723">
        <v>38.07</v>
      </c>
      <c r="T9" s="723">
        <v>0</v>
      </c>
      <c r="U9" s="747">
        <v>2.06</v>
      </c>
      <c r="V9" s="746">
        <v>0.84</v>
      </c>
      <c r="W9" s="723">
        <v>0</v>
      </c>
      <c r="X9" s="723">
        <v>0</v>
      </c>
      <c r="Y9" s="721">
        <v>0</v>
      </c>
      <c r="Z9" s="746">
        <f>Table25234678910111012131214121516[[#This Row],[J/C Prod gas (MMscf)]]-Table25234678910111012131214121516[[#This Row],[J/C Utilised gas (MMscf)]]</f>
        <v>8.59</v>
      </c>
      <c r="AA9" s="723">
        <f>Table25234678910111012131214121516[[#This Row],[Odid Prod gas (MMscf)]]-Table25234678910111012131214121516[[#This Row],[Gas Export (MMscf/d)]]-Table25234678910111012131214121516[[#This Row],[Odid Utilised gas (MMscf)]]</f>
        <v>10.379999999999999</v>
      </c>
      <c r="AB9" s="723">
        <f>Table25234678910111012131214121516[[#This Row],[Batn Prod gas (MMscf)]]-Table25234678910111012131214121516[[#This Row],[Batn Utilised gas (MMscf)]]</f>
        <v>0</v>
      </c>
      <c r="AC9" s="747">
        <f>Table25234678910111012131214121516[[#This Row],[Egwa Prod gas (MMscf)]]</f>
        <v>2.06</v>
      </c>
      <c r="AD9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49.56</v>
      </c>
      <c r="AE9" s="723">
        <f>Table25234678910111012131214121516[[#This Row],[Gas Export (MMscf/d)]]</f>
        <v>27.69</v>
      </c>
      <c r="AF9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9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21.03</v>
      </c>
      <c r="AH9" s="142"/>
      <c r="AJ9" s="145" t="s">
        <v>18</v>
      </c>
      <c r="AK9" s="273">
        <v>3.77</v>
      </c>
      <c r="AL9" s="270">
        <v>2.8039999999999998</v>
      </c>
      <c r="AM9" s="269">
        <v>2.7959999999999998</v>
      </c>
      <c r="AN9" s="270">
        <v>2.7959999999999998</v>
      </c>
      <c r="AO9" s="269">
        <v>2.8010000000000002</v>
      </c>
      <c r="AP9" s="270">
        <v>2.8580000000000001</v>
      </c>
      <c r="AS9" s="454"/>
      <c r="AT9" s="454"/>
      <c r="AU9" s="454"/>
      <c r="AV9" s="454"/>
      <c r="AW9" s="454"/>
      <c r="AX9" s="454"/>
      <c r="AY9" s="454"/>
    </row>
    <row r="10" spans="2:51" ht="21.6">
      <c r="B10" s="716">
        <v>44383</v>
      </c>
      <c r="C10" s="749">
        <v>21.64</v>
      </c>
      <c r="D10" s="750">
        <v>15.132</v>
      </c>
      <c r="E10" s="751">
        <v>8.9</v>
      </c>
      <c r="F10" s="749">
        <v>3.77</v>
      </c>
      <c r="G10" s="749">
        <f>SUM(Table25234678910111012131214121516[[#This Row],[Jones Creek Target (Mbopd)]:[Egwa Target (Mbopd)]])</f>
        <v>49.442</v>
      </c>
      <c r="H10" s="752">
        <v>18.294</v>
      </c>
      <c r="I10" s="752">
        <v>17.181000000000001</v>
      </c>
      <c r="J10" s="752">
        <v>0</v>
      </c>
      <c r="K10" s="754">
        <v>3.1120000000000001</v>
      </c>
      <c r="L10" s="753">
        <f t="shared" ref="L10:L18" si="0">H10+I10+J10+K10</f>
        <v>38.587000000000003</v>
      </c>
      <c r="M10" s="721">
        <v>22.76</v>
      </c>
      <c r="N10" s="746">
        <f>Table25234678910111012131214121516[[#This Row],[Jones Creek Target (Mbopd)]]-Table25234678910111012131214121516[[#This Row],[Jones Creek (Mbopd)]]</f>
        <v>3.3460000000000001</v>
      </c>
      <c r="O10" s="723">
        <f>Table25234678910111012131214121516[[#This Row],[Odidi Target (Mbopd)]]-Table25234678910111012131214121516[[#This Row],[Odidi (Mbopd)]]</f>
        <v>-2.0490000000000013</v>
      </c>
      <c r="P10" s="721">
        <f>Table25234678910111012131214121516[[#This Row],[Batan Target (Mbopd)]]-Table25234678910111012131214121516[[#This Row],[Batan (Mbopd)]]</f>
        <v>8.9</v>
      </c>
      <c r="Q10" s="747">
        <f>Table25234678910111012131214121516[[#This Row],[Egwa Target (Mbopd)]]-Table25234678910111012131214121516[[#This Row],[Egwa (Mbopd)]]</f>
        <v>0.65799999999999992</v>
      </c>
      <c r="R10" s="745">
        <v>9.43</v>
      </c>
      <c r="S10" s="723">
        <v>38.07</v>
      </c>
      <c r="T10" s="723">
        <v>0</v>
      </c>
      <c r="U10" s="747">
        <v>2.54</v>
      </c>
      <c r="V10" s="746">
        <v>0.84</v>
      </c>
      <c r="W10" s="723">
        <v>0</v>
      </c>
      <c r="X10" s="723">
        <v>0</v>
      </c>
      <c r="Y10" s="721">
        <v>0</v>
      </c>
      <c r="Z10" s="746">
        <f>Table25234678910111012131214121516[[#This Row],[J/C Prod gas (MMscf)]]-Table25234678910111012131214121516[[#This Row],[J/C Utilised gas (MMscf)]]</f>
        <v>8.59</v>
      </c>
      <c r="AA10" s="723">
        <f>Table25234678910111012131214121516[[#This Row],[Odid Prod gas (MMscf)]]-Table25234678910111012131214121516[[#This Row],[Gas Export (MMscf/d)]]-Table25234678910111012131214121516[[#This Row],[Odid Utilised gas (MMscf)]]</f>
        <v>15.309999999999999</v>
      </c>
      <c r="AB10" s="723">
        <f>Table25234678910111012131214121516[[#This Row],[Batn Prod gas (MMscf)]]-Table25234678910111012131214121516[[#This Row],[Batn Utilised gas (MMscf)]]</f>
        <v>0</v>
      </c>
      <c r="AC10" s="747">
        <f>Table25234678910111012131214121516[[#This Row],[Egwa Prod gas (MMscf)]]</f>
        <v>2.54</v>
      </c>
      <c r="AD10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50.04</v>
      </c>
      <c r="AE10" s="723">
        <f>Table25234678910111012131214121516[[#This Row],[Gas Export (MMscf/d)]]</f>
        <v>22.76</v>
      </c>
      <c r="AF10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10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26.439999999999998</v>
      </c>
      <c r="AH10" s="142"/>
      <c r="AJ10" s="145" t="s">
        <v>447</v>
      </c>
      <c r="AK10" s="273">
        <f>SUM(AK6:AK9)</f>
        <v>49.45</v>
      </c>
      <c r="AL10" s="270">
        <v>36.650999999999996</v>
      </c>
      <c r="AM10" s="269">
        <v>34.863</v>
      </c>
      <c r="AN10" s="270">
        <v>34.863</v>
      </c>
      <c r="AO10" s="269">
        <v>34.767000000000003</v>
      </c>
      <c r="AP10" s="270">
        <v>35.154000000000003</v>
      </c>
      <c r="AS10" s="729"/>
      <c r="AT10" s="729"/>
      <c r="AU10" s="729"/>
      <c r="AV10" s="729"/>
      <c r="AW10" s="452"/>
      <c r="AX10" s="729"/>
      <c r="AY10" s="452"/>
    </row>
    <row r="11" spans="2:51" ht="21.6">
      <c r="B11" s="716">
        <v>44384</v>
      </c>
      <c r="C11" s="749">
        <v>21.64</v>
      </c>
      <c r="D11" s="750">
        <v>15.132</v>
      </c>
      <c r="E11" s="751">
        <v>8.9</v>
      </c>
      <c r="F11" s="749">
        <v>3.77</v>
      </c>
      <c r="G11" s="749">
        <f>SUM(Table25234678910111012131214121516[[#This Row],[Jones Creek Target (Mbopd)]:[Egwa Target (Mbopd)]])</f>
        <v>49.442</v>
      </c>
      <c r="H11" s="752">
        <v>18.492000000000001</v>
      </c>
      <c r="I11" s="752">
        <v>17.045000000000002</v>
      </c>
      <c r="J11" s="752">
        <v>0</v>
      </c>
      <c r="K11" s="752">
        <v>3.109</v>
      </c>
      <c r="L11" s="753">
        <f t="shared" si="0"/>
        <v>38.646000000000008</v>
      </c>
      <c r="M11" s="721">
        <v>24.260999999999999</v>
      </c>
      <c r="N11" s="746">
        <f>Table25234678910111012131214121516[[#This Row],[Jones Creek Target (Mbopd)]]-Table25234678910111012131214121516[[#This Row],[Jones Creek (Mbopd)]]</f>
        <v>3.1479999999999997</v>
      </c>
      <c r="O11" s="723">
        <f>Table25234678910111012131214121516[[#This Row],[Odidi Target (Mbopd)]]-Table25234678910111012131214121516[[#This Row],[Odidi (Mbopd)]]</f>
        <v>-1.913000000000002</v>
      </c>
      <c r="P11" s="721">
        <f>Table25234678910111012131214121516[[#This Row],[Batan Target (Mbopd)]]-Table25234678910111012131214121516[[#This Row],[Batan (Mbopd)]]</f>
        <v>8.9</v>
      </c>
      <c r="Q11" s="747">
        <f>Table25234678910111012131214121516[[#This Row],[Egwa Target (Mbopd)]]-Table25234678910111012131214121516[[#This Row],[Egwa (Mbopd)]]</f>
        <v>0.66100000000000003</v>
      </c>
      <c r="R11" s="745">
        <v>6.274</v>
      </c>
      <c r="S11" s="723">
        <v>38.07</v>
      </c>
      <c r="T11" s="723">
        <v>0</v>
      </c>
      <c r="U11" s="747">
        <v>2.7010000000000001</v>
      </c>
      <c r="V11" s="746">
        <v>0.84</v>
      </c>
      <c r="W11" s="723">
        <v>0</v>
      </c>
      <c r="X11" s="723">
        <v>0</v>
      </c>
      <c r="Y11" s="721">
        <v>0</v>
      </c>
      <c r="Z11" s="746">
        <f>Table25234678910111012131214121516[[#This Row],[J/C Prod gas (MMscf)]]-Table25234678910111012131214121516[[#This Row],[J/C Utilised gas (MMscf)]]</f>
        <v>5.4340000000000002</v>
      </c>
      <c r="AA11" s="723">
        <f>Table25234678910111012131214121516[[#This Row],[Odid Prod gas (MMscf)]]-Table25234678910111012131214121516[[#This Row],[Gas Export (MMscf/d)]]-Table25234678910111012131214121516[[#This Row],[Odid Utilised gas (MMscf)]]</f>
        <v>13.809000000000001</v>
      </c>
      <c r="AB11" s="723">
        <f>Table25234678910111012131214121516[[#This Row],[Batn Prod gas (MMscf)]]-Table25234678910111012131214121516[[#This Row],[Batn Utilised gas (MMscf)]]</f>
        <v>0</v>
      </c>
      <c r="AC11" s="747">
        <f>Table25234678910111012131214121516[[#This Row],[Egwa Prod gas (MMscf)]]</f>
        <v>2.7010000000000001</v>
      </c>
      <c r="AD11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47.045000000000002</v>
      </c>
      <c r="AE11" s="723">
        <f>Table25234678910111012131214121516[[#This Row],[Gas Export (MMscf/d)]]</f>
        <v>24.260999999999999</v>
      </c>
      <c r="AF11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11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21.944000000000003</v>
      </c>
      <c r="AH11" s="142"/>
      <c r="AJ11" s="145" t="s">
        <v>448</v>
      </c>
      <c r="AK11" s="273">
        <v>31</v>
      </c>
      <c r="AL11" s="270">
        <v>13.03</v>
      </c>
      <c r="AM11" s="269">
        <v>9.5299999999999994</v>
      </c>
      <c r="AN11" s="270">
        <v>10.73</v>
      </c>
      <c r="AO11" s="269">
        <v>20.370999999999999</v>
      </c>
      <c r="AP11" s="270">
        <v>18.960999999999999</v>
      </c>
      <c r="AS11" s="454"/>
      <c r="AT11" s="454"/>
      <c r="AU11" s="454"/>
      <c r="AV11" s="454"/>
      <c r="AW11" s="454"/>
      <c r="AX11" s="454"/>
      <c r="AY11" s="454"/>
    </row>
    <row r="12" spans="2:51" ht="21.6">
      <c r="B12" s="716">
        <v>44385</v>
      </c>
      <c r="C12" s="749">
        <v>21.64</v>
      </c>
      <c r="D12" s="750">
        <v>15.132</v>
      </c>
      <c r="E12" s="751">
        <v>8.9</v>
      </c>
      <c r="F12" s="749">
        <v>3.77</v>
      </c>
      <c r="G12" s="749">
        <f>SUM(Table25234678910111012131214121516[[#This Row],[Jones Creek Target (Mbopd)]:[Egwa Target (Mbopd)]])</f>
        <v>49.442</v>
      </c>
      <c r="H12" s="752">
        <v>18.414999999999999</v>
      </c>
      <c r="I12" s="752">
        <v>16.059000000000001</v>
      </c>
      <c r="J12" s="752">
        <v>0</v>
      </c>
      <c r="K12" s="752">
        <v>3.1764000000000001</v>
      </c>
      <c r="L12" s="753">
        <f t="shared" si="0"/>
        <v>37.650400000000005</v>
      </c>
      <c r="M12" s="721">
        <v>25.045000000000002</v>
      </c>
      <c r="N12" s="746">
        <f>Table25234678910111012131214121516[[#This Row],[Jones Creek Target (Mbopd)]]-Table25234678910111012131214121516[[#This Row],[Jones Creek (Mbopd)]]</f>
        <v>3.2250000000000014</v>
      </c>
      <c r="O12" s="723">
        <f>Table25234678910111012131214121516[[#This Row],[Odidi Target (Mbopd)]]-Table25234678910111012131214121516[[#This Row],[Odidi (Mbopd)]]</f>
        <v>-0.92700000000000138</v>
      </c>
      <c r="P12" s="721">
        <f>Table25234678910111012131214121516[[#This Row],[Batan Target (Mbopd)]]-Table25234678910111012131214121516[[#This Row],[Batan (Mbopd)]]</f>
        <v>8.9</v>
      </c>
      <c r="Q12" s="747">
        <f>Table25234678910111012131214121516[[#This Row],[Egwa Target (Mbopd)]]-Table25234678910111012131214121516[[#This Row],[Egwa (Mbopd)]]</f>
        <v>0.59359999999999991</v>
      </c>
      <c r="R12" s="745">
        <v>6.0422000000000002</v>
      </c>
      <c r="S12" s="723">
        <v>38.07</v>
      </c>
      <c r="T12" s="723">
        <v>0</v>
      </c>
      <c r="U12" s="747">
        <v>2.68</v>
      </c>
      <c r="V12" s="746">
        <v>0.84240000000000004</v>
      </c>
      <c r="W12" s="723">
        <v>0</v>
      </c>
      <c r="X12" s="723">
        <v>0</v>
      </c>
      <c r="Y12" s="721">
        <v>0</v>
      </c>
      <c r="Z12" s="746">
        <f>Table25234678910111012131214121516[[#This Row],[J/C Prod gas (MMscf)]]-Table25234678910111012131214121516[[#This Row],[J/C Utilised gas (MMscf)]]</f>
        <v>5.1997999999999998</v>
      </c>
      <c r="AA12" s="723">
        <f>Table25234678910111012131214121516[[#This Row],[Odid Prod gas (MMscf)]]-Table25234678910111012131214121516[[#This Row],[Gas Export (MMscf/d)]]-Table25234678910111012131214121516[[#This Row],[Odid Utilised gas (MMscf)]]</f>
        <v>13.024999999999999</v>
      </c>
      <c r="AB12" s="723">
        <f>Table25234678910111012131214121516[[#This Row],[Batn Prod gas (MMscf)]]-Table25234678910111012131214121516[[#This Row],[Batn Utilised gas (MMscf)]]</f>
        <v>0</v>
      </c>
      <c r="AC12" s="747">
        <f>Table25234678910111012131214121516[[#This Row],[Egwa Prod gas (MMscf)]]</f>
        <v>2.68</v>
      </c>
      <c r="AD12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46.792200000000001</v>
      </c>
      <c r="AE12" s="723">
        <f>Table25234678910111012131214121516[[#This Row],[Gas Export (MMscf/d)]]</f>
        <v>25.045000000000002</v>
      </c>
      <c r="AF12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0.84240000000000004</v>
      </c>
      <c r="AG12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20.904799999999998</v>
      </c>
      <c r="AH12" s="142"/>
      <c r="AI12" s="729"/>
      <c r="AJ12" s="763"/>
      <c r="AK12" s="762"/>
      <c r="AL12" s="762"/>
      <c r="AM12" s="762"/>
      <c r="AN12" s="762"/>
      <c r="AO12" s="762"/>
      <c r="AP12" s="762"/>
      <c r="AS12" s="454"/>
      <c r="AT12" s="454"/>
      <c r="AU12" s="454"/>
      <c r="AV12" s="454"/>
      <c r="AW12" s="454"/>
      <c r="AX12" s="454"/>
      <c r="AY12" s="454"/>
    </row>
    <row r="13" spans="2:51" ht="21.6">
      <c r="B13" s="716">
        <v>44386</v>
      </c>
      <c r="C13" s="749">
        <v>21.64</v>
      </c>
      <c r="D13" s="750">
        <v>15.132</v>
      </c>
      <c r="E13" s="751">
        <v>8.9</v>
      </c>
      <c r="F13" s="749">
        <v>3.77</v>
      </c>
      <c r="G13" s="749">
        <f>SUM(Table25234678910111012131214121516[[#This Row],[Jones Creek Target (Mbopd)]:[Egwa Target (Mbopd)]])</f>
        <v>49.442</v>
      </c>
      <c r="H13" s="752">
        <v>18.777000000000001</v>
      </c>
      <c r="I13" s="752">
        <v>16.048999999999999</v>
      </c>
      <c r="J13" s="752">
        <v>0</v>
      </c>
      <c r="K13" s="752">
        <v>3.1349999999999998</v>
      </c>
      <c r="L13" s="753">
        <f t="shared" si="0"/>
        <v>37.960999999999999</v>
      </c>
      <c r="M13" s="721">
        <v>25.212</v>
      </c>
      <c r="N13" s="746">
        <f>Table25234678910111012131214121516[[#This Row],[Jones Creek Target (Mbopd)]]-Table25234678910111012131214121516[[#This Row],[Jones Creek (Mbopd)]]</f>
        <v>2.8629999999999995</v>
      </c>
      <c r="O13" s="723">
        <f>Table25234678910111012131214121516[[#This Row],[Odidi Target (Mbopd)]]-Table25234678910111012131214121516[[#This Row],[Odidi (Mbopd)]]</f>
        <v>-0.91699999999999982</v>
      </c>
      <c r="P13" s="721">
        <f>Table25234678910111012131214121516[[#This Row],[Batan Target (Mbopd)]]-Table25234678910111012131214121516[[#This Row],[Batan (Mbopd)]]</f>
        <v>8.9</v>
      </c>
      <c r="Q13" s="747">
        <f>Table25234678910111012131214121516[[#This Row],[Egwa Target (Mbopd)]]-Table25234678910111012131214121516[[#This Row],[Egwa (Mbopd)]]</f>
        <v>0.63500000000000023</v>
      </c>
      <c r="R13" s="745">
        <v>6.0422000000000002</v>
      </c>
      <c r="S13" s="723">
        <v>38.07</v>
      </c>
      <c r="T13" s="723">
        <v>0</v>
      </c>
      <c r="U13" s="747">
        <v>2.82</v>
      </c>
      <c r="V13" s="746">
        <v>0.84240000000000004</v>
      </c>
      <c r="W13" s="723">
        <v>0</v>
      </c>
      <c r="X13" s="723">
        <v>0</v>
      </c>
      <c r="Y13" s="721">
        <v>0</v>
      </c>
      <c r="Z13" s="746">
        <f>Table25234678910111012131214121516[[#This Row],[J/C Prod gas (MMscf)]]-Table25234678910111012131214121516[[#This Row],[J/C Utilised gas (MMscf)]]</f>
        <v>5.1997999999999998</v>
      </c>
      <c r="AA13" s="723">
        <f>Table25234678910111012131214121516[[#This Row],[Odid Prod gas (MMscf)]]-Table25234678910111012131214121516[[#This Row],[Gas Export (MMscf/d)]]-Table25234678910111012131214121516[[#This Row],[Odid Utilised gas (MMscf)]]</f>
        <v>12.858000000000001</v>
      </c>
      <c r="AB13" s="723">
        <f>Table25234678910111012131214121516[[#This Row],[Batn Prod gas (MMscf)]]-Table25234678910111012131214121516[[#This Row],[Batn Utilised gas (MMscf)]]</f>
        <v>0</v>
      </c>
      <c r="AC13" s="747">
        <f>Table25234678910111012131214121516[[#This Row],[Egwa Prod gas (MMscf)]]</f>
        <v>2.82</v>
      </c>
      <c r="AD13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46.932200000000002</v>
      </c>
      <c r="AE13" s="723">
        <f>Table25234678910111012131214121516[[#This Row],[Gas Export (MMscf/d)]]</f>
        <v>25.212</v>
      </c>
      <c r="AF13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0.84240000000000004</v>
      </c>
      <c r="AG13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20.877800000000001</v>
      </c>
      <c r="AH13" s="142"/>
      <c r="AI13" s="729"/>
      <c r="AJ13" s="763"/>
      <c r="AK13" s="762"/>
      <c r="AL13" s="762"/>
      <c r="AM13" s="762"/>
      <c r="AN13" s="762"/>
      <c r="AO13" s="762"/>
      <c r="AP13" s="762"/>
      <c r="AS13" s="454"/>
      <c r="AT13" s="454"/>
      <c r="AU13" s="454"/>
      <c r="AV13" s="454"/>
      <c r="AW13" s="454"/>
      <c r="AX13" s="454"/>
      <c r="AY13" s="454"/>
    </row>
    <row r="14" spans="2:51" ht="21.6">
      <c r="B14" s="716">
        <v>44387</v>
      </c>
      <c r="C14" s="749">
        <v>21.64</v>
      </c>
      <c r="D14" s="750">
        <v>15.132</v>
      </c>
      <c r="E14" s="751">
        <v>8.9</v>
      </c>
      <c r="F14" s="749">
        <v>3.77</v>
      </c>
      <c r="G14" s="749">
        <f>SUM(Table25234678910111012131214121516[[#This Row],[Jones Creek Target (Mbopd)]:[Egwa Target (Mbopd)]])</f>
        <v>49.442</v>
      </c>
      <c r="H14" s="752">
        <v>19.113</v>
      </c>
      <c r="I14" s="752">
        <v>15.991</v>
      </c>
      <c r="J14" s="752">
        <v>2.11</v>
      </c>
      <c r="K14" s="752">
        <v>3.1539999999999999</v>
      </c>
      <c r="L14" s="753">
        <f t="shared" si="0"/>
        <v>40.367999999999995</v>
      </c>
      <c r="M14" s="721">
        <v>26.11</v>
      </c>
      <c r="N14" s="746">
        <f>Table25234678910111012131214121516[[#This Row],[Jones Creek Target (Mbopd)]]-Table25234678910111012131214121516[[#This Row],[Jones Creek (Mbopd)]]</f>
        <v>2.527000000000001</v>
      </c>
      <c r="O14" s="723">
        <f>Table25234678910111012131214121516[[#This Row],[Odidi Target (Mbopd)]]-Table25234678910111012131214121516[[#This Row],[Odidi (Mbopd)]]</f>
        <v>-0.85899999999999999</v>
      </c>
      <c r="P14" s="721">
        <f>Table25234678910111012131214121516[[#This Row],[Batan Target (Mbopd)]]-Table25234678910111012131214121516[[#This Row],[Batan (Mbopd)]]</f>
        <v>6.7900000000000009</v>
      </c>
      <c r="Q14" s="747">
        <f>Table25234678910111012131214121516[[#This Row],[Egwa Target (Mbopd)]]-Table25234678910111012131214121516[[#This Row],[Egwa (Mbopd)]]</f>
        <v>0.6160000000000001</v>
      </c>
      <c r="R14" s="745">
        <v>6.25</v>
      </c>
      <c r="S14" s="723">
        <v>38.07</v>
      </c>
      <c r="T14" s="723">
        <v>1.1000000000000001</v>
      </c>
      <c r="U14" s="747">
        <v>2.79</v>
      </c>
      <c r="V14" s="746">
        <v>0.84</v>
      </c>
      <c r="W14" s="723">
        <v>0</v>
      </c>
      <c r="X14" s="723">
        <v>0.7</v>
      </c>
      <c r="Y14" s="721">
        <v>0</v>
      </c>
      <c r="Z14" s="746">
        <f>Table25234678910111012131214121516[[#This Row],[J/C Prod gas (MMscf)]]-Table25234678910111012131214121516[[#This Row],[J/C Utilised gas (MMscf)]]</f>
        <v>5.41</v>
      </c>
      <c r="AA14" s="723">
        <f>Table25234678910111012131214121516[[#This Row],[Odid Prod gas (MMscf)]]-Table25234678910111012131214121516[[#This Row],[Gas Export (MMscf/d)]]-Table25234678910111012131214121516[[#This Row],[Odid Utilised gas (MMscf)]]</f>
        <v>11.96</v>
      </c>
      <c r="AB14" s="723">
        <f>Table25234678910111012131214121516[[#This Row],[Batn Prod gas (MMscf)]]-Table25234678910111012131214121516[[#This Row],[Batn Utilised gas (MMscf)]]</f>
        <v>0.40000000000000013</v>
      </c>
      <c r="AC14" s="747">
        <f>Table25234678910111012131214121516[[#This Row],[Egwa Prod gas (MMscf)]]</f>
        <v>2.79</v>
      </c>
      <c r="AD14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48.21</v>
      </c>
      <c r="AE14" s="723">
        <f>Table25234678910111012131214121516[[#This Row],[Gas Export (MMscf/d)]]</f>
        <v>26.11</v>
      </c>
      <c r="AF14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1.54</v>
      </c>
      <c r="AG14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20.560000000000002</v>
      </c>
      <c r="AH14" s="142"/>
      <c r="AI14" s="729"/>
      <c r="AJ14" s="763"/>
      <c r="AK14" s="762"/>
      <c r="AL14" s="762"/>
      <c r="AM14" s="762"/>
      <c r="AN14" s="762"/>
      <c r="AO14" s="762"/>
      <c r="AP14" s="762"/>
      <c r="AS14" s="454"/>
      <c r="AT14" s="454"/>
      <c r="AU14" s="454"/>
      <c r="AV14" s="454"/>
      <c r="AW14" s="454"/>
      <c r="AX14" s="454"/>
      <c r="AY14" s="454"/>
    </row>
    <row r="15" spans="2:51" ht="21.6">
      <c r="B15" s="716">
        <v>44388</v>
      </c>
      <c r="C15" s="749">
        <v>21.64</v>
      </c>
      <c r="D15" s="750">
        <v>15.132</v>
      </c>
      <c r="E15" s="751">
        <v>8.9</v>
      </c>
      <c r="F15" s="749">
        <v>3.77</v>
      </c>
      <c r="G15" s="749">
        <f>SUM(Table25234678910111012131214121516[[#This Row],[Jones Creek Target (Mbopd)]:[Egwa Target (Mbopd)]])</f>
        <v>49.442</v>
      </c>
      <c r="H15" s="752">
        <v>16.571999999999999</v>
      </c>
      <c r="I15" s="752">
        <v>15.956</v>
      </c>
      <c r="J15" s="752">
        <v>4.415</v>
      </c>
      <c r="K15" s="752">
        <v>3.1320000000000001</v>
      </c>
      <c r="L15" s="753">
        <f t="shared" si="0"/>
        <v>40.074999999999996</v>
      </c>
      <c r="M15" s="721">
        <v>24.57</v>
      </c>
      <c r="N15" s="746">
        <f>Table25234678910111012131214121516[[#This Row],[Jones Creek Target (Mbopd)]]-Table25234678910111012131214121516[[#This Row],[Jones Creek (Mbopd)]]</f>
        <v>5.0680000000000014</v>
      </c>
      <c r="O15" s="723">
        <f>Table25234678910111012131214121516[[#This Row],[Odidi Target (Mbopd)]]-Table25234678910111012131214121516[[#This Row],[Odidi (Mbopd)]]</f>
        <v>-0.82399999999999984</v>
      </c>
      <c r="P15" s="721">
        <f>Table25234678910111012131214121516[[#This Row],[Batan Target (Mbopd)]]-Table25234678910111012131214121516[[#This Row],[Batan (Mbopd)]]</f>
        <v>4.4850000000000003</v>
      </c>
      <c r="Q15" s="747">
        <f>Table25234678910111012131214121516[[#This Row],[Egwa Target (Mbopd)]]-Table25234678910111012131214121516[[#This Row],[Egwa (Mbopd)]]</f>
        <v>0.6379999999999999</v>
      </c>
      <c r="R15" s="745">
        <v>5.32</v>
      </c>
      <c r="S15" s="723">
        <v>38.07</v>
      </c>
      <c r="T15" s="723">
        <v>1.1000000000000001</v>
      </c>
      <c r="U15" s="747">
        <v>2.86</v>
      </c>
      <c r="V15" s="746">
        <v>0.84</v>
      </c>
      <c r="W15" s="723">
        <v>0</v>
      </c>
      <c r="X15" s="723">
        <v>0.7</v>
      </c>
      <c r="Y15" s="721">
        <v>0</v>
      </c>
      <c r="Z15" s="746">
        <f>Table25234678910111012131214121516[[#This Row],[J/C Prod gas (MMscf)]]-Table25234678910111012131214121516[[#This Row],[J/C Utilised gas (MMscf)]]</f>
        <v>4.4800000000000004</v>
      </c>
      <c r="AA15" s="723">
        <f>Table25234678910111012131214121516[[#This Row],[Odid Prod gas (MMscf)]]-Table25234678910111012131214121516[[#This Row],[Gas Export (MMscf/d)]]-Table25234678910111012131214121516[[#This Row],[Odid Utilised gas (MMscf)]]</f>
        <v>13.5</v>
      </c>
      <c r="AB15" s="723">
        <f>Table25234678910111012131214121516[[#This Row],[Batn Prod gas (MMscf)]]-Table25234678910111012131214121516[[#This Row],[Batn Utilised gas (MMscf)]]</f>
        <v>0.40000000000000013</v>
      </c>
      <c r="AC15" s="747">
        <f>Table25234678910111012131214121516[[#This Row],[Egwa Prod gas (MMscf)]]</f>
        <v>2.86</v>
      </c>
      <c r="AD15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47.35</v>
      </c>
      <c r="AE15" s="723">
        <f>Table25234678910111012131214121516[[#This Row],[Gas Export (MMscf/d)]]</f>
        <v>24.57</v>
      </c>
      <c r="AF15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1.54</v>
      </c>
      <c r="AG15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21.24</v>
      </c>
      <c r="AH15" s="142"/>
      <c r="AI15" s="729"/>
      <c r="AJ15" s="763"/>
      <c r="AK15" s="762"/>
      <c r="AL15" s="762"/>
      <c r="AM15" s="762"/>
      <c r="AN15" s="762"/>
      <c r="AO15" s="762"/>
      <c r="AP15" s="762"/>
      <c r="AS15" s="454"/>
      <c r="AT15" s="454"/>
      <c r="AU15" s="454"/>
      <c r="AV15" s="454"/>
      <c r="AW15" s="454"/>
      <c r="AX15" s="454"/>
      <c r="AY15" s="454"/>
    </row>
    <row r="16" spans="2:51" ht="21.6">
      <c r="B16" s="716">
        <v>44389</v>
      </c>
      <c r="C16" s="749">
        <v>21.64</v>
      </c>
      <c r="D16" s="750">
        <v>15.132</v>
      </c>
      <c r="E16" s="751">
        <v>8.9</v>
      </c>
      <c r="F16" s="749">
        <v>3.77</v>
      </c>
      <c r="G16" s="749">
        <f>SUM(Table25234678910111012131214121516[[#This Row],[Jones Creek Target (Mbopd)]:[Egwa Target (Mbopd)]])</f>
        <v>49.442</v>
      </c>
      <c r="H16" s="752">
        <v>18.861999999999998</v>
      </c>
      <c r="I16" s="752">
        <v>15.771000000000001</v>
      </c>
      <c r="J16" s="752">
        <v>4.2809999999999997</v>
      </c>
      <c r="K16" s="752">
        <v>3.1789999999999998</v>
      </c>
      <c r="L16" s="753">
        <f t="shared" si="0"/>
        <v>42.092999999999996</v>
      </c>
      <c r="M16" s="764">
        <v>24.457999999999998</v>
      </c>
      <c r="N16" s="765">
        <f>Table25234678910111012131214121516[[#This Row],[Jones Creek Target (Mbopd)]]-Table25234678910111012131214121516[[#This Row],[Jones Creek (Mbopd)]]</f>
        <v>2.7780000000000022</v>
      </c>
      <c r="O16" s="723">
        <f>Table25234678910111012131214121516[[#This Row],[Odidi Target (Mbopd)]]-Table25234678910111012131214121516[[#This Row],[Odidi (Mbopd)]]</f>
        <v>-0.63900000000000112</v>
      </c>
      <c r="P16" s="721">
        <f>Table25234678910111012131214121516[[#This Row],[Batan Target (Mbopd)]]-Table25234678910111012131214121516[[#This Row],[Batan (Mbopd)]]</f>
        <v>4.6190000000000007</v>
      </c>
      <c r="Q16" s="747">
        <f>Table25234678910111012131214121516[[#This Row],[Egwa Target (Mbopd)]]-Table25234678910111012131214121516[[#This Row],[Egwa (Mbopd)]]</f>
        <v>0.59100000000000019</v>
      </c>
      <c r="R16" s="745">
        <v>6.415</v>
      </c>
      <c r="S16" s="723">
        <v>38.07</v>
      </c>
      <c r="T16" s="723">
        <v>1.1000000000000001</v>
      </c>
      <c r="U16" s="747">
        <v>3.01</v>
      </c>
      <c r="V16" s="746">
        <v>0.84</v>
      </c>
      <c r="W16" s="723">
        <v>0</v>
      </c>
      <c r="X16" s="723">
        <v>0.7</v>
      </c>
      <c r="Y16" s="721">
        <v>0</v>
      </c>
      <c r="Z16" s="746">
        <f>Table25234678910111012131214121516[[#This Row],[J/C Prod gas (MMscf)]]-Table25234678910111012131214121516[[#This Row],[J/C Utilised gas (MMscf)]]</f>
        <v>5.5750000000000002</v>
      </c>
      <c r="AA16" s="723">
        <f>Table25234678910111012131214121516[[#This Row],[Odid Prod gas (MMscf)]]-Table25234678910111012131214121516[[#This Row],[Gas Export (MMscf/d)]]-Table25234678910111012131214121516[[#This Row],[Odid Utilised gas (MMscf)]]</f>
        <v>13.612000000000002</v>
      </c>
      <c r="AB16" s="723">
        <f>Table25234678910111012131214121516[[#This Row],[Batn Prod gas (MMscf)]]-Table25234678910111012131214121516[[#This Row],[Batn Utilised gas (MMscf)]]</f>
        <v>0.40000000000000013</v>
      </c>
      <c r="AC16" s="747">
        <f>Table25234678910111012131214121516[[#This Row],[Egwa Prod gas (MMscf)]]</f>
        <v>3.01</v>
      </c>
      <c r="AD16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48.594999999999999</v>
      </c>
      <c r="AE16" s="723">
        <f>Table25234678910111012131214121516[[#This Row],[Gas Export (MMscf/d)]]</f>
        <v>24.457999999999998</v>
      </c>
      <c r="AF16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1.54</v>
      </c>
      <c r="AG16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22.597000000000001</v>
      </c>
      <c r="AH16" s="142"/>
      <c r="AI16" s="729"/>
      <c r="AJ16" s="763"/>
      <c r="AK16" s="762"/>
      <c r="AL16" s="762"/>
      <c r="AM16" s="762"/>
      <c r="AN16" s="762"/>
      <c r="AO16" s="762"/>
      <c r="AP16" s="762"/>
      <c r="AS16" s="454"/>
      <c r="AT16" s="454"/>
      <c r="AU16" s="454"/>
      <c r="AV16" s="454"/>
      <c r="AW16" s="454"/>
      <c r="AX16" s="454"/>
      <c r="AY16" s="454"/>
    </row>
    <row r="17" spans="2:51" ht="21.6">
      <c r="B17" s="716">
        <v>44390</v>
      </c>
      <c r="C17" s="749">
        <v>21.64</v>
      </c>
      <c r="D17" s="750">
        <v>15.132</v>
      </c>
      <c r="E17" s="751">
        <v>8.9</v>
      </c>
      <c r="F17" s="749">
        <v>3.77</v>
      </c>
      <c r="G17" s="749">
        <f>SUM(Table25234678910111012131214121516[[#This Row],[Jones Creek Target (Mbopd)]:[Egwa Target (Mbopd)]])</f>
        <v>49.442</v>
      </c>
      <c r="H17" s="752">
        <v>9.173</v>
      </c>
      <c r="I17" s="752">
        <v>15.487</v>
      </c>
      <c r="J17" s="752">
        <v>0.41599999999999998</v>
      </c>
      <c r="K17" s="752">
        <v>3.1179999999999999</v>
      </c>
      <c r="L17" s="753">
        <f t="shared" si="0"/>
        <v>28.193999999999999</v>
      </c>
      <c r="M17" s="721">
        <v>10.608000000000001</v>
      </c>
      <c r="N17" s="765">
        <f>Table25234678910111012131214121516[[#This Row],[Jones Creek Target (Mbopd)]]-Table25234678910111012131214121516[[#This Row],[Jones Creek (Mbopd)]]</f>
        <v>12.467000000000001</v>
      </c>
      <c r="O17" s="723">
        <f>Table25234678910111012131214121516[[#This Row],[Odidi Target (Mbopd)]]-Table25234678910111012131214121516[[#This Row],[Odidi (Mbopd)]]</f>
        <v>-0.35500000000000043</v>
      </c>
      <c r="P17" s="721">
        <f>Table25234678910111012131214121516[[#This Row],[Batan Target (Mbopd)]]-Table25234678910111012131214121516[[#This Row],[Batan (Mbopd)]]</f>
        <v>8.484</v>
      </c>
      <c r="Q17" s="747">
        <f>Table25234678910111012131214121516[[#This Row],[Egwa Target (Mbopd)]]-Table25234678910111012131214121516[[#This Row],[Egwa (Mbopd)]]</f>
        <v>0.65200000000000014</v>
      </c>
      <c r="R17" s="745">
        <v>3.21</v>
      </c>
      <c r="S17" s="723">
        <v>38.07</v>
      </c>
      <c r="T17" s="723">
        <v>1.1000000000000001</v>
      </c>
      <c r="U17" s="747">
        <v>3.03</v>
      </c>
      <c r="V17" s="746">
        <v>0.45</v>
      </c>
      <c r="W17" s="723">
        <v>0</v>
      </c>
      <c r="X17" s="723">
        <v>0.7</v>
      </c>
      <c r="Y17" s="721">
        <v>0</v>
      </c>
      <c r="Z17" s="746">
        <f>Table25234678910111012131214121516[[#This Row],[J/C Prod gas (MMscf)]]-Table25234678910111012131214121516[[#This Row],[J/C Utilised gas (MMscf)]]</f>
        <v>2.76</v>
      </c>
      <c r="AA17" s="723">
        <f>Table25234678910111012131214121516[[#This Row],[Odid Prod gas (MMscf)]]-Table25234678910111012131214121516[[#This Row],[Gas Export (MMscf/d)]]-Table25234678910111012131214121516[[#This Row],[Odid Utilised gas (MMscf)]]</f>
        <v>27.462</v>
      </c>
      <c r="AB17" s="723">
        <f>Table25234678910111012131214121516[[#This Row],[Batn Prod gas (MMscf)]]-Table25234678910111012131214121516[[#This Row],[Batn Utilised gas (MMscf)]]</f>
        <v>0.40000000000000013</v>
      </c>
      <c r="AC17" s="747">
        <f>Table25234678910111012131214121516[[#This Row],[Egwa Prod gas (MMscf)]]</f>
        <v>3.03</v>
      </c>
      <c r="AD17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45.410000000000004</v>
      </c>
      <c r="AE17" s="723">
        <f>Table25234678910111012131214121516[[#This Row],[Gas Export (MMscf/d)]]</f>
        <v>10.608000000000001</v>
      </c>
      <c r="AF17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1.1499999999999999</v>
      </c>
      <c r="AG17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33.652000000000001</v>
      </c>
      <c r="AH17" s="142"/>
      <c r="AI17" s="729"/>
      <c r="AJ17" s="763"/>
      <c r="AK17" s="762"/>
      <c r="AL17" s="762"/>
      <c r="AM17" s="762"/>
      <c r="AN17" s="762"/>
      <c r="AO17" s="762"/>
      <c r="AP17" s="762"/>
      <c r="AS17" s="454"/>
      <c r="AT17" s="454"/>
      <c r="AU17" s="454"/>
      <c r="AV17" s="454"/>
      <c r="AW17" s="454"/>
      <c r="AX17" s="454"/>
      <c r="AY17" s="454"/>
    </row>
    <row r="18" spans="2:51" ht="21.6">
      <c r="B18" s="716">
        <v>44391</v>
      </c>
      <c r="C18" s="749">
        <v>21.64</v>
      </c>
      <c r="D18" s="750">
        <v>15.132</v>
      </c>
      <c r="E18" s="751">
        <v>8.9</v>
      </c>
      <c r="F18" s="749">
        <v>3.77</v>
      </c>
      <c r="G18" s="749">
        <f>SUM(Table25234678910111012131214121516[[#This Row],[Jones Creek Target (Mbopd)]:[Egwa Target (Mbopd)]])</f>
        <v>49.442</v>
      </c>
      <c r="H18" s="752">
        <v>10.81</v>
      </c>
      <c r="I18" s="752">
        <v>16.25</v>
      </c>
      <c r="J18" s="752">
        <v>0</v>
      </c>
      <c r="K18" s="752">
        <v>3.05</v>
      </c>
      <c r="L18" s="753">
        <f t="shared" si="0"/>
        <v>30.110000000000003</v>
      </c>
      <c r="M18" s="721">
        <v>9.56</v>
      </c>
      <c r="N18" s="765">
        <f>Table25234678910111012131214121516[[#This Row],[Jones Creek Target (Mbopd)]]-Table25234678910111012131214121516[[#This Row],[Jones Creek (Mbopd)]]</f>
        <v>10.83</v>
      </c>
      <c r="O18" s="723">
        <f>Table25234678910111012131214121516[[#This Row],[Odidi Target (Mbopd)]]-Table25234678910111012131214121516[[#This Row],[Odidi (Mbopd)]]</f>
        <v>-1.1180000000000003</v>
      </c>
      <c r="P18" s="721">
        <f>Table25234678910111012131214121516[[#This Row],[Batan Target (Mbopd)]]-Table25234678910111012131214121516[[#This Row],[Batan (Mbopd)]]</f>
        <v>8.9</v>
      </c>
      <c r="Q18" s="747">
        <f>Table25234678910111012131214121516[[#This Row],[Egwa Target (Mbopd)]]-Table25234678910111012131214121516[[#This Row],[Egwa (Mbopd)]]</f>
        <v>0.7200000000000002</v>
      </c>
      <c r="R18" s="745">
        <v>3.26</v>
      </c>
      <c r="S18" s="723">
        <v>38.07</v>
      </c>
      <c r="T18" s="723">
        <v>0</v>
      </c>
      <c r="U18" s="747">
        <v>3.05</v>
      </c>
      <c r="V18" s="746">
        <v>0.42</v>
      </c>
      <c r="W18" s="723">
        <v>0</v>
      </c>
      <c r="X18" s="723">
        <v>0</v>
      </c>
      <c r="Y18" s="721">
        <v>0</v>
      </c>
      <c r="Z18" s="746">
        <f>Table25234678910111012131214121516[[#This Row],[J/C Prod gas (MMscf)]]-Table25234678910111012131214121516[[#This Row],[J/C Utilised gas (MMscf)]]</f>
        <v>2.84</v>
      </c>
      <c r="AA18" s="723">
        <f>Table25234678910111012131214121516[[#This Row],[Odid Prod gas (MMscf)]]-Table25234678910111012131214121516[[#This Row],[Gas Export (MMscf/d)]]-Table25234678910111012131214121516[[#This Row],[Odid Utilised gas (MMscf)]]</f>
        <v>28.509999999999998</v>
      </c>
      <c r="AB18" s="723">
        <f>Table25234678910111012131214121516[[#This Row],[Batn Prod gas (MMscf)]]-Table25234678910111012131214121516[[#This Row],[Batn Utilised gas (MMscf)]]</f>
        <v>0</v>
      </c>
      <c r="AC18" s="747">
        <f>Table25234678910111012131214121516[[#This Row],[Egwa Prod gas (MMscf)]]</f>
        <v>3.05</v>
      </c>
      <c r="AD18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44.379999999999995</v>
      </c>
      <c r="AE18" s="723">
        <f>Table25234678910111012131214121516[[#This Row],[Gas Export (MMscf/d)]]</f>
        <v>9.56</v>
      </c>
      <c r="AF18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0.42</v>
      </c>
      <c r="AG18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34.4</v>
      </c>
      <c r="AH18" s="142"/>
      <c r="AI18" s="729"/>
      <c r="AJ18" s="763"/>
      <c r="AK18" s="762"/>
      <c r="AL18" s="762"/>
      <c r="AM18" s="762"/>
      <c r="AN18" s="762"/>
      <c r="AO18" s="762"/>
      <c r="AP18" s="762"/>
      <c r="AS18" s="454"/>
      <c r="AT18" s="454"/>
      <c r="AU18" s="454"/>
      <c r="AV18" s="454"/>
      <c r="AW18" s="454"/>
      <c r="AX18" s="454"/>
      <c r="AY18" s="454"/>
    </row>
    <row r="19" spans="2:51" ht="21.6">
      <c r="B19" s="716">
        <v>44392</v>
      </c>
      <c r="C19" s="749">
        <v>21.64</v>
      </c>
      <c r="D19" s="750">
        <v>15.132</v>
      </c>
      <c r="E19" s="751">
        <v>8.9</v>
      </c>
      <c r="F19" s="749">
        <v>3.77</v>
      </c>
      <c r="G19" s="749">
        <f>SUM(Table25234678910111012131214121516[[#This Row],[Jones Creek Target (Mbopd)]:[Egwa Target (Mbopd)]])</f>
        <v>49.442</v>
      </c>
      <c r="H19" s="754">
        <v>18.98</v>
      </c>
      <c r="I19" s="752">
        <v>16.100000000000001</v>
      </c>
      <c r="J19" s="752">
        <v>0</v>
      </c>
      <c r="K19" s="752">
        <v>3.093</v>
      </c>
      <c r="L19" s="753">
        <f t="shared" ref="L19:L31" si="1">H19+I19+J19+K19</f>
        <v>38.173000000000002</v>
      </c>
      <c r="M19" s="721">
        <v>27.094000000000001</v>
      </c>
      <c r="N19" s="765">
        <f>Table25234678910111012131214121516[[#This Row],[Jones Creek Target (Mbopd)]]-Table25234678910111012131214121516[[#This Row],[Jones Creek (Mbopd)]]</f>
        <v>2.66</v>
      </c>
      <c r="O19" s="723">
        <f>Table25234678910111012131214121516[[#This Row],[Odidi Target (Mbopd)]]-Table25234678910111012131214121516[[#This Row],[Odidi (Mbopd)]]</f>
        <v>-0.96800000000000175</v>
      </c>
      <c r="P19" s="721">
        <f>Table25234678910111012131214121516[[#This Row],[Batan Target (Mbopd)]]-Table25234678910111012131214121516[[#This Row],[Batan (Mbopd)]]</f>
        <v>8.9</v>
      </c>
      <c r="Q19" s="747">
        <f>Table25234678910111012131214121516[[#This Row],[Egwa Target (Mbopd)]]-Table25234678910111012131214121516[[#This Row],[Egwa (Mbopd)]]</f>
        <v>0.67700000000000005</v>
      </c>
      <c r="R19" s="745">
        <v>6.4889999999999999</v>
      </c>
      <c r="S19" s="723">
        <v>38.07</v>
      </c>
      <c r="T19" s="723">
        <v>0</v>
      </c>
      <c r="U19" s="747">
        <v>3.11</v>
      </c>
      <c r="V19" s="746">
        <v>0.84</v>
      </c>
      <c r="W19" s="723">
        <v>0</v>
      </c>
      <c r="X19" s="723">
        <v>0</v>
      </c>
      <c r="Y19" s="721">
        <v>0</v>
      </c>
      <c r="Z19" s="746">
        <f>Table25234678910111012131214121516[[#This Row],[J/C Prod gas (MMscf)]]-Table25234678910111012131214121516[[#This Row],[J/C Utilised gas (MMscf)]]</f>
        <v>5.649</v>
      </c>
      <c r="AA19" s="723">
        <f>Table25234678910111012131214121516[[#This Row],[Odid Prod gas (MMscf)]]-Table25234678910111012131214121516[[#This Row],[Gas Export (MMscf/d)]]-Table25234678910111012131214121516[[#This Row],[Odid Utilised gas (MMscf)]]</f>
        <v>10.975999999999999</v>
      </c>
      <c r="AB19" s="723">
        <f>Table25234678910111012131214121516[[#This Row],[Batn Prod gas (MMscf)]]-Table25234678910111012131214121516[[#This Row],[Batn Utilised gas (MMscf)]]</f>
        <v>0</v>
      </c>
      <c r="AC19" s="747">
        <f>Table25234678910111012131214121516[[#This Row],[Egwa Prod gas (MMscf)]]</f>
        <v>3.11</v>
      </c>
      <c r="AD19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47.668999999999997</v>
      </c>
      <c r="AE19" s="723">
        <f>Table25234678910111012131214121516[[#This Row],[Gas Export (MMscf/d)]]</f>
        <v>27.094000000000001</v>
      </c>
      <c r="AF19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19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19.734999999999999</v>
      </c>
      <c r="AH19" s="142"/>
      <c r="AI19" s="729"/>
      <c r="AJ19" s="763"/>
      <c r="AK19" s="762"/>
      <c r="AL19" s="762"/>
      <c r="AM19" s="762"/>
      <c r="AN19" s="762"/>
      <c r="AO19" s="762"/>
      <c r="AP19" s="762"/>
      <c r="AS19" s="454"/>
      <c r="AT19" s="454"/>
      <c r="AU19" s="454"/>
      <c r="AV19" s="454"/>
      <c r="AW19" s="454"/>
      <c r="AX19" s="454"/>
      <c r="AY19" s="454"/>
    </row>
    <row r="20" spans="2:51" ht="21.6">
      <c r="B20" s="716">
        <v>44393</v>
      </c>
      <c r="C20" s="749">
        <v>21.64</v>
      </c>
      <c r="D20" s="750">
        <v>15.132</v>
      </c>
      <c r="E20" s="751">
        <v>8.9</v>
      </c>
      <c r="F20" s="749">
        <v>3.77</v>
      </c>
      <c r="G20" s="749">
        <f>SUM(Table25234678910111012131214121516[[#This Row],[Jones Creek Target (Mbopd)]:[Egwa Target (Mbopd)]])</f>
        <v>49.442</v>
      </c>
      <c r="H20" s="754">
        <v>20.228000000000002</v>
      </c>
      <c r="I20" s="752">
        <v>16.134</v>
      </c>
      <c r="J20" s="752">
        <v>0</v>
      </c>
      <c r="K20" s="752">
        <v>3.1269999999999998</v>
      </c>
      <c r="L20" s="753">
        <f t="shared" si="1"/>
        <v>39.489000000000004</v>
      </c>
      <c r="M20" s="721">
        <v>27.161000000000001</v>
      </c>
      <c r="N20" s="765">
        <f>Table25234678910111012131214121516[[#This Row],[Jones Creek Target (Mbopd)]]-Table25234678910111012131214121516[[#This Row],[Jones Creek (Mbopd)]]</f>
        <v>1.411999999999999</v>
      </c>
      <c r="O20" s="723">
        <f>Table25234678910111012131214121516[[#This Row],[Odidi Target (Mbopd)]]-Table25234678910111012131214121516[[#This Row],[Odidi (Mbopd)]]</f>
        <v>-1.0020000000000007</v>
      </c>
      <c r="P20" s="721">
        <f>Table25234678910111012131214121516[[#This Row],[Batan Target (Mbopd)]]-Table25234678910111012131214121516[[#This Row],[Batan (Mbopd)]]</f>
        <v>8.9</v>
      </c>
      <c r="Q20" s="747">
        <f>Table25234678910111012131214121516[[#This Row],[Egwa Target (Mbopd)]]-Table25234678910111012131214121516[[#This Row],[Egwa (Mbopd)]]</f>
        <v>0.64300000000000024</v>
      </c>
      <c r="R20" s="745">
        <v>6.6059000000000001</v>
      </c>
      <c r="S20" s="723">
        <v>38.07</v>
      </c>
      <c r="T20" s="723">
        <v>0</v>
      </c>
      <c r="U20" s="747">
        <v>3.11</v>
      </c>
      <c r="V20" s="746">
        <v>0.84</v>
      </c>
      <c r="W20" s="723">
        <v>0</v>
      </c>
      <c r="X20" s="723">
        <v>0</v>
      </c>
      <c r="Y20" s="721">
        <v>0</v>
      </c>
      <c r="Z20" s="746">
        <f>Table25234678910111012131214121516[[#This Row],[J/C Prod gas (MMscf)]]-Table25234678910111012131214121516[[#This Row],[J/C Utilised gas (MMscf)]]</f>
        <v>5.7659000000000002</v>
      </c>
      <c r="AA20" s="723">
        <f>Table25234678910111012131214121516[[#This Row],[Odid Prod gas (MMscf)]]-Table25234678910111012131214121516[[#This Row],[Gas Export (MMscf/d)]]-Table25234678910111012131214121516[[#This Row],[Odid Utilised gas (MMscf)]]</f>
        <v>10.908999999999999</v>
      </c>
      <c r="AB20" s="723">
        <f>Table25234678910111012131214121516[[#This Row],[Batn Prod gas (MMscf)]]-Table25234678910111012131214121516[[#This Row],[Batn Utilised gas (MMscf)]]</f>
        <v>0</v>
      </c>
      <c r="AC20" s="747">
        <f>Table25234678910111012131214121516[[#This Row],[Egwa Prod gas (MMscf)]]</f>
        <v>3.11</v>
      </c>
      <c r="AD20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47.785899999999998</v>
      </c>
      <c r="AE20" s="723">
        <f>Table25234678910111012131214121516[[#This Row],[Gas Export (MMscf/d)]]</f>
        <v>27.161000000000001</v>
      </c>
      <c r="AF20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0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19.7849</v>
      </c>
      <c r="AH20" s="142"/>
      <c r="AI20" s="729"/>
      <c r="AJ20" s="763"/>
      <c r="AK20" s="762"/>
      <c r="AL20" s="762"/>
      <c r="AM20" s="762"/>
      <c r="AN20" s="762"/>
      <c r="AO20" s="762"/>
      <c r="AP20" s="762"/>
      <c r="AS20" s="454"/>
      <c r="AT20" s="454"/>
      <c r="AU20" s="454"/>
      <c r="AV20" s="454"/>
      <c r="AW20" s="454"/>
      <c r="AX20" s="454"/>
      <c r="AY20" s="454"/>
    </row>
    <row r="21" spans="2:51" ht="21.6">
      <c r="B21" s="716">
        <v>44394</v>
      </c>
      <c r="C21" s="749">
        <v>21.64</v>
      </c>
      <c r="D21" s="750">
        <v>15.132</v>
      </c>
      <c r="E21" s="751">
        <v>8.9</v>
      </c>
      <c r="F21" s="749">
        <v>3.77</v>
      </c>
      <c r="G21" s="749">
        <f>SUM(Table25234678910111012131214121516[[#This Row],[Jones Creek Target (Mbopd)]:[Egwa Target (Mbopd)]])</f>
        <v>49.442</v>
      </c>
      <c r="H21" s="752">
        <v>19.989999999999998</v>
      </c>
      <c r="I21" s="752">
        <v>16.353999999999999</v>
      </c>
      <c r="J21" s="752">
        <v>0</v>
      </c>
      <c r="K21" s="752">
        <v>3.0680000000000001</v>
      </c>
      <c r="L21" s="753">
        <f t="shared" si="1"/>
        <v>39.411999999999992</v>
      </c>
      <c r="M21" s="721">
        <v>27.399000000000001</v>
      </c>
      <c r="N21" s="765">
        <f>Table25234678910111012131214121516[[#This Row],[Jones Creek Target (Mbopd)]]-Table25234678910111012131214121516[[#This Row],[Jones Creek (Mbopd)]]</f>
        <v>1.6500000000000021</v>
      </c>
      <c r="O21" s="723">
        <f>Table25234678910111012131214121516[[#This Row],[Odidi Target (Mbopd)]]-Table25234678910111012131214121516[[#This Row],[Odidi (Mbopd)]]</f>
        <v>-1.2219999999999995</v>
      </c>
      <c r="P21" s="721">
        <f>Table25234678910111012131214121516[[#This Row],[Batan Target (Mbopd)]]-Table25234678910111012131214121516[[#This Row],[Batan (Mbopd)]]</f>
        <v>8.9</v>
      </c>
      <c r="Q21" s="747">
        <f>Table25234678910111012131214121516[[#This Row],[Egwa Target (Mbopd)]]-Table25234678910111012131214121516[[#This Row],[Egwa (Mbopd)]]</f>
        <v>0.70199999999999996</v>
      </c>
      <c r="R21" s="745">
        <v>6.46</v>
      </c>
      <c r="S21" s="723">
        <v>37.729999999999997</v>
      </c>
      <c r="T21" s="723">
        <v>0</v>
      </c>
      <c r="U21" s="747">
        <v>3.13</v>
      </c>
      <c r="V21" s="746">
        <v>0.84199999999999997</v>
      </c>
      <c r="W21" s="723">
        <v>0</v>
      </c>
      <c r="X21" s="723">
        <v>0</v>
      </c>
      <c r="Y21" s="721">
        <v>0</v>
      </c>
      <c r="Z21" s="746">
        <f>Table25234678910111012131214121516[[#This Row],[J/C Prod gas (MMscf)]]-Table25234678910111012131214121516[[#This Row],[J/C Utilised gas (MMscf)]]</f>
        <v>5.6180000000000003</v>
      </c>
      <c r="AA21" s="723">
        <f>Table25234678910111012131214121516[[#This Row],[Odid Prod gas (MMscf)]]-Table25234678910111012131214121516[[#This Row],[Gas Export (MMscf/d)]]-Table25234678910111012131214121516[[#This Row],[Odid Utilised gas (MMscf)]]</f>
        <v>10.330999999999996</v>
      </c>
      <c r="AB21" s="723">
        <f>Table25234678910111012131214121516[[#This Row],[Batn Prod gas (MMscf)]]-Table25234678910111012131214121516[[#This Row],[Batn Utilised gas (MMscf)]]</f>
        <v>0</v>
      </c>
      <c r="AC21" s="747">
        <f>Table25234678910111012131214121516[[#This Row],[Egwa Prod gas (MMscf)]]</f>
        <v>3.13</v>
      </c>
      <c r="AD21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47.32</v>
      </c>
      <c r="AE21" s="723">
        <f>Table25234678910111012131214121516[[#This Row],[Gas Export (MMscf/d)]]</f>
        <v>27.399000000000001</v>
      </c>
      <c r="AF21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0.84199999999999997</v>
      </c>
      <c r="AG21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19.078999999999994</v>
      </c>
      <c r="AH21" s="142"/>
      <c r="AI21" s="729"/>
      <c r="AJ21" s="763"/>
      <c r="AK21" s="762"/>
      <c r="AL21" s="762"/>
      <c r="AM21" s="762"/>
      <c r="AN21" s="762"/>
      <c r="AO21" s="762"/>
      <c r="AP21" s="762"/>
      <c r="AS21" s="454"/>
      <c r="AT21" s="454"/>
      <c r="AU21" s="454"/>
      <c r="AV21" s="454"/>
      <c r="AW21" s="454"/>
      <c r="AX21" s="454"/>
      <c r="AY21" s="454"/>
    </row>
    <row r="22" spans="2:51" ht="21.6">
      <c r="B22" s="716">
        <v>44395</v>
      </c>
      <c r="C22" s="749">
        <v>21.64</v>
      </c>
      <c r="D22" s="750">
        <v>15.132</v>
      </c>
      <c r="E22" s="751">
        <v>8.9</v>
      </c>
      <c r="F22" s="749">
        <v>3.77</v>
      </c>
      <c r="G22" s="749">
        <f>SUM(Table25234678910111012131214121516[[#This Row],[Jones Creek Target (Mbopd)]:[Egwa Target (Mbopd)]])</f>
        <v>49.442</v>
      </c>
      <c r="H22" s="752">
        <v>19.908999999999999</v>
      </c>
      <c r="I22" s="752">
        <v>16.183</v>
      </c>
      <c r="J22" s="752">
        <v>0</v>
      </c>
      <c r="K22" s="752">
        <v>3.0070000000000001</v>
      </c>
      <c r="L22" s="753">
        <f t="shared" si="1"/>
        <v>39.098999999999997</v>
      </c>
      <c r="M22" s="721">
        <v>26.92</v>
      </c>
      <c r="N22" s="765">
        <f>Table25234678910111012131214121516[[#This Row],[Jones Creek Target (Mbopd)]]-Table25234678910111012131214121516[[#This Row],[Jones Creek (Mbopd)]]</f>
        <v>1.7310000000000016</v>
      </c>
      <c r="O22" s="723">
        <f>Table25234678910111012131214121516[[#This Row],[Odidi Target (Mbopd)]]-Table25234678910111012131214121516[[#This Row],[Odidi (Mbopd)]]</f>
        <v>-1.0510000000000002</v>
      </c>
      <c r="P22" s="721">
        <f>Table25234678910111012131214121516[[#This Row],[Batan Target (Mbopd)]]-Table25234678910111012131214121516[[#This Row],[Batan (Mbopd)]]</f>
        <v>8.9</v>
      </c>
      <c r="Q22" s="747">
        <f>Table25234678910111012131214121516[[#This Row],[Egwa Target (Mbopd)]]-Table25234678910111012131214121516[[#This Row],[Egwa (Mbopd)]]</f>
        <v>0.7629999999999999</v>
      </c>
      <c r="R22" s="745">
        <v>6.61</v>
      </c>
      <c r="S22" s="723">
        <v>37.78</v>
      </c>
      <c r="T22" s="723">
        <v>0</v>
      </c>
      <c r="U22" s="747">
        <v>3.18</v>
      </c>
      <c r="V22" s="746">
        <v>0.84</v>
      </c>
      <c r="W22" s="723">
        <v>0</v>
      </c>
      <c r="X22" s="723">
        <v>0</v>
      </c>
      <c r="Y22" s="721">
        <v>0</v>
      </c>
      <c r="Z22" s="746">
        <f>Table25234678910111012131214121516[[#This Row],[J/C Prod gas (MMscf)]]-Table25234678910111012131214121516[[#This Row],[J/C Utilised gas (MMscf)]]</f>
        <v>5.7700000000000005</v>
      </c>
      <c r="AA22" s="723">
        <f>Table25234678910111012131214121516[[#This Row],[Odid Prod gas (MMscf)]]-Table25234678910111012131214121516[[#This Row],[Gas Export (MMscf/d)]]-Table25234678910111012131214121516[[#This Row],[Odid Utilised gas (MMscf)]]</f>
        <v>10.86</v>
      </c>
      <c r="AB22" s="723">
        <f>Table25234678910111012131214121516[[#This Row],[Batn Prod gas (MMscf)]]-Table25234678910111012131214121516[[#This Row],[Batn Utilised gas (MMscf)]]</f>
        <v>0</v>
      </c>
      <c r="AC22" s="747">
        <f>Table25234678910111012131214121516[[#This Row],[Egwa Prod gas (MMscf)]]</f>
        <v>3.18</v>
      </c>
      <c r="AD22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47.57</v>
      </c>
      <c r="AE22" s="723">
        <f>Table25234678910111012131214121516[[#This Row],[Gas Export (MMscf/d)]]</f>
        <v>26.92</v>
      </c>
      <c r="AF22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2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19.809999999999999</v>
      </c>
      <c r="AH22" s="142"/>
      <c r="AI22" s="729"/>
      <c r="AJ22" s="763"/>
      <c r="AK22" s="762"/>
      <c r="AL22" s="762"/>
      <c r="AM22" s="762"/>
      <c r="AN22" s="762"/>
      <c r="AO22" s="762"/>
      <c r="AP22" s="762"/>
      <c r="AS22" s="454"/>
      <c r="AT22" s="454"/>
      <c r="AU22" s="454"/>
      <c r="AV22" s="454"/>
      <c r="AW22" s="454"/>
      <c r="AX22" s="454"/>
      <c r="AY22" s="454"/>
    </row>
    <row r="23" spans="2:51" ht="21.6">
      <c r="B23" s="716">
        <v>44396</v>
      </c>
      <c r="C23" s="749">
        <v>21.64</v>
      </c>
      <c r="D23" s="750">
        <v>15.132</v>
      </c>
      <c r="E23" s="751">
        <v>8.9</v>
      </c>
      <c r="F23" s="749">
        <v>3.77</v>
      </c>
      <c r="G23" s="749">
        <f>SUM(Table25234678910111012131214121516[[#This Row],[Jones Creek Target (Mbopd)]:[Egwa Target (Mbopd)]])</f>
        <v>49.442</v>
      </c>
      <c r="H23" s="752">
        <v>19.292999999999999</v>
      </c>
      <c r="I23" s="752">
        <v>16.402000000000001</v>
      </c>
      <c r="J23" s="752">
        <v>0.38200000000000001</v>
      </c>
      <c r="K23" s="752">
        <v>2.2519999999999998</v>
      </c>
      <c r="L23" s="753">
        <f t="shared" si="1"/>
        <v>38.329000000000001</v>
      </c>
      <c r="M23" s="721">
        <v>26.777999999999999</v>
      </c>
      <c r="N23" s="765">
        <f>Table25234678910111012131214121516[[#This Row],[Jones Creek Target (Mbopd)]]-Table25234678910111012131214121516[[#This Row],[Jones Creek (Mbopd)]]</f>
        <v>2.3470000000000013</v>
      </c>
      <c r="O23" s="723">
        <f>Table25234678910111012131214121516[[#This Row],[Odidi Target (Mbopd)]]-Table25234678910111012131214121516[[#This Row],[Odidi (Mbopd)]]</f>
        <v>-1.2700000000000014</v>
      </c>
      <c r="P23" s="721">
        <f>Table25234678910111012131214121516[[#This Row],[Batan Target (Mbopd)]]-Table25234678910111012131214121516[[#This Row],[Batan (Mbopd)]]</f>
        <v>8.5180000000000007</v>
      </c>
      <c r="Q23" s="747">
        <f>Table25234678910111012131214121516[[#This Row],[Egwa Target (Mbopd)]]-Table25234678910111012131214121516[[#This Row],[Egwa (Mbopd)]]</f>
        <v>1.5180000000000002</v>
      </c>
      <c r="R23" s="745">
        <v>6.61</v>
      </c>
      <c r="S23" s="723">
        <v>38.07</v>
      </c>
      <c r="T23" s="723">
        <v>0</v>
      </c>
      <c r="U23" s="747">
        <v>2.71</v>
      </c>
      <c r="V23" s="746">
        <v>0.84</v>
      </c>
      <c r="W23" s="723">
        <v>0</v>
      </c>
      <c r="X23" s="723">
        <v>0</v>
      </c>
      <c r="Y23" s="721">
        <v>0</v>
      </c>
      <c r="Z23" s="746">
        <f>Table25234678910111012131214121516[[#This Row],[J/C Prod gas (MMscf)]]-Table25234678910111012131214121516[[#This Row],[J/C Utilised gas (MMscf)]]</f>
        <v>5.7700000000000005</v>
      </c>
      <c r="AA23" s="723">
        <f>Table25234678910111012131214121516[[#This Row],[Odid Prod gas (MMscf)]]-Table25234678910111012131214121516[[#This Row],[Gas Export (MMscf/d)]]-Table25234678910111012131214121516[[#This Row],[Odid Utilised gas (MMscf)]]</f>
        <v>11.292000000000002</v>
      </c>
      <c r="AB23" s="723">
        <f>Table25234678910111012131214121516[[#This Row],[Batn Prod gas (MMscf)]]-Table25234678910111012131214121516[[#This Row],[Batn Utilised gas (MMscf)]]</f>
        <v>0</v>
      </c>
      <c r="AC23" s="747">
        <f>Table25234678910111012131214121516[[#This Row],[Egwa Prod gas (MMscf)]]</f>
        <v>2.71</v>
      </c>
      <c r="AD23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47.39</v>
      </c>
      <c r="AE23" s="723">
        <f>Table25234678910111012131214121516[[#This Row],[Gas Export (MMscf/d)]]</f>
        <v>26.777999999999999</v>
      </c>
      <c r="AF23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3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19.772000000000002</v>
      </c>
      <c r="AH23" s="142"/>
      <c r="AI23" s="729"/>
      <c r="AJ23" s="763"/>
      <c r="AK23" s="762"/>
      <c r="AL23" s="762"/>
      <c r="AM23" s="762"/>
      <c r="AN23" s="762"/>
      <c r="AO23" s="762"/>
      <c r="AP23" s="762"/>
      <c r="AS23" s="454"/>
      <c r="AT23" s="454"/>
      <c r="AU23" s="454"/>
      <c r="AV23" s="454"/>
      <c r="AW23" s="454"/>
      <c r="AX23" s="454"/>
      <c r="AY23" s="454"/>
    </row>
    <row r="24" spans="2:51" ht="21.6">
      <c r="B24" s="716">
        <v>44397</v>
      </c>
      <c r="C24" s="749">
        <v>21.64</v>
      </c>
      <c r="D24" s="750">
        <v>15.132</v>
      </c>
      <c r="E24" s="751">
        <v>8.9</v>
      </c>
      <c r="F24" s="749">
        <v>3.77</v>
      </c>
      <c r="G24" s="749">
        <f>SUM(Table25234678910111012131214121516[[#This Row],[Jones Creek Target (Mbopd)]:[Egwa Target (Mbopd)]])</f>
        <v>49.442</v>
      </c>
      <c r="H24" s="752">
        <v>18.536999999999999</v>
      </c>
      <c r="I24" s="752">
        <v>16.463999999999999</v>
      </c>
      <c r="J24" s="752">
        <v>0</v>
      </c>
      <c r="K24" s="752">
        <v>1.512</v>
      </c>
      <c r="L24" s="753">
        <f t="shared" si="1"/>
        <v>36.512999999999998</v>
      </c>
      <c r="M24" s="721">
        <v>26.97</v>
      </c>
      <c r="N24" s="765">
        <f>Table25234678910111012131214121516[[#This Row],[Jones Creek Target (Mbopd)]]-Table25234678910111012131214121516[[#This Row],[Jones Creek (Mbopd)]]</f>
        <v>3.1030000000000015</v>
      </c>
      <c r="O24" s="723">
        <f>Table25234678910111012131214121516[[#This Row],[Odidi Target (Mbopd)]]-Table25234678910111012131214121516[[#This Row],[Odidi (Mbopd)]]</f>
        <v>-1.331999999999999</v>
      </c>
      <c r="P24" s="721">
        <f>Table25234678910111012131214121516[[#This Row],[Batan Target (Mbopd)]]-Table25234678910111012131214121516[[#This Row],[Batan (Mbopd)]]</f>
        <v>8.9</v>
      </c>
      <c r="Q24" s="747">
        <f>Table25234678910111012131214121516[[#This Row],[Egwa Target (Mbopd)]]-Table25234678910111012131214121516[[#This Row],[Egwa (Mbopd)]]</f>
        <v>2.258</v>
      </c>
      <c r="R24" s="745">
        <v>6.32</v>
      </c>
      <c r="S24" s="723">
        <v>38.07</v>
      </c>
      <c r="T24" s="723">
        <v>0</v>
      </c>
      <c r="U24" s="747">
        <v>2.0299999999999998</v>
      </c>
      <c r="V24" s="746">
        <v>0.84</v>
      </c>
      <c r="W24" s="723">
        <v>0</v>
      </c>
      <c r="X24" s="723">
        <v>0</v>
      </c>
      <c r="Y24" s="721">
        <v>0</v>
      </c>
      <c r="Z24" s="746">
        <f>Table25234678910111012131214121516[[#This Row],[J/C Prod gas (MMscf)]]-Table25234678910111012131214121516[[#This Row],[J/C Utilised gas (MMscf)]]</f>
        <v>5.48</v>
      </c>
      <c r="AA24" s="723">
        <f>Table25234678910111012131214121516[[#This Row],[Odid Prod gas (MMscf)]]-Table25234678910111012131214121516[[#This Row],[Gas Export (MMscf/d)]]-Table25234678910111012131214121516[[#This Row],[Odid Utilised gas (MMscf)]]</f>
        <v>11.100000000000001</v>
      </c>
      <c r="AB24" s="723">
        <f>Table25234678910111012131214121516[[#This Row],[Batn Prod gas (MMscf)]]-Table25234678910111012131214121516[[#This Row],[Batn Utilised gas (MMscf)]]</f>
        <v>0</v>
      </c>
      <c r="AC24" s="747">
        <f>Table25234678910111012131214121516[[#This Row],[Egwa Prod gas (MMscf)]]</f>
        <v>2.0299999999999998</v>
      </c>
      <c r="AD24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46.42</v>
      </c>
      <c r="AE24" s="723">
        <f>Table25234678910111012131214121516[[#This Row],[Gas Export (MMscf/d)]]</f>
        <v>26.97</v>
      </c>
      <c r="AF24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4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18.61</v>
      </c>
      <c r="AH24" s="142"/>
      <c r="AI24" s="729"/>
      <c r="AJ24" s="763"/>
      <c r="AK24" s="762"/>
      <c r="AL24" s="762"/>
      <c r="AM24" s="762"/>
      <c r="AN24" s="762"/>
      <c r="AO24" s="762"/>
      <c r="AP24" s="762"/>
      <c r="AS24" s="454"/>
      <c r="AT24" s="454"/>
      <c r="AU24" s="454"/>
      <c r="AV24" s="454"/>
      <c r="AW24" s="454"/>
      <c r="AX24" s="454"/>
      <c r="AY24" s="454"/>
    </row>
    <row r="25" spans="2:51" ht="21.6">
      <c r="B25" s="716">
        <v>44398</v>
      </c>
      <c r="C25" s="749">
        <v>21.64</v>
      </c>
      <c r="D25" s="750">
        <v>15.132</v>
      </c>
      <c r="E25" s="751">
        <v>8.9</v>
      </c>
      <c r="F25" s="749">
        <v>3.77</v>
      </c>
      <c r="G25" s="749">
        <f>SUM(Table25234678910111012131214121516[[#This Row],[Jones Creek Target (Mbopd)]:[Egwa Target (Mbopd)]])</f>
        <v>49.442</v>
      </c>
      <c r="H25" s="752">
        <v>19.013000000000002</v>
      </c>
      <c r="I25" s="752">
        <v>16.530999999999999</v>
      </c>
      <c r="J25" s="752">
        <v>0</v>
      </c>
      <c r="K25" s="752">
        <v>1.4330000000000001</v>
      </c>
      <c r="L25" s="753">
        <f t="shared" si="1"/>
        <v>36.976999999999997</v>
      </c>
      <c r="M25" s="721">
        <v>14.83</v>
      </c>
      <c r="N25" s="765">
        <f>Table25234678910111012131214121516[[#This Row],[Jones Creek Target (Mbopd)]]-Table25234678910111012131214121516[[#This Row],[Jones Creek (Mbopd)]]</f>
        <v>2.6269999999999989</v>
      </c>
      <c r="O25" s="723">
        <f>Table25234678910111012131214121516[[#This Row],[Odidi Target (Mbopd)]]-Table25234678910111012131214121516[[#This Row],[Odidi (Mbopd)]]</f>
        <v>-1.3989999999999991</v>
      </c>
      <c r="P25" s="721">
        <f>Table25234678910111012131214121516[[#This Row],[Batan Target (Mbopd)]]-Table25234678910111012131214121516[[#This Row],[Batan (Mbopd)]]</f>
        <v>8.9</v>
      </c>
      <c r="Q25" s="747">
        <f>Table25234678910111012131214121516[[#This Row],[Egwa Target (Mbopd)]]-Table25234678910111012131214121516[[#This Row],[Egwa (Mbopd)]]</f>
        <v>2.3369999999999997</v>
      </c>
      <c r="R25" s="745">
        <v>6.3</v>
      </c>
      <c r="S25" s="723">
        <v>38.07</v>
      </c>
      <c r="T25" s="723">
        <v>0</v>
      </c>
      <c r="U25" s="747">
        <v>2.0099999999999998</v>
      </c>
      <c r="V25" s="746">
        <v>0.84</v>
      </c>
      <c r="W25" s="723">
        <v>0</v>
      </c>
      <c r="X25" s="723">
        <v>0</v>
      </c>
      <c r="Y25" s="721">
        <v>0</v>
      </c>
      <c r="Z25" s="746">
        <f>Table25234678910111012131214121516[[#This Row],[J/C Prod gas (MMscf)]]-Table25234678910111012131214121516[[#This Row],[J/C Utilised gas (MMscf)]]</f>
        <v>5.46</v>
      </c>
      <c r="AA25" s="723">
        <f>Table25234678910111012131214121516[[#This Row],[Odid Prod gas (MMscf)]]-Table25234678910111012131214121516[[#This Row],[Gas Export (MMscf/d)]]-Table25234678910111012131214121516[[#This Row],[Odid Utilised gas (MMscf)]]</f>
        <v>23.240000000000002</v>
      </c>
      <c r="AB25" s="723">
        <f>Table25234678910111012131214121516[[#This Row],[Batn Prod gas (MMscf)]]-Table25234678910111012131214121516[[#This Row],[Batn Utilised gas (MMscf)]]</f>
        <v>0</v>
      </c>
      <c r="AC25" s="747">
        <f>Table25234678910111012131214121516[[#This Row],[Egwa Prod gas (MMscf)]]</f>
        <v>2.0099999999999998</v>
      </c>
      <c r="AD25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46.379999999999995</v>
      </c>
      <c r="AE25" s="723">
        <f>Table25234678910111012131214121516[[#This Row],[Gas Export (MMscf/d)]]</f>
        <v>14.83</v>
      </c>
      <c r="AF25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5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30.71</v>
      </c>
      <c r="AH25" s="142"/>
      <c r="AI25" s="729"/>
      <c r="AJ25" s="763"/>
      <c r="AK25" s="762"/>
      <c r="AL25" s="762"/>
      <c r="AM25" s="762"/>
      <c r="AN25" s="762"/>
      <c r="AO25" s="762"/>
      <c r="AP25" s="762"/>
      <c r="AS25" s="454"/>
      <c r="AT25" s="454"/>
      <c r="AU25" s="454"/>
      <c r="AV25" s="454"/>
      <c r="AW25" s="454"/>
      <c r="AX25" s="454"/>
      <c r="AY25" s="454"/>
    </row>
    <row r="26" spans="2:51" ht="21.6">
      <c r="B26" s="716">
        <v>44399</v>
      </c>
      <c r="C26" s="749">
        <v>21.64</v>
      </c>
      <c r="D26" s="750">
        <v>15.132</v>
      </c>
      <c r="E26" s="751">
        <v>8.9</v>
      </c>
      <c r="F26" s="749">
        <v>3.77</v>
      </c>
      <c r="G26" s="749">
        <f>SUM(Table25234678910111012131214121516[[#This Row],[Jones Creek Target (Mbopd)]:[Egwa Target (Mbopd)]])</f>
        <v>49.442</v>
      </c>
      <c r="H26" s="752">
        <v>18.771999999999998</v>
      </c>
      <c r="I26" s="752">
        <v>16.309999999999999</v>
      </c>
      <c r="J26" s="752">
        <v>0</v>
      </c>
      <c r="K26" s="752">
        <v>1.363</v>
      </c>
      <c r="L26" s="753">
        <f t="shared" si="1"/>
        <v>36.444999999999993</v>
      </c>
      <c r="M26" s="721">
        <v>24.747</v>
      </c>
      <c r="N26" s="765">
        <f>Table25234678910111012131214121516[[#This Row],[Jones Creek Target (Mbopd)]]-Table25234678910111012131214121516[[#This Row],[Jones Creek (Mbopd)]]</f>
        <v>2.8680000000000021</v>
      </c>
      <c r="O26" s="723">
        <f>Table25234678910111012131214121516[[#This Row],[Odidi Target (Mbopd)]]-Table25234678910111012131214121516[[#This Row],[Odidi (Mbopd)]]</f>
        <v>-1.177999999999999</v>
      </c>
      <c r="P26" s="721">
        <f>Table25234678910111012131214121516[[#This Row],[Batan Target (Mbopd)]]-Table25234678910111012131214121516[[#This Row],[Batan (Mbopd)]]</f>
        <v>8.9</v>
      </c>
      <c r="Q26" s="747">
        <f>Table25234678910111012131214121516[[#This Row],[Egwa Target (Mbopd)]]-Table25234678910111012131214121516[[#This Row],[Egwa (Mbopd)]]</f>
        <v>2.407</v>
      </c>
      <c r="R26" s="745">
        <v>6.2988</v>
      </c>
      <c r="S26" s="723">
        <v>38.07</v>
      </c>
      <c r="T26" s="723">
        <v>0</v>
      </c>
      <c r="U26" s="747">
        <v>2.11</v>
      </c>
      <c r="V26" s="746">
        <v>0.84</v>
      </c>
      <c r="W26" s="723">
        <v>0</v>
      </c>
      <c r="X26" s="723">
        <v>0</v>
      </c>
      <c r="Y26" s="721">
        <v>0</v>
      </c>
      <c r="Z26" s="746">
        <f>Table25234678910111012131214121516[[#This Row],[J/C Prod gas (MMscf)]]-Table25234678910111012131214121516[[#This Row],[J/C Utilised gas (MMscf)]]</f>
        <v>5.4588000000000001</v>
      </c>
      <c r="AA26" s="723">
        <f>Table25234678910111012131214121516[[#This Row],[Odid Prod gas (MMscf)]]-Table25234678910111012131214121516[[#This Row],[Gas Export (MMscf/d)]]-Table25234678910111012131214121516[[#This Row],[Odid Utilised gas (MMscf)]]</f>
        <v>13.323</v>
      </c>
      <c r="AB26" s="723">
        <f>Table25234678910111012131214121516[[#This Row],[Batn Prod gas (MMscf)]]-Table25234678910111012131214121516[[#This Row],[Batn Utilised gas (MMscf)]]</f>
        <v>0</v>
      </c>
      <c r="AC26" s="747">
        <f>Table25234678910111012131214121516[[#This Row],[Egwa Prod gas (MMscf)]]</f>
        <v>2.11</v>
      </c>
      <c r="AD26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46.4788</v>
      </c>
      <c r="AE26" s="723">
        <f>Table25234678910111012131214121516[[#This Row],[Gas Export (MMscf/d)]]</f>
        <v>24.747</v>
      </c>
      <c r="AF26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6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20.8918</v>
      </c>
      <c r="AH26" s="142"/>
      <c r="AI26" s="729"/>
      <c r="AJ26" s="763"/>
      <c r="AK26" s="762"/>
      <c r="AL26" s="762"/>
      <c r="AM26" s="762"/>
      <c r="AN26" s="762"/>
      <c r="AO26" s="762"/>
      <c r="AP26" s="762"/>
      <c r="AS26" s="454"/>
      <c r="AT26" s="454"/>
      <c r="AU26" s="454"/>
      <c r="AV26" s="454"/>
      <c r="AW26" s="454"/>
      <c r="AX26" s="454"/>
      <c r="AY26" s="454"/>
    </row>
    <row r="27" spans="2:51" ht="21.6">
      <c r="B27" s="716">
        <v>44400</v>
      </c>
      <c r="C27" s="749">
        <v>21.64</v>
      </c>
      <c r="D27" s="750">
        <v>15.132</v>
      </c>
      <c r="E27" s="751">
        <v>8.9</v>
      </c>
      <c r="F27" s="749">
        <v>3.77</v>
      </c>
      <c r="G27" s="749">
        <f>SUM(Table25234678910111012131214121516[[#This Row],[Jones Creek Target (Mbopd)]:[Egwa Target (Mbopd)]])</f>
        <v>49.442</v>
      </c>
      <c r="H27" s="752">
        <v>18.347000000000001</v>
      </c>
      <c r="I27" s="752">
        <v>16.425999999999998</v>
      </c>
      <c r="J27" s="752">
        <v>0</v>
      </c>
      <c r="K27" s="752">
        <v>1.3680000000000001</v>
      </c>
      <c r="L27" s="753">
        <f t="shared" si="1"/>
        <v>36.140999999999998</v>
      </c>
      <c r="M27" s="721">
        <v>24.434000000000001</v>
      </c>
      <c r="N27" s="765">
        <f>Table25234678910111012131214121516[[#This Row],[Jones Creek Target (Mbopd)]]-Table25234678910111012131214121516[[#This Row],[Jones Creek (Mbopd)]]</f>
        <v>3.2929999999999993</v>
      </c>
      <c r="O27" s="723">
        <f>Table25234678910111012131214121516[[#This Row],[Odidi Target (Mbopd)]]-Table25234678910111012131214121516[[#This Row],[Odidi (Mbopd)]]</f>
        <v>-1.2939999999999987</v>
      </c>
      <c r="P27" s="721">
        <f>Table25234678910111012131214121516[[#This Row],[Batan Target (Mbopd)]]-Table25234678910111012131214121516[[#This Row],[Batan (Mbopd)]]</f>
        <v>8.9</v>
      </c>
      <c r="Q27" s="747">
        <f>Table25234678910111012131214121516[[#This Row],[Egwa Target (Mbopd)]]-Table25234678910111012131214121516[[#This Row],[Egwa (Mbopd)]]</f>
        <v>2.4020000000000001</v>
      </c>
      <c r="R27" s="745">
        <v>6.1433999999999997</v>
      </c>
      <c r="S27" s="723">
        <v>38.07</v>
      </c>
      <c r="T27" s="723">
        <v>0</v>
      </c>
      <c r="U27" s="747">
        <v>2.0499999999999998</v>
      </c>
      <c r="V27" s="746">
        <v>0.84</v>
      </c>
      <c r="W27" s="723">
        <v>0</v>
      </c>
      <c r="X27" s="723">
        <v>0</v>
      </c>
      <c r="Y27" s="721">
        <v>0</v>
      </c>
      <c r="Z27" s="746">
        <f>Table25234678910111012131214121516[[#This Row],[J/C Prod gas (MMscf)]]-Table25234678910111012131214121516[[#This Row],[J/C Utilised gas (MMscf)]]</f>
        <v>5.3033999999999999</v>
      </c>
      <c r="AA27" s="723">
        <f>Table25234678910111012131214121516[[#This Row],[Odid Prod gas (MMscf)]]-Table25234678910111012131214121516[[#This Row],[Gas Export (MMscf/d)]]-Table25234678910111012131214121516[[#This Row],[Odid Utilised gas (MMscf)]]</f>
        <v>13.635999999999999</v>
      </c>
      <c r="AB27" s="723">
        <f>Table25234678910111012131214121516[[#This Row],[Batn Prod gas (MMscf)]]-Table25234678910111012131214121516[[#This Row],[Batn Utilised gas (MMscf)]]</f>
        <v>0</v>
      </c>
      <c r="AC27" s="747">
        <f>Table25234678910111012131214121516[[#This Row],[Egwa Prod gas (MMscf)]]</f>
        <v>2.0499999999999998</v>
      </c>
      <c r="AD27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46.263399999999997</v>
      </c>
      <c r="AE27" s="723">
        <f>Table25234678910111012131214121516[[#This Row],[Gas Export (MMscf/d)]]</f>
        <v>24.434000000000001</v>
      </c>
      <c r="AF27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7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20.9894</v>
      </c>
      <c r="AH27" s="142"/>
      <c r="AI27" s="729"/>
      <c r="AJ27" s="763"/>
      <c r="AK27" s="762"/>
      <c r="AL27" s="762"/>
      <c r="AM27" s="762"/>
      <c r="AN27" s="762"/>
      <c r="AO27" s="762"/>
      <c r="AP27" s="762"/>
      <c r="AS27" s="454"/>
      <c r="AT27" s="454"/>
      <c r="AU27" s="454"/>
      <c r="AV27" s="454"/>
      <c r="AW27" s="454"/>
      <c r="AX27" s="454"/>
      <c r="AY27" s="454"/>
    </row>
    <row r="28" spans="2:51" ht="21.6">
      <c r="B28" s="716">
        <v>44401</v>
      </c>
      <c r="C28" s="749">
        <v>21.64</v>
      </c>
      <c r="D28" s="750">
        <v>15.132</v>
      </c>
      <c r="E28" s="751">
        <v>8.9</v>
      </c>
      <c r="F28" s="749">
        <v>3.77</v>
      </c>
      <c r="G28" s="749">
        <f>SUM(Table25234678910111012131214121516[[#This Row],[Jones Creek Target (Mbopd)]:[Egwa Target (Mbopd)]])</f>
        <v>49.442</v>
      </c>
      <c r="H28" s="752">
        <v>19.081</v>
      </c>
      <c r="I28" s="752">
        <v>16.524999999999999</v>
      </c>
      <c r="J28" s="752">
        <v>0</v>
      </c>
      <c r="K28" s="752">
        <v>2.4950000000000001</v>
      </c>
      <c r="L28" s="753">
        <f t="shared" si="1"/>
        <v>38.100999999999992</v>
      </c>
      <c r="M28" s="721">
        <v>25.224</v>
      </c>
      <c r="N28" s="765">
        <f>Table25234678910111012131214121516[[#This Row],[Jones Creek Target (Mbopd)]]-Table25234678910111012131214121516[[#This Row],[Jones Creek (Mbopd)]]</f>
        <v>2.5590000000000011</v>
      </c>
      <c r="O28" s="723">
        <f>Table25234678910111012131214121516[[#This Row],[Odidi Target (Mbopd)]]-Table25234678910111012131214121516[[#This Row],[Odidi (Mbopd)]]</f>
        <v>-1.3929999999999989</v>
      </c>
      <c r="P28" s="721">
        <f>Table25234678910111012131214121516[[#This Row],[Batan Target (Mbopd)]]-Table25234678910111012131214121516[[#This Row],[Batan (Mbopd)]]</f>
        <v>8.9</v>
      </c>
      <c r="Q28" s="747">
        <f>Table25234678910111012131214121516[[#This Row],[Egwa Target (Mbopd)]]-Table25234678910111012131214121516[[#This Row],[Egwa (Mbopd)]]</f>
        <v>1.2749999999999999</v>
      </c>
      <c r="R28" s="745">
        <v>6.0289999999999999</v>
      </c>
      <c r="S28" s="723">
        <v>38.07</v>
      </c>
      <c r="T28" s="723">
        <v>0</v>
      </c>
      <c r="U28" s="747">
        <v>2.39</v>
      </c>
      <c r="V28" s="746">
        <v>0.84</v>
      </c>
      <c r="W28" s="723">
        <v>0</v>
      </c>
      <c r="X28" s="723">
        <v>0</v>
      </c>
      <c r="Y28" s="721">
        <v>0</v>
      </c>
      <c r="Z28" s="746">
        <f>Table25234678910111012131214121516[[#This Row],[J/C Prod gas (MMscf)]]-Table25234678910111012131214121516[[#This Row],[J/C Utilised gas (MMscf)]]</f>
        <v>5.1890000000000001</v>
      </c>
      <c r="AA28" s="723">
        <f>Table25234678910111012131214121516[[#This Row],[Odid Prod gas (MMscf)]]-Table25234678910111012131214121516[[#This Row],[Gas Export (MMscf/d)]]-Table25234678910111012131214121516[[#This Row],[Odid Utilised gas (MMscf)]]</f>
        <v>12.846</v>
      </c>
      <c r="AB28" s="723">
        <f>Table25234678910111012131214121516[[#This Row],[Batn Prod gas (MMscf)]]-Table25234678910111012131214121516[[#This Row],[Batn Utilised gas (MMscf)]]</f>
        <v>0</v>
      </c>
      <c r="AC28" s="747">
        <f>Table25234678910111012131214121516[[#This Row],[Egwa Prod gas (MMscf)]]</f>
        <v>2.39</v>
      </c>
      <c r="AD28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46.489000000000004</v>
      </c>
      <c r="AE28" s="723">
        <f>Table25234678910111012131214121516[[#This Row],[Gas Export (MMscf/d)]]</f>
        <v>25.224</v>
      </c>
      <c r="AF28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8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20.425000000000001</v>
      </c>
      <c r="AH28" s="142"/>
      <c r="AI28" s="729"/>
      <c r="AJ28" s="763"/>
      <c r="AK28" s="762"/>
      <c r="AL28" s="762"/>
      <c r="AM28" s="762"/>
      <c r="AN28" s="762"/>
      <c r="AO28" s="762"/>
      <c r="AP28" s="762"/>
      <c r="AS28" s="454"/>
      <c r="AT28" s="454"/>
      <c r="AU28" s="454"/>
      <c r="AV28" s="454"/>
      <c r="AW28" s="454"/>
      <c r="AX28" s="454"/>
      <c r="AY28" s="454"/>
    </row>
    <row r="29" spans="2:51" ht="21.6">
      <c r="B29" s="716">
        <v>44402</v>
      </c>
      <c r="C29" s="749">
        <v>21.64</v>
      </c>
      <c r="D29" s="750">
        <v>15.132</v>
      </c>
      <c r="E29" s="751">
        <v>8.9</v>
      </c>
      <c r="F29" s="749">
        <v>3.77</v>
      </c>
      <c r="G29" s="749">
        <f>SUM(Table25234678910111012131214121516[[#This Row],[Jones Creek Target (Mbopd)]:[Egwa Target (Mbopd)]])</f>
        <v>49.442</v>
      </c>
      <c r="H29" s="752">
        <v>17.683</v>
      </c>
      <c r="I29" s="752">
        <v>16.417999999999999</v>
      </c>
      <c r="J29" s="752">
        <v>0</v>
      </c>
      <c r="K29" s="752">
        <v>2.9020000000000001</v>
      </c>
      <c r="L29" s="753">
        <f t="shared" si="1"/>
        <v>37.003</v>
      </c>
      <c r="M29" s="721">
        <v>24.300999999999998</v>
      </c>
      <c r="N29" s="765">
        <f>Table25234678910111012131214121516[[#This Row],[Jones Creek Target (Mbopd)]]-Table25234678910111012131214121516[[#This Row],[Jones Creek (Mbopd)]]</f>
        <v>3.9570000000000007</v>
      </c>
      <c r="O29" s="723">
        <f>Table25234678910111012131214121516[[#This Row],[Odidi Target (Mbopd)]]-Table25234678910111012131214121516[[#This Row],[Odidi (Mbopd)]]</f>
        <v>-1.2859999999999996</v>
      </c>
      <c r="P29" s="721">
        <f>Table25234678910111012131214121516[[#This Row],[Batan Target (Mbopd)]]-Table25234678910111012131214121516[[#This Row],[Batan (Mbopd)]]</f>
        <v>8.9</v>
      </c>
      <c r="Q29" s="747">
        <f>Table25234678910111012131214121516[[#This Row],[Egwa Target (Mbopd)]]-Table25234678910111012131214121516[[#This Row],[Egwa (Mbopd)]]</f>
        <v>0.86799999999999988</v>
      </c>
      <c r="R29" s="745">
        <v>6.0289999999999999</v>
      </c>
      <c r="S29" s="723">
        <v>38.07</v>
      </c>
      <c r="T29" s="723">
        <v>0</v>
      </c>
      <c r="U29" s="747">
        <v>2.67</v>
      </c>
      <c r="V29" s="746">
        <v>0.84</v>
      </c>
      <c r="W29" s="723">
        <v>0</v>
      </c>
      <c r="X29" s="723">
        <v>0</v>
      </c>
      <c r="Y29" s="721">
        <v>0</v>
      </c>
      <c r="Z29" s="746">
        <f>Table25234678910111012131214121516[[#This Row],[J/C Prod gas (MMscf)]]-Table25234678910111012131214121516[[#This Row],[J/C Utilised gas (MMscf)]]</f>
        <v>5.1890000000000001</v>
      </c>
      <c r="AA29" s="723">
        <f>Table25234678910111012131214121516[[#This Row],[Odid Prod gas (MMscf)]]-Table25234678910111012131214121516[[#This Row],[Gas Export (MMscf/d)]]-Table25234678910111012131214121516[[#This Row],[Odid Utilised gas (MMscf)]]</f>
        <v>13.769000000000002</v>
      </c>
      <c r="AB29" s="723">
        <f>Table25234678910111012131214121516[[#This Row],[Batn Prod gas (MMscf)]]-Table25234678910111012131214121516[[#This Row],[Batn Utilised gas (MMscf)]]</f>
        <v>0</v>
      </c>
      <c r="AC29" s="747">
        <f>Table25234678910111012131214121516[[#This Row],[Egwa Prod gas (MMscf)]]</f>
        <v>2.67</v>
      </c>
      <c r="AD29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46.769000000000005</v>
      </c>
      <c r="AE29" s="723">
        <f>Table25234678910111012131214121516[[#This Row],[Gas Export (MMscf/d)]]</f>
        <v>24.300999999999998</v>
      </c>
      <c r="AF29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29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21.628</v>
      </c>
      <c r="AH29" s="142"/>
      <c r="AI29" s="729"/>
      <c r="AJ29" s="763"/>
      <c r="AK29" s="762"/>
      <c r="AL29" s="762"/>
      <c r="AM29" s="762"/>
      <c r="AN29" s="762"/>
      <c r="AO29" s="762"/>
      <c r="AP29" s="762"/>
      <c r="AS29" s="454"/>
      <c r="AT29" s="454"/>
      <c r="AU29" s="454"/>
      <c r="AV29" s="454"/>
      <c r="AW29" s="454"/>
      <c r="AX29" s="454"/>
      <c r="AY29" s="454"/>
    </row>
    <row r="30" spans="2:51" ht="21.6">
      <c r="B30" s="716">
        <v>44403</v>
      </c>
      <c r="C30" s="749">
        <v>21.64</v>
      </c>
      <c r="D30" s="750">
        <v>15.132</v>
      </c>
      <c r="E30" s="751">
        <v>8.9</v>
      </c>
      <c r="F30" s="749">
        <v>3.77</v>
      </c>
      <c r="G30" s="749">
        <f>SUM(Table25234678910111012131214121516[[#This Row],[Jones Creek Target (Mbopd)]:[Egwa Target (Mbopd)]])</f>
        <v>49.442</v>
      </c>
      <c r="H30" s="752">
        <v>15.276</v>
      </c>
      <c r="I30" s="752">
        <v>16.550999999999998</v>
      </c>
      <c r="J30" s="752">
        <v>2.1379999999999999</v>
      </c>
      <c r="K30" s="752">
        <v>2.8959999999999999</v>
      </c>
      <c r="L30" s="753">
        <f t="shared" si="1"/>
        <v>36.860999999999997</v>
      </c>
      <c r="M30" s="721">
        <v>24.43</v>
      </c>
      <c r="N30" s="765">
        <f>Table25234678910111012131214121516[[#This Row],[Jones Creek Target (Mbopd)]]-Table25234678910111012131214121516[[#This Row],[Jones Creek (Mbopd)]]</f>
        <v>6.3640000000000008</v>
      </c>
      <c r="O30" s="723">
        <f>Table25234678910111012131214121516[[#This Row],[Odidi Target (Mbopd)]]-Table25234678910111012131214121516[[#This Row],[Odidi (Mbopd)]]</f>
        <v>-1.4189999999999987</v>
      </c>
      <c r="P30" s="721">
        <f>Table25234678910111012131214121516[[#This Row],[Batan Target (Mbopd)]]-Table25234678910111012131214121516[[#This Row],[Batan (Mbopd)]]</f>
        <v>6.7620000000000005</v>
      </c>
      <c r="Q30" s="747">
        <f>Table25234678910111012131214121516[[#This Row],[Egwa Target (Mbopd)]]-Table25234678910111012131214121516[[#This Row],[Egwa (Mbopd)]]</f>
        <v>0.87400000000000011</v>
      </c>
      <c r="R30" s="745">
        <v>5.4889999999999999</v>
      </c>
      <c r="S30" s="723">
        <v>38.07</v>
      </c>
      <c r="T30" s="723">
        <v>1.07</v>
      </c>
      <c r="U30" s="747">
        <v>2.95</v>
      </c>
      <c r="V30" s="746">
        <v>0.84</v>
      </c>
      <c r="W30" s="723">
        <v>0</v>
      </c>
      <c r="X30" s="723">
        <v>0</v>
      </c>
      <c r="Y30" s="721">
        <v>0</v>
      </c>
      <c r="Z30" s="746">
        <f>Table25234678910111012131214121516[[#This Row],[J/C Prod gas (MMscf)]]-Table25234678910111012131214121516[[#This Row],[J/C Utilised gas (MMscf)]]</f>
        <v>4.649</v>
      </c>
      <c r="AA30" s="723">
        <f>Table25234678910111012131214121516[[#This Row],[Odid Prod gas (MMscf)]]-Table25234678910111012131214121516[[#This Row],[Gas Export (MMscf/d)]]-Table25234678910111012131214121516[[#This Row],[Odid Utilised gas (MMscf)]]</f>
        <v>13.64</v>
      </c>
      <c r="AB30" s="723">
        <f>Table25234678910111012131214121516[[#This Row],[Batn Prod gas (MMscf)]]-Table25234678910111012131214121516[[#This Row],[Batn Utilised gas (MMscf)]]</f>
        <v>1.07</v>
      </c>
      <c r="AC30" s="747">
        <f>Table25234678910111012131214121516[[#This Row],[Egwa Prod gas (MMscf)]]</f>
        <v>2.95</v>
      </c>
      <c r="AD30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47.579000000000001</v>
      </c>
      <c r="AE30" s="723">
        <f>Table25234678910111012131214121516[[#This Row],[Gas Export (MMscf/d)]]</f>
        <v>24.43</v>
      </c>
      <c r="AF30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30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22.309000000000001</v>
      </c>
      <c r="AH30" s="142"/>
      <c r="AI30" s="729"/>
      <c r="AJ30" s="763"/>
      <c r="AK30" s="762"/>
      <c r="AL30" s="762"/>
      <c r="AM30" s="762"/>
      <c r="AN30" s="762"/>
      <c r="AO30" s="762"/>
      <c r="AP30" s="762"/>
      <c r="AS30" s="454"/>
      <c r="AT30" s="454"/>
      <c r="AU30" s="454"/>
      <c r="AV30" s="454"/>
      <c r="AW30" s="454"/>
      <c r="AX30" s="454"/>
      <c r="AY30" s="454"/>
    </row>
    <row r="31" spans="2:51" ht="21.6">
      <c r="B31" s="716">
        <v>44404</v>
      </c>
      <c r="C31" s="749">
        <v>21.64</v>
      </c>
      <c r="D31" s="750">
        <v>15.132</v>
      </c>
      <c r="E31" s="751">
        <v>8.9</v>
      </c>
      <c r="F31" s="749">
        <v>3.77</v>
      </c>
      <c r="G31" s="749">
        <f>SUM(Table25234678910111012131214121516[[#This Row],[Jones Creek Target (Mbopd)]:[Egwa Target (Mbopd)]])</f>
        <v>49.442</v>
      </c>
      <c r="H31" s="752">
        <v>16.605</v>
      </c>
      <c r="I31" s="752">
        <v>16.652000000000001</v>
      </c>
      <c r="J31" s="752">
        <v>2.4409999999999998</v>
      </c>
      <c r="K31" s="752">
        <v>2.8340000000000001</v>
      </c>
      <c r="L31" s="753">
        <f t="shared" si="1"/>
        <v>38.532000000000011</v>
      </c>
      <c r="M31" s="721">
        <v>25.25</v>
      </c>
      <c r="N31" s="765">
        <f>Table25234678910111012131214121516[[#This Row],[Jones Creek Target (Mbopd)]]-Table25234678910111012131214121516[[#This Row],[Jones Creek (Mbopd)]]</f>
        <v>5.0350000000000001</v>
      </c>
      <c r="O31" s="723">
        <f>Table25234678910111012131214121516[[#This Row],[Odidi Target (Mbopd)]]-Table25234678910111012131214121516[[#This Row],[Odidi (Mbopd)]]</f>
        <v>-1.5200000000000014</v>
      </c>
      <c r="P31" s="721">
        <f>Table25234678910111012131214121516[[#This Row],[Batan Target (Mbopd)]]-Table25234678910111012131214121516[[#This Row],[Batan (Mbopd)]]</f>
        <v>6.4590000000000005</v>
      </c>
      <c r="Q31" s="747">
        <f>Table25234678910111012131214121516[[#This Row],[Egwa Target (Mbopd)]]-Table25234678910111012131214121516[[#This Row],[Egwa (Mbopd)]]</f>
        <v>0.93599999999999994</v>
      </c>
      <c r="R31" s="745">
        <v>6.21</v>
      </c>
      <c r="S31" s="723">
        <v>38.07</v>
      </c>
      <c r="T31" s="723">
        <v>1.07</v>
      </c>
      <c r="U31" s="747">
        <v>3.12</v>
      </c>
      <c r="V31" s="746">
        <v>0.84</v>
      </c>
      <c r="W31" s="723">
        <v>0</v>
      </c>
      <c r="X31" s="723">
        <v>0</v>
      </c>
      <c r="Y31" s="721">
        <v>0</v>
      </c>
      <c r="Z31" s="746">
        <f>Table25234678910111012131214121516[[#This Row],[J/C Prod gas (MMscf)]]-Table25234678910111012131214121516[[#This Row],[J/C Utilised gas (MMscf)]]</f>
        <v>5.37</v>
      </c>
      <c r="AA31" s="723">
        <f>Table25234678910111012131214121516[[#This Row],[Odid Prod gas (MMscf)]]-Table25234678910111012131214121516[[#This Row],[Gas Export (MMscf/d)]]-Table25234678910111012131214121516[[#This Row],[Odid Utilised gas (MMscf)]]</f>
        <v>12.82</v>
      </c>
      <c r="AB31" s="723">
        <f>Table25234678910111012131214121516[[#This Row],[Batn Prod gas (MMscf)]]-Table25234678910111012131214121516[[#This Row],[Batn Utilised gas (MMscf)]]</f>
        <v>1.07</v>
      </c>
      <c r="AC31" s="747">
        <f>Table25234678910111012131214121516[[#This Row],[Egwa Prod gas (MMscf)]]</f>
        <v>3.12</v>
      </c>
      <c r="AD31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48.47</v>
      </c>
      <c r="AE31" s="723">
        <f>Table25234678910111012131214121516[[#This Row],[Gas Export (MMscf/d)]]</f>
        <v>25.25</v>
      </c>
      <c r="AF31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31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22.380000000000003</v>
      </c>
      <c r="AH31" s="142"/>
      <c r="AI31" s="729"/>
      <c r="AJ31" s="763"/>
      <c r="AK31" s="762"/>
      <c r="AL31" s="762"/>
      <c r="AM31" s="762"/>
      <c r="AN31" s="762"/>
      <c r="AO31" s="762"/>
      <c r="AP31" s="762"/>
      <c r="AS31" s="454"/>
      <c r="AT31" s="454"/>
      <c r="AU31" s="454"/>
      <c r="AV31" s="454"/>
      <c r="AW31" s="454"/>
      <c r="AX31" s="454"/>
      <c r="AY31" s="454"/>
    </row>
    <row r="32" spans="2:51" ht="21.6">
      <c r="B32" s="716">
        <v>44405</v>
      </c>
      <c r="C32" s="749">
        <v>21.64</v>
      </c>
      <c r="D32" s="750">
        <v>15.132</v>
      </c>
      <c r="E32" s="751">
        <v>8.9</v>
      </c>
      <c r="F32" s="749">
        <v>3.77</v>
      </c>
      <c r="G32" s="749">
        <f>SUM(Table25234678910111012131214121516[[#This Row],[Jones Creek Target (Mbopd)]:[Egwa Target (Mbopd)]])</f>
        <v>49.442</v>
      </c>
      <c r="H32" s="752">
        <v>19.177</v>
      </c>
      <c r="I32" s="752">
        <v>14.242000000000001</v>
      </c>
      <c r="J32" s="752">
        <v>2.403</v>
      </c>
      <c r="K32" s="752">
        <v>2.87</v>
      </c>
      <c r="L32" s="753">
        <f t="shared" ref="L32:L44" si="2">H32+I32+J32+K32</f>
        <v>38.691999999999993</v>
      </c>
      <c r="M32" s="721">
        <v>25.045000000000002</v>
      </c>
      <c r="N32" s="765">
        <f>Table25234678910111012131214121516[[#This Row],[Jones Creek Target (Mbopd)]]-Table25234678910111012131214121516[[#This Row],[Jones Creek (Mbopd)]]</f>
        <v>2.463000000000001</v>
      </c>
      <c r="O32" s="723">
        <f>Table25234678910111012131214121516[[#This Row],[Odidi Target (Mbopd)]]-Table25234678910111012131214121516[[#This Row],[Odidi (Mbopd)]]</f>
        <v>0.88999999999999879</v>
      </c>
      <c r="P32" s="721">
        <f>Table25234678910111012131214121516[[#This Row],[Batan Target (Mbopd)]]-Table25234678910111012131214121516[[#This Row],[Batan (Mbopd)]]</f>
        <v>6.4969999999999999</v>
      </c>
      <c r="Q32" s="747">
        <f>Table25234678910111012131214121516[[#This Row],[Egwa Target (Mbopd)]]-Table25234678910111012131214121516[[#This Row],[Egwa (Mbopd)]]</f>
        <v>0.89999999999999991</v>
      </c>
      <c r="R32" s="745">
        <v>6.2789999999999999</v>
      </c>
      <c r="S32" s="723">
        <v>34.99</v>
      </c>
      <c r="T32" s="723">
        <v>1.07</v>
      </c>
      <c r="U32" s="747">
        <v>3.12</v>
      </c>
      <c r="V32" s="746">
        <v>0.84</v>
      </c>
      <c r="W32" s="723">
        <v>0</v>
      </c>
      <c r="X32" s="723">
        <v>0</v>
      </c>
      <c r="Y32" s="721">
        <v>0</v>
      </c>
      <c r="Z32" s="746">
        <f>Table25234678910111012131214121516[[#This Row],[J/C Prod gas (MMscf)]]-Table25234678910111012131214121516[[#This Row],[J/C Utilised gas (MMscf)]]</f>
        <v>5.4390000000000001</v>
      </c>
      <c r="AA32" s="723">
        <f>Table25234678910111012131214121516[[#This Row],[Odid Prod gas (MMscf)]]-Table25234678910111012131214121516[[#This Row],[Gas Export (MMscf/d)]]-Table25234678910111012131214121516[[#This Row],[Odid Utilised gas (MMscf)]]</f>
        <v>9.9450000000000003</v>
      </c>
      <c r="AB32" s="723">
        <f>Table25234678910111012131214121516[[#This Row],[Batn Prod gas (MMscf)]]-Table25234678910111012131214121516[[#This Row],[Batn Utilised gas (MMscf)]]</f>
        <v>1.07</v>
      </c>
      <c r="AC32" s="747">
        <f>Table25234678910111012131214121516[[#This Row],[Egwa Prod gas (MMscf)]]</f>
        <v>3.12</v>
      </c>
      <c r="AD32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45.459000000000003</v>
      </c>
      <c r="AE32" s="723">
        <f>Table25234678910111012131214121516[[#This Row],[Gas Export (MMscf/d)]]</f>
        <v>25.045000000000002</v>
      </c>
      <c r="AF32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32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19.574000000000002</v>
      </c>
      <c r="AH32" s="142"/>
      <c r="AI32" s="729"/>
      <c r="AJ32" s="763"/>
      <c r="AK32" s="762"/>
      <c r="AL32" s="762"/>
      <c r="AM32" s="762"/>
      <c r="AN32" s="762"/>
      <c r="AO32" s="762"/>
      <c r="AP32" s="762"/>
      <c r="AS32" s="454"/>
      <c r="AT32" s="454"/>
      <c r="AU32" s="454"/>
      <c r="AV32" s="454"/>
      <c r="AW32" s="454"/>
      <c r="AX32" s="454"/>
      <c r="AY32" s="454"/>
    </row>
    <row r="33" spans="2:51" ht="21.6">
      <c r="B33" s="716">
        <v>44406</v>
      </c>
      <c r="C33" s="749">
        <v>21.64</v>
      </c>
      <c r="D33" s="750">
        <v>15.132</v>
      </c>
      <c r="E33" s="751">
        <v>8.9</v>
      </c>
      <c r="F33" s="749">
        <v>3.77</v>
      </c>
      <c r="G33" s="749">
        <f>SUM(Table25234678910111012131214121516[[#This Row],[Jones Creek Target (Mbopd)]:[Egwa Target (Mbopd)]])</f>
        <v>49.442</v>
      </c>
      <c r="H33" s="752">
        <v>18.298999999999999</v>
      </c>
      <c r="I33" s="752">
        <v>15.532999999999999</v>
      </c>
      <c r="J33" s="752">
        <v>1.8620000000000001</v>
      </c>
      <c r="K33" s="752">
        <v>2.8220000000000001</v>
      </c>
      <c r="L33" s="753">
        <f t="shared" si="2"/>
        <v>38.516000000000005</v>
      </c>
      <c r="M33" s="721">
        <v>23.29</v>
      </c>
      <c r="N33" s="765">
        <f>Table25234678910111012131214121516[[#This Row],[Jones Creek Target (Mbopd)]]-Table25234678910111012131214121516[[#This Row],[Jones Creek (Mbopd)]]</f>
        <v>3.3410000000000011</v>
      </c>
      <c r="O33" s="723">
        <f>Table25234678910111012131214121516[[#This Row],[Odidi Target (Mbopd)]]-Table25234678910111012131214121516[[#This Row],[Odidi (Mbopd)]]</f>
        <v>-0.4009999999999998</v>
      </c>
      <c r="P33" s="721">
        <f>Table25234678910111012131214121516[[#This Row],[Batan Target (Mbopd)]]-Table25234678910111012131214121516[[#This Row],[Batan (Mbopd)]]</f>
        <v>7.0380000000000003</v>
      </c>
      <c r="Q33" s="747">
        <f>Table25234678910111012131214121516[[#This Row],[Egwa Target (Mbopd)]]-Table25234678910111012131214121516[[#This Row],[Egwa (Mbopd)]]</f>
        <v>0.94799999999999995</v>
      </c>
      <c r="R33" s="745">
        <v>6.2869999999999999</v>
      </c>
      <c r="S33" s="723">
        <v>35.450000000000003</v>
      </c>
      <c r="T33" s="723">
        <v>1.07</v>
      </c>
      <c r="U33" s="747">
        <v>3.2</v>
      </c>
      <c r="V33" s="746">
        <v>0.84</v>
      </c>
      <c r="W33" s="723">
        <v>0</v>
      </c>
      <c r="X33" s="723">
        <v>0</v>
      </c>
      <c r="Y33" s="721">
        <v>0</v>
      </c>
      <c r="Z33" s="746">
        <f>Table25234678910111012131214121516[[#This Row],[J/C Prod gas (MMscf)]]-Table25234678910111012131214121516[[#This Row],[J/C Utilised gas (MMscf)]]</f>
        <v>5.4470000000000001</v>
      </c>
      <c r="AA33" s="723">
        <f>Table25234678910111012131214121516[[#This Row],[Odid Prod gas (MMscf)]]-Table25234678910111012131214121516[[#This Row],[Gas Export (MMscf/d)]]-Table25234678910111012131214121516[[#This Row],[Odid Utilised gas (MMscf)]]</f>
        <v>12.160000000000004</v>
      </c>
      <c r="AB33" s="723">
        <f>Table25234678910111012131214121516[[#This Row],[Batn Prod gas (MMscf)]]-Table25234678910111012131214121516[[#This Row],[Batn Utilised gas (MMscf)]]</f>
        <v>1.07</v>
      </c>
      <c r="AC33" s="747">
        <f>Table25234678910111012131214121516[[#This Row],[Egwa Prod gas (MMscf)]]</f>
        <v>3.2</v>
      </c>
      <c r="AD33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46.007000000000005</v>
      </c>
      <c r="AE33" s="723">
        <f>Table25234678910111012131214121516[[#This Row],[Gas Export (MMscf/d)]]</f>
        <v>23.29</v>
      </c>
      <c r="AF33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0.84</v>
      </c>
      <c r="AG33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21.877000000000002</v>
      </c>
      <c r="AH33" s="142"/>
      <c r="AI33" s="729"/>
      <c r="AJ33" s="763"/>
      <c r="AK33" s="762"/>
      <c r="AL33" s="762"/>
      <c r="AM33" s="762"/>
      <c r="AN33" s="762"/>
      <c r="AO33" s="762"/>
      <c r="AP33" s="762"/>
      <c r="AS33" s="454"/>
      <c r="AT33" s="454"/>
      <c r="AU33" s="454"/>
      <c r="AV33" s="454"/>
      <c r="AW33" s="454"/>
      <c r="AX33" s="454"/>
      <c r="AY33" s="454"/>
    </row>
    <row r="34" spans="2:51" ht="21.6">
      <c r="B34" s="716">
        <v>44407</v>
      </c>
      <c r="C34" s="749">
        <v>21.64</v>
      </c>
      <c r="D34" s="750">
        <v>15.132</v>
      </c>
      <c r="E34" s="751">
        <v>8.9</v>
      </c>
      <c r="F34" s="749">
        <v>3.77</v>
      </c>
      <c r="G34" s="749">
        <f>SUM(Table25234678910111012131214121516[[#This Row],[Jones Creek Target (Mbopd)]:[Egwa Target (Mbopd)]])</f>
        <v>49.442</v>
      </c>
      <c r="H34" s="752">
        <v>18.707000000000001</v>
      </c>
      <c r="I34" s="752">
        <v>15.147</v>
      </c>
      <c r="J34" s="752">
        <v>1.919</v>
      </c>
      <c r="K34" s="752">
        <v>2.819</v>
      </c>
      <c r="L34" s="753">
        <f t="shared" si="2"/>
        <v>38.591999999999999</v>
      </c>
      <c r="M34" s="721">
        <v>13.7</v>
      </c>
      <c r="N34" s="765">
        <f>Table25234678910111012131214121516[[#This Row],[Jones Creek Target (Mbopd)]]-Table25234678910111012131214121516[[#This Row],[Jones Creek (Mbopd)]]</f>
        <v>2.9329999999999998</v>
      </c>
      <c r="O34" s="723">
        <f>Table25234678910111012131214121516[[#This Row],[Odidi Target (Mbopd)]]-Table25234678910111012131214121516[[#This Row],[Odidi (Mbopd)]]</f>
        <v>-1.5000000000000568E-2</v>
      </c>
      <c r="P34" s="721">
        <f>Table25234678910111012131214121516[[#This Row],[Batan Target (Mbopd)]]-Table25234678910111012131214121516[[#This Row],[Batan (Mbopd)]]</f>
        <v>6.9809999999999999</v>
      </c>
      <c r="Q34" s="747">
        <f>Table25234678910111012131214121516[[#This Row],[Egwa Target (Mbopd)]]-Table25234678910111012131214121516[[#This Row],[Egwa (Mbopd)]]</f>
        <v>0.95100000000000007</v>
      </c>
      <c r="R34" s="745">
        <v>6.28</v>
      </c>
      <c r="S34" s="723">
        <v>36.78</v>
      </c>
      <c r="T34" s="723">
        <v>1.07</v>
      </c>
      <c r="U34" s="747">
        <v>3.2</v>
      </c>
      <c r="V34" s="746">
        <v>0.84</v>
      </c>
      <c r="W34" s="723">
        <v>0</v>
      </c>
      <c r="X34" s="723">
        <v>1</v>
      </c>
      <c r="Y34" s="721">
        <v>0</v>
      </c>
      <c r="Z34" s="746">
        <f>Table25234678910111012131214121516[[#This Row],[J/C Prod gas (MMscf)]]-Table25234678910111012131214121516[[#This Row],[J/C Utilised gas (MMscf)]]</f>
        <v>5.44</v>
      </c>
      <c r="AA34" s="723">
        <f>Table25234678910111012131214121516[[#This Row],[Odid Prod gas (MMscf)]]-Table25234678910111012131214121516[[#This Row],[Gas Export (MMscf/d)]]-Table25234678910111012131214121516[[#This Row],[Odid Utilised gas (MMscf)]]</f>
        <v>23.080000000000002</v>
      </c>
      <c r="AB34" s="723">
        <v>0.1</v>
      </c>
      <c r="AC34" s="747">
        <f>Table25234678910111012131214121516[[#This Row],[Egwa Prod gas (MMscf)]]</f>
        <v>3.2</v>
      </c>
      <c r="AD34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47.330000000000005</v>
      </c>
      <c r="AE34" s="723">
        <f>Table25234678910111012131214121516[[#This Row],[Gas Export (MMscf/d)]]</f>
        <v>13.7</v>
      </c>
      <c r="AF34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1.8399999999999999</v>
      </c>
      <c r="AG34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31.820000000000004</v>
      </c>
      <c r="AH34" s="142"/>
      <c r="AI34" s="729"/>
      <c r="AJ34" s="763"/>
      <c r="AK34" s="762"/>
      <c r="AL34" s="762"/>
      <c r="AM34" s="762"/>
      <c r="AN34" s="762"/>
      <c r="AO34" s="762"/>
      <c r="AP34" s="762"/>
      <c r="AS34" s="454"/>
      <c r="AT34" s="454"/>
      <c r="AU34" s="454"/>
      <c r="AV34" s="454"/>
      <c r="AW34" s="454"/>
      <c r="AX34" s="454"/>
      <c r="AY34" s="454"/>
    </row>
    <row r="35" spans="2:51" ht="21.6">
      <c r="B35" s="716">
        <v>44408</v>
      </c>
      <c r="C35" s="749">
        <v>21.64</v>
      </c>
      <c r="D35" s="750">
        <v>15.132</v>
      </c>
      <c r="E35" s="751">
        <v>8.9</v>
      </c>
      <c r="F35" s="749">
        <v>3.77</v>
      </c>
      <c r="G35" s="749">
        <f>SUM(Table25234678910111012131214121516[[#This Row],[Jones Creek Target (Mbopd)]:[Egwa Target (Mbopd)]])</f>
        <v>49.442</v>
      </c>
      <c r="H35" s="752">
        <v>17.835999999999999</v>
      </c>
      <c r="I35" s="752">
        <v>13.177</v>
      </c>
      <c r="J35" s="752">
        <v>1.899</v>
      </c>
      <c r="K35" s="752">
        <v>2.831</v>
      </c>
      <c r="L35" s="753">
        <f t="shared" si="2"/>
        <v>35.743000000000002</v>
      </c>
      <c r="M35" s="721">
        <v>23.14</v>
      </c>
      <c r="N35" s="765">
        <f>Table25234678910111012131214121516[[#This Row],[Jones Creek Target (Mbopd)]]-Table25234678910111012131214121516[[#This Row],[Jones Creek (Mbopd)]]</f>
        <v>3.804000000000002</v>
      </c>
      <c r="O35" s="723">
        <f>Table25234678910111012131214121516[[#This Row],[Odidi Target (Mbopd)]]-Table25234678910111012131214121516[[#This Row],[Odidi (Mbopd)]]</f>
        <v>1.9550000000000001</v>
      </c>
      <c r="P35" s="721">
        <f>Table25234678910111012131214121516[[#This Row],[Batan Target (Mbopd)]]-Table25234678910111012131214121516[[#This Row],[Batan (Mbopd)]]</f>
        <v>7.0010000000000003</v>
      </c>
      <c r="Q35" s="747">
        <f>Table25234678910111012131214121516[[#This Row],[Egwa Target (Mbopd)]]-Table25234678910111012131214121516[[#This Row],[Egwa (Mbopd)]]</f>
        <v>0.93900000000000006</v>
      </c>
      <c r="R35" s="745">
        <v>6.29</v>
      </c>
      <c r="S35" s="723">
        <v>31.21</v>
      </c>
      <c r="T35" s="723">
        <v>1.07</v>
      </c>
      <c r="U35" s="747">
        <v>3.29</v>
      </c>
      <c r="V35" s="746">
        <v>0.84</v>
      </c>
      <c r="W35" s="723">
        <v>0</v>
      </c>
      <c r="X35" s="723">
        <v>1</v>
      </c>
      <c r="Y35" s="721">
        <v>0</v>
      </c>
      <c r="Z35" s="746">
        <f>Table25234678910111012131214121516[[#This Row],[J/C Prod gas (MMscf)]]-Table25234678910111012131214121516[[#This Row],[J/C Utilised gas (MMscf)]]</f>
        <v>5.45</v>
      </c>
      <c r="AA35" s="723">
        <f>Table25234678910111012131214121516[[#This Row],[Odid Prod gas (MMscf)]]-Table25234678910111012131214121516[[#This Row],[Gas Export (MMscf/d)]]-Table25234678910111012131214121516[[#This Row],[Odid Utilised gas (MMscf)]]</f>
        <v>8.07</v>
      </c>
      <c r="AB35" s="723">
        <v>1.1000000000000001</v>
      </c>
      <c r="AC35" s="747">
        <f>Table25234678910111012131214121516[[#This Row],[Egwa Prod gas (MMscf)]]</f>
        <v>3.29</v>
      </c>
      <c r="AD35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41.86</v>
      </c>
      <c r="AE35" s="723">
        <f>Table25234678910111012131214121516[[#This Row],[Gas Export (MMscf/d)]]</f>
        <v>23.14</v>
      </c>
      <c r="AF35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1.8399999999999999</v>
      </c>
      <c r="AG35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17.91</v>
      </c>
      <c r="AH35" s="142"/>
      <c r="AI35" s="729"/>
      <c r="AJ35" s="763"/>
      <c r="AK35" s="762"/>
      <c r="AL35" s="762"/>
      <c r="AM35" s="762"/>
      <c r="AN35" s="762"/>
      <c r="AO35" s="762"/>
      <c r="AP35" s="762"/>
      <c r="AS35" s="454"/>
      <c r="AT35" s="454"/>
      <c r="AU35" s="454"/>
      <c r="AV35" s="454"/>
      <c r="AW35" s="454"/>
      <c r="AX35" s="454"/>
      <c r="AY35" s="454"/>
    </row>
    <row r="36" spans="2:51" ht="21.6">
      <c r="B36" s="716">
        <v>44409</v>
      </c>
      <c r="C36" s="749">
        <v>21.64</v>
      </c>
      <c r="D36" s="750">
        <v>15.132</v>
      </c>
      <c r="E36" s="751">
        <v>8.9</v>
      </c>
      <c r="F36" s="749">
        <v>3.77</v>
      </c>
      <c r="G36" s="749">
        <f>SUM(Table25234678910111012131214121516[[#This Row],[Jones Creek Target (Mbopd)]:[Egwa Target (Mbopd)]])</f>
        <v>49.442</v>
      </c>
      <c r="H36" s="752">
        <v>17.625</v>
      </c>
      <c r="I36" s="752">
        <v>14.404</v>
      </c>
      <c r="J36" s="752">
        <v>1.8180000000000001</v>
      </c>
      <c r="K36" s="752">
        <v>2.8039999999999998</v>
      </c>
      <c r="L36" s="753">
        <f t="shared" si="2"/>
        <v>36.650999999999996</v>
      </c>
      <c r="M36" s="721">
        <v>13.03</v>
      </c>
      <c r="N36" s="765">
        <f>Table25234678910111012131214121516[[#This Row],[Jones Creek Target (Mbopd)]]-Table25234678910111012131214121516[[#This Row],[Jones Creek (Mbopd)]]</f>
        <v>4.0150000000000006</v>
      </c>
      <c r="O36" s="723">
        <f>Table25234678910111012131214121516[[#This Row],[Odidi Target (Mbopd)]]-Table25234678910111012131214121516[[#This Row],[Odidi (Mbopd)]]</f>
        <v>0.72799999999999976</v>
      </c>
      <c r="P36" s="721">
        <f>Table25234678910111012131214121516[[#This Row],[Batan Target (Mbopd)]]-Table25234678910111012131214121516[[#This Row],[Batan (Mbopd)]]</f>
        <v>7.0820000000000007</v>
      </c>
      <c r="Q36" s="747">
        <f>Table25234678910111012131214121516[[#This Row],[Egwa Target (Mbopd)]]-Table25234678910111012131214121516[[#This Row],[Egwa (Mbopd)]]</f>
        <v>0.96600000000000019</v>
      </c>
      <c r="R36" s="745">
        <v>6.07</v>
      </c>
      <c r="S36" s="723">
        <v>30.58</v>
      </c>
      <c r="T36" s="723">
        <v>1.07</v>
      </c>
      <c r="U36" s="747">
        <v>3.29</v>
      </c>
      <c r="V36" s="746">
        <v>0.84</v>
      </c>
      <c r="W36" s="723">
        <v>0</v>
      </c>
      <c r="X36" s="723">
        <v>1</v>
      </c>
      <c r="Y36" s="721">
        <v>0</v>
      </c>
      <c r="Z36" s="746">
        <f>Table25234678910111012131214121516[[#This Row],[J/C Prod gas (MMscf)]]-Table25234678910111012131214121516[[#This Row],[J/C Utilised gas (MMscf)]]</f>
        <v>5.23</v>
      </c>
      <c r="AA36" s="723">
        <f>Table25234678910111012131214121516[[#This Row],[Odid Prod gas (MMscf)]]-Table25234678910111012131214121516[[#This Row],[Gas Export (MMscf/d)]]-Table25234678910111012131214121516[[#This Row],[Odid Utilised gas (MMscf)]]</f>
        <v>17.549999999999997</v>
      </c>
      <c r="AB36" s="723">
        <v>2.1</v>
      </c>
      <c r="AC36" s="747">
        <f>Table25234678910111012131214121516[[#This Row],[Egwa Prod gas (MMscf)]]</f>
        <v>3.29</v>
      </c>
      <c r="AD36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41.01</v>
      </c>
      <c r="AE36" s="723">
        <f>Table25234678910111012131214121516[[#This Row],[Gas Export (MMscf/d)]]</f>
        <v>13.03</v>
      </c>
      <c r="AF36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1.8399999999999999</v>
      </c>
      <c r="AG36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28.169999999999998</v>
      </c>
      <c r="AH36" s="142"/>
    </row>
    <row r="37" spans="2:51" ht="21.6">
      <c r="B37" s="716">
        <v>44410</v>
      </c>
      <c r="C37" s="749">
        <v>21.64</v>
      </c>
      <c r="D37" s="750">
        <v>15.132</v>
      </c>
      <c r="E37" s="751">
        <v>8.9</v>
      </c>
      <c r="F37" s="749">
        <v>3.77</v>
      </c>
      <c r="G37" s="749">
        <f>SUM(Table25234678910111012131214121516[[#This Row],[Jones Creek Target (Mbopd)]:[Egwa Target (Mbopd)]])</f>
        <v>49.442</v>
      </c>
      <c r="H37" s="752">
        <v>18.175000000000001</v>
      </c>
      <c r="I37" s="752">
        <v>12.17</v>
      </c>
      <c r="J37" s="752">
        <v>1.722</v>
      </c>
      <c r="K37" s="752">
        <v>2.7959999999999998</v>
      </c>
      <c r="L37" s="753">
        <f t="shared" si="2"/>
        <v>34.863</v>
      </c>
      <c r="M37" s="721">
        <v>9.5299999999999994</v>
      </c>
      <c r="N37" s="765">
        <f>Table25234678910111012131214121516[[#This Row],[Jones Creek Target (Mbopd)]]-Table25234678910111012131214121516[[#This Row],[Jones Creek (Mbopd)]]</f>
        <v>3.4649999999999999</v>
      </c>
      <c r="O37" s="723">
        <f>Table25234678910111012131214121516[[#This Row],[Odidi Target (Mbopd)]]-Table25234678910111012131214121516[[#This Row],[Odidi (Mbopd)]]</f>
        <v>2.9619999999999997</v>
      </c>
      <c r="P37" s="721">
        <f>Table25234678910111012131214121516[[#This Row],[Batan Target (Mbopd)]]-Table25234678910111012131214121516[[#This Row],[Batan (Mbopd)]]</f>
        <v>7.1780000000000008</v>
      </c>
      <c r="Q37" s="747">
        <f>Table25234678910111012131214121516[[#This Row],[Egwa Target (Mbopd)]]-Table25234678910111012131214121516[[#This Row],[Egwa (Mbopd)]]</f>
        <v>0.9740000000000002</v>
      </c>
      <c r="R37" s="745">
        <v>6.2869999999999999</v>
      </c>
      <c r="S37" s="723">
        <v>25.92</v>
      </c>
      <c r="T37" s="723">
        <v>1.07</v>
      </c>
      <c r="U37" s="747">
        <v>3.42</v>
      </c>
      <c r="V37" s="746">
        <v>0.84</v>
      </c>
      <c r="W37" s="723">
        <v>0</v>
      </c>
      <c r="X37" s="723">
        <v>1</v>
      </c>
      <c r="Y37" s="721">
        <v>0</v>
      </c>
      <c r="Z37" s="746">
        <f>Table25234678910111012131214121516[[#This Row],[J/C Prod gas (MMscf)]]-Table25234678910111012131214121516[[#This Row],[J/C Utilised gas (MMscf)]]</f>
        <v>5.4470000000000001</v>
      </c>
      <c r="AA37" s="723">
        <f>Table25234678910111012131214121516[[#This Row],[Odid Prod gas (MMscf)]]-Table25234678910111012131214121516[[#This Row],[Gas Export (MMscf/d)]]-Table25234678910111012131214121516[[#This Row],[Odid Utilised gas (MMscf)]]</f>
        <v>16.39</v>
      </c>
      <c r="AB37" s="723">
        <v>3.1</v>
      </c>
      <c r="AC37" s="747">
        <f>Table25234678910111012131214121516[[#This Row],[Egwa Prod gas (MMscf)]]</f>
        <v>3.42</v>
      </c>
      <c r="AD37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36.697000000000003</v>
      </c>
      <c r="AE37" s="723">
        <f>Table25234678910111012131214121516[[#This Row],[Gas Export (MMscf/d)]]</f>
        <v>9.5299999999999994</v>
      </c>
      <c r="AF37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1.8399999999999999</v>
      </c>
      <c r="AG37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28.356999999999999</v>
      </c>
      <c r="AH37" s="142"/>
    </row>
    <row r="38" spans="2:51" ht="21.6">
      <c r="B38" s="716">
        <v>44411</v>
      </c>
      <c r="C38" s="749">
        <v>21.64</v>
      </c>
      <c r="D38" s="750">
        <v>15.132</v>
      </c>
      <c r="E38" s="751">
        <v>8.9</v>
      </c>
      <c r="F38" s="749">
        <v>3.77</v>
      </c>
      <c r="G38" s="749">
        <f>SUM(Table25234678910111012131214121516[[#This Row],[Jones Creek Target (Mbopd)]:[Egwa Target (Mbopd)]])</f>
        <v>49.442</v>
      </c>
      <c r="H38" s="752">
        <v>18.164999999999999</v>
      </c>
      <c r="I38" s="752">
        <v>11.295</v>
      </c>
      <c r="J38" s="752">
        <v>1.7210000000000001</v>
      </c>
      <c r="K38" s="754">
        <v>2.8159999999999998</v>
      </c>
      <c r="L38" s="753">
        <f t="shared" si="2"/>
        <v>33.997</v>
      </c>
      <c r="M38" s="721">
        <v>10.726000000000001</v>
      </c>
      <c r="N38" s="765">
        <f>Table25234678910111012131214121516[[#This Row],[Jones Creek Target (Mbopd)]]-Table25234678910111012131214121516[[#This Row],[Jones Creek (Mbopd)]]</f>
        <v>3.4750000000000014</v>
      </c>
      <c r="O38" s="723">
        <f>Table25234678910111012131214121516[[#This Row],[Odidi Target (Mbopd)]]-Table25234678910111012131214121516[[#This Row],[Odidi (Mbopd)]]</f>
        <v>3.8369999999999997</v>
      </c>
      <c r="P38" s="721">
        <f>Table25234678910111012131214121516[[#This Row],[Batan Target (Mbopd)]]-Table25234678910111012131214121516[[#This Row],[Batan (Mbopd)]]</f>
        <v>7.1790000000000003</v>
      </c>
      <c r="Q38" s="747">
        <f>Table25234678910111012131214121516[[#This Row],[Egwa Target (Mbopd)]]-Table25234678910111012131214121516[[#This Row],[Egwa (Mbopd)]]</f>
        <v>0.95400000000000018</v>
      </c>
      <c r="R38" s="745">
        <v>6.2869999999999999</v>
      </c>
      <c r="S38" s="723">
        <v>24.51</v>
      </c>
      <c r="T38" s="723">
        <v>1.07</v>
      </c>
      <c r="U38" s="747">
        <v>3.42</v>
      </c>
      <c r="V38" s="746">
        <v>0.84</v>
      </c>
      <c r="W38" s="723">
        <v>0</v>
      </c>
      <c r="X38" s="723">
        <v>1</v>
      </c>
      <c r="Y38" s="721">
        <v>0</v>
      </c>
      <c r="Z38" s="746">
        <f>Table25234678910111012131214121516[[#This Row],[J/C Prod gas (MMscf)]]-Table25234678910111012131214121516[[#This Row],[J/C Utilised gas (MMscf)]]</f>
        <v>5.4470000000000001</v>
      </c>
      <c r="AA38" s="723">
        <f>Table25234678910111012131214121516[[#This Row],[Odid Prod gas (MMscf)]]-Table25234678910111012131214121516[[#This Row],[Gas Export (MMscf/d)]]-Table25234678910111012131214121516[[#This Row],[Odid Utilised gas (MMscf)]]</f>
        <v>13.784000000000001</v>
      </c>
      <c r="AB38" s="723">
        <v>4.0999999999999996</v>
      </c>
      <c r="AC38" s="747">
        <f>Table25234678910111012131214121516[[#This Row],[Egwa Prod gas (MMscf)]]</f>
        <v>3.42</v>
      </c>
      <c r="AD38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35.286999999999999</v>
      </c>
      <c r="AE38" s="723">
        <f>Table25234678910111012131214121516[[#This Row],[Gas Export (MMscf/d)]]</f>
        <v>10.726000000000001</v>
      </c>
      <c r="AF38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1.8399999999999999</v>
      </c>
      <c r="AG38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26.751000000000001</v>
      </c>
      <c r="AH38" s="142"/>
    </row>
    <row r="39" spans="2:51" ht="21.6">
      <c r="B39" s="716">
        <v>44412</v>
      </c>
      <c r="C39" s="749">
        <v>21.64</v>
      </c>
      <c r="D39" s="750">
        <v>15.132</v>
      </c>
      <c r="E39" s="751">
        <v>8.9</v>
      </c>
      <c r="F39" s="749">
        <v>3.77</v>
      </c>
      <c r="G39" s="749">
        <f>SUM(Table25234678910111012131214121516[[#This Row],[Jones Creek Target (Mbopd)]:[Egwa Target (Mbopd)]])</f>
        <v>49.442</v>
      </c>
      <c r="H39" s="752">
        <v>19.103000000000002</v>
      </c>
      <c r="I39" s="752">
        <v>11.131</v>
      </c>
      <c r="J39" s="752">
        <v>1.732</v>
      </c>
      <c r="K39" s="752">
        <v>2.8010000000000002</v>
      </c>
      <c r="L39" s="753">
        <f t="shared" si="2"/>
        <v>34.767000000000003</v>
      </c>
      <c r="M39" s="721">
        <v>20.370999999999999</v>
      </c>
      <c r="N39" s="765">
        <f>Table25234678910111012131214121516[[#This Row],[Jones Creek Target (Mbopd)]]-Table25234678910111012131214121516[[#This Row],[Jones Creek (Mbopd)]]</f>
        <v>2.536999999999999</v>
      </c>
      <c r="O39" s="723">
        <f>Table25234678910111012131214121516[[#This Row],[Odidi Target (Mbopd)]]-Table25234678910111012131214121516[[#This Row],[Odidi (Mbopd)]]</f>
        <v>4.0009999999999994</v>
      </c>
      <c r="P39" s="721">
        <f>Table25234678910111012131214121516[[#This Row],[Batan Target (Mbopd)]]-Table25234678910111012131214121516[[#This Row],[Batan (Mbopd)]]</f>
        <v>7.1680000000000001</v>
      </c>
      <c r="Q39" s="747">
        <f>Table25234678910111012131214121516[[#This Row],[Egwa Target (Mbopd)]]-Table25234678910111012131214121516[[#This Row],[Egwa (Mbopd)]]</f>
        <v>0.96899999999999986</v>
      </c>
      <c r="R39" s="745">
        <v>9.65</v>
      </c>
      <c r="S39" s="723">
        <v>24.51</v>
      </c>
      <c r="T39" s="723">
        <v>1.07</v>
      </c>
      <c r="U39" s="747">
        <v>3.53</v>
      </c>
      <c r="V39" s="746">
        <v>0.84</v>
      </c>
      <c r="W39" s="723">
        <v>0</v>
      </c>
      <c r="X39" s="723">
        <v>1</v>
      </c>
      <c r="Y39" s="721">
        <v>0</v>
      </c>
      <c r="Z39" s="746">
        <f>Table25234678910111012131214121516[[#This Row],[J/C Prod gas (MMscf)]]-Table25234678910111012131214121516[[#This Row],[J/C Utilised gas (MMscf)]]</f>
        <v>8.81</v>
      </c>
      <c r="AA39" s="723">
        <f>Table25234678910111012131214121516[[#This Row],[Odid Prod gas (MMscf)]]-Table25234678910111012131214121516[[#This Row],[Gas Export (MMscf/d)]]-Table25234678910111012131214121516[[#This Row],[Odid Utilised gas (MMscf)]]</f>
        <v>4.1390000000000029</v>
      </c>
      <c r="AB39" s="723">
        <v>5.0999999999999996</v>
      </c>
      <c r="AC39" s="747">
        <f>Table25234678910111012131214121516[[#This Row],[Egwa Prod gas (MMscf)]]</f>
        <v>3.53</v>
      </c>
      <c r="AD39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38.760000000000005</v>
      </c>
      <c r="AE39" s="723">
        <f>Table25234678910111012131214121516[[#This Row],[Gas Export (MMscf/d)]]</f>
        <v>20.370999999999999</v>
      </c>
      <c r="AF39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1.8399999999999999</v>
      </c>
      <c r="AG39" s="748">
        <f>Table25234678910111012131214121516[[#This Row],[Egwa Flared Gas (MMscf/d)]]+Table25234678910111012131214121516[[#This Row],[ Batan Flared Gas (MMscf/d)]]+Table25234678910111012131214121516[[#This Row],[ Odidi Flared Gas (MMscf/d)]]+Table25234678910111012131214121516[[#This Row],[ J/C Flared Gas (MMscf/d)]]</f>
        <v>21.579000000000001</v>
      </c>
      <c r="AH39" s="142"/>
    </row>
    <row r="40" spans="2:51" ht="21.6">
      <c r="B40" s="716">
        <v>44413</v>
      </c>
      <c r="C40" s="749">
        <v>21.64</v>
      </c>
      <c r="D40" s="750">
        <v>15.132</v>
      </c>
      <c r="E40" s="751">
        <v>8.9</v>
      </c>
      <c r="F40" s="749">
        <v>3.77</v>
      </c>
      <c r="G40" s="749">
        <f>SUM(Table25234678910111012131214121516[[#This Row],[Jones Creek Target (Mbopd)]:[Egwa Target (Mbopd)]])</f>
        <v>49.442</v>
      </c>
      <c r="H40" s="754">
        <v>18.597999999999999</v>
      </c>
      <c r="I40" s="752">
        <v>11.978999999999999</v>
      </c>
      <c r="J40" s="752">
        <v>1.7190000000000001</v>
      </c>
      <c r="K40" s="754">
        <v>2.8580000000000001</v>
      </c>
      <c r="L40" s="753">
        <f t="shared" si="2"/>
        <v>35.153999999999996</v>
      </c>
      <c r="M40" s="721">
        <v>18.960999999999999</v>
      </c>
      <c r="N40" s="765">
        <f>Table25234678910111012131214121516[[#This Row],[Jones Creek Target (Mbopd)]]-Table25234678910111012131214121516[[#This Row],[Jones Creek (Mbopd)]]</f>
        <v>3.0420000000000016</v>
      </c>
      <c r="O40" s="723">
        <f>Table25234678910111012131214121516[[#This Row],[Odidi Target (Mbopd)]]-Table25234678910111012131214121516[[#This Row],[Odidi (Mbopd)]]</f>
        <v>3.1530000000000005</v>
      </c>
      <c r="P40" s="721">
        <f>Table25234678910111012131214121516[[#This Row],[Batan Target (Mbopd)]]-Table25234678910111012131214121516[[#This Row],[Batan (Mbopd)]]</f>
        <v>7.181</v>
      </c>
      <c r="Q40" s="747">
        <f>Table25234678910111012131214121516[[#This Row],[Egwa Target (Mbopd)]]-Table25234678910111012131214121516[[#This Row],[Egwa (Mbopd)]]</f>
        <v>0.91199999999999992</v>
      </c>
      <c r="R40" s="745">
        <v>9.6519999999999992</v>
      </c>
      <c r="S40" s="723">
        <v>24.88</v>
      </c>
      <c r="T40" s="723">
        <v>1.07</v>
      </c>
      <c r="U40" s="747">
        <v>3.58</v>
      </c>
      <c r="V40" s="746">
        <v>0.84</v>
      </c>
      <c r="W40" s="723">
        <v>0</v>
      </c>
      <c r="X40" s="723">
        <v>1</v>
      </c>
      <c r="Y40" s="721">
        <v>0</v>
      </c>
      <c r="Z40" s="746">
        <f>Table25234678910111012131214121516[[#This Row],[J/C Prod gas (MMscf)]]-Table25234678910111012131214121516[[#This Row],[J/C Utilised gas (MMscf)]]</f>
        <v>8.8119999999999994</v>
      </c>
      <c r="AA40" s="723">
        <f>Table25234678910111012131214121516[[#This Row],[Odid Prod gas (MMscf)]]-Table25234678910111012131214121516[[#This Row],[Gas Export (MMscf/d)]]-Table25234678910111012131214121516[[#This Row],[Odid Utilised gas (MMscf)]]</f>
        <v>5.9190000000000005</v>
      </c>
      <c r="AB40" s="723">
        <v>6.1</v>
      </c>
      <c r="AC40" s="747">
        <f>Table25234678910111012131214121516[[#This Row],[Egwa Prod gas (MMscf)]]</f>
        <v>3.58</v>
      </c>
      <c r="AD40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39.181999999999995</v>
      </c>
      <c r="AE40" s="723">
        <f>Table25234678910111012131214121516[[#This Row],[Gas Export (MMscf/d)]]</f>
        <v>18.960999999999999</v>
      </c>
      <c r="AF40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1.8399999999999999</v>
      </c>
      <c r="AG40" s="748"/>
      <c r="AH40" s="142"/>
    </row>
    <row r="41" spans="2:51" ht="21.6">
      <c r="B41" s="716">
        <v>44414</v>
      </c>
      <c r="C41" s="749">
        <v>21.64</v>
      </c>
      <c r="D41" s="750">
        <v>15.132</v>
      </c>
      <c r="E41" s="751">
        <v>8.9</v>
      </c>
      <c r="F41" s="749">
        <v>3.77</v>
      </c>
      <c r="G41" s="749">
        <f>SUM(Table25234678910111012131214121516[[#This Row],[Jones Creek Target (Mbopd)]:[Egwa Target (Mbopd)]])</f>
        <v>49.442</v>
      </c>
      <c r="H41" s="754"/>
      <c r="I41" s="754"/>
      <c r="J41" s="754"/>
      <c r="K41" s="754"/>
      <c r="L41" s="753">
        <f t="shared" si="2"/>
        <v>0</v>
      </c>
      <c r="M41" s="721"/>
      <c r="N41" s="746"/>
      <c r="O41" s="723"/>
      <c r="P41" s="721"/>
      <c r="Q41" s="747"/>
      <c r="R41" s="745"/>
      <c r="S41" s="723"/>
      <c r="T41" s="723"/>
      <c r="U41" s="747"/>
      <c r="V41" s="746"/>
      <c r="W41" s="723"/>
      <c r="X41" s="723"/>
      <c r="Y41" s="721"/>
      <c r="Z41" s="746"/>
      <c r="AA41" s="723"/>
      <c r="AB41" s="723"/>
      <c r="AC41" s="747"/>
      <c r="AD41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0</v>
      </c>
      <c r="AE41" s="723"/>
      <c r="AF41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</v>
      </c>
      <c r="AG41" s="748"/>
      <c r="AH41" s="142"/>
    </row>
    <row r="42" spans="2:51" ht="21.6">
      <c r="B42" s="716">
        <v>44415</v>
      </c>
      <c r="C42" s="749">
        <v>21.64</v>
      </c>
      <c r="D42" s="750">
        <v>15.132</v>
      </c>
      <c r="E42" s="751">
        <v>8.9</v>
      </c>
      <c r="F42" s="749">
        <v>3.77</v>
      </c>
      <c r="G42" s="749">
        <f>SUM(Table25234678910111012131214121516[[#This Row],[Jones Creek Target (Mbopd)]:[Egwa Target (Mbopd)]])</f>
        <v>49.442</v>
      </c>
      <c r="H42" s="754"/>
      <c r="I42" s="754"/>
      <c r="J42" s="754"/>
      <c r="K42" s="754"/>
      <c r="L42" s="753">
        <f t="shared" si="2"/>
        <v>0</v>
      </c>
      <c r="M42" s="721"/>
      <c r="N42" s="746"/>
      <c r="O42" s="723"/>
      <c r="P42" s="721"/>
      <c r="Q42" s="747"/>
      <c r="R42" s="745"/>
      <c r="S42" s="723"/>
      <c r="T42" s="723"/>
      <c r="U42" s="747"/>
      <c r="V42" s="746"/>
      <c r="W42" s="723"/>
      <c r="X42" s="723"/>
      <c r="Y42" s="721"/>
      <c r="Z42" s="746"/>
      <c r="AA42" s="723"/>
      <c r="AB42" s="723"/>
      <c r="AC42" s="747"/>
      <c r="AD42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0</v>
      </c>
      <c r="AE42" s="723"/>
      <c r="AF42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</v>
      </c>
      <c r="AG42" s="748"/>
      <c r="AH42" s="142"/>
      <c r="AI42" s="730"/>
    </row>
    <row r="43" spans="2:51" ht="21.6">
      <c r="B43" s="716">
        <v>44416</v>
      </c>
      <c r="C43" s="717"/>
      <c r="D43" s="718"/>
      <c r="E43" s="719"/>
      <c r="F43" s="717"/>
      <c r="G43" s="717">
        <f>SUM(Table25234678910111012131214121516[[#This Row],[Jones Creek Target (Mbopd)]:[Egwa Target (Mbopd)]])</f>
        <v>0</v>
      </c>
      <c r="H43" s="781"/>
      <c r="I43" s="781"/>
      <c r="J43" s="781"/>
      <c r="K43" s="723"/>
      <c r="L43" s="753">
        <f t="shared" si="2"/>
        <v>0</v>
      </c>
      <c r="M43" s="721"/>
      <c r="N43" s="746"/>
      <c r="O43" s="723"/>
      <c r="P43" s="721"/>
      <c r="Q43" s="747"/>
      <c r="R43" s="745"/>
      <c r="S43" s="723"/>
      <c r="T43" s="723"/>
      <c r="U43" s="747"/>
      <c r="V43" s="746"/>
      <c r="W43" s="723"/>
      <c r="X43" s="723"/>
      <c r="Y43" s="721"/>
      <c r="Z43" s="746"/>
      <c r="AA43" s="723"/>
      <c r="AB43" s="723"/>
      <c r="AC43" s="747"/>
      <c r="AD43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0</v>
      </c>
      <c r="AE43" s="723"/>
      <c r="AF43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</v>
      </c>
      <c r="AG43" s="748"/>
      <c r="AH43" s="142"/>
    </row>
    <row r="44" spans="2:51" ht="21.6">
      <c r="B44" s="716">
        <v>44417</v>
      </c>
      <c r="C44" s="717"/>
      <c r="D44" s="718"/>
      <c r="E44" s="719"/>
      <c r="F44" s="717"/>
      <c r="G44" s="717">
        <f>SUM(Table25234678910111012131214121516[[#This Row],[Jones Creek Target (Mbopd)]:[Egwa Target (Mbopd)]])</f>
        <v>0</v>
      </c>
      <c r="H44" s="720"/>
      <c r="I44" s="720"/>
      <c r="J44" s="720"/>
      <c r="K44" s="722"/>
      <c r="L44" s="753">
        <f t="shared" si="2"/>
        <v>0</v>
      </c>
      <c r="M44" s="721"/>
      <c r="N44" s="719"/>
      <c r="O44" s="722"/>
      <c r="P44" s="743"/>
      <c r="Q44" s="755"/>
      <c r="R44" s="745"/>
      <c r="S44" s="723"/>
      <c r="T44" s="723"/>
      <c r="U44" s="747"/>
      <c r="V44" s="746"/>
      <c r="W44" s="723"/>
      <c r="X44" s="723"/>
      <c r="Y44" s="721"/>
      <c r="Z44" s="746"/>
      <c r="AA44" s="723"/>
      <c r="AB44" s="723"/>
      <c r="AC44" s="747"/>
      <c r="AD44" s="745">
        <f>Table25234678910111012131214121516[[#This Row],[J/C Prod gas (MMscf)]]+Table25234678910111012131214121516[[#This Row],[Odid Prod gas (MMscf)]]+Table25234678910111012131214121516[[#This Row],[Batn Prod gas (MMscf)]]+Table25234678910111012131214121516[[#This Row],[Egwa Prod gas (MMscf)]]</f>
        <v>0</v>
      </c>
      <c r="AE44" s="723"/>
      <c r="AF44" s="723">
        <f>Table25234678910111012131214121516[[#This Row],[J/C Utilised gas (MMscf)]]+Table25234678910111012131214121516[[#This Row],[Odid Utilised gas (MMscf)]]+Table25234678910111012131214121516[[#This Row],[Batn Utilised gas (MMscf)]]+Table25234678910111012131214121516[[#This Row],[Egwa Utilised gas (MMscf)]]</f>
        <v>0</v>
      </c>
      <c r="AG44" s="748"/>
      <c r="AH44" s="142"/>
    </row>
    <row r="46" spans="2:51" ht="19.899999999999999" thickBot="1"/>
    <row r="47" spans="2:51" ht="33.950000000000003" customHeight="1" thickBot="1">
      <c r="B47" s="1345" t="s">
        <v>149</v>
      </c>
      <c r="C47" s="1346"/>
      <c r="D47" s="1346"/>
      <c r="E47" s="1346"/>
      <c r="F47" s="1346"/>
      <c r="G47" s="1346"/>
      <c r="H47" s="1346"/>
      <c r="I47" s="1346"/>
      <c r="J47" s="1346"/>
      <c r="K47" s="1346"/>
      <c r="L47" s="1346"/>
      <c r="M47" s="1346"/>
      <c r="N47" s="1346"/>
      <c r="O47" s="1346"/>
      <c r="P47" s="1346"/>
      <c r="Q47" s="1347"/>
      <c r="R47" s="683"/>
      <c r="S47" s="683"/>
      <c r="T47" s="683"/>
      <c r="U47" s="683"/>
      <c r="V47" s="683"/>
      <c r="W47" s="683"/>
      <c r="X47" s="683"/>
      <c r="Y47" s="683"/>
      <c r="Z47" s="683"/>
      <c r="AA47" s="683"/>
      <c r="AB47" s="683"/>
      <c r="AC47" s="683"/>
      <c r="AD47" s="683"/>
      <c r="AE47" s="683"/>
      <c r="AF47" s="683"/>
      <c r="AI47" s="142"/>
      <c r="AJ47" s="731"/>
    </row>
    <row r="48" spans="2:51" ht="41.45" customHeight="1">
      <c r="B48" s="655" t="s">
        <v>22</v>
      </c>
      <c r="C48" s="651" t="s">
        <v>358</v>
      </c>
      <c r="D48" s="1334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7"/>
      <c r="N48" s="1307"/>
      <c r="O48" s="1307"/>
      <c r="P48" s="1307"/>
      <c r="Q48" s="1308"/>
      <c r="R48" s="683"/>
      <c r="S48" s="683"/>
      <c r="T48" s="683"/>
      <c r="U48" s="683"/>
      <c r="V48" s="683"/>
      <c r="W48" s="683"/>
      <c r="X48" s="683"/>
      <c r="Y48" s="683"/>
      <c r="Z48" s="683"/>
      <c r="AA48" s="683"/>
      <c r="AB48" s="683"/>
      <c r="AC48" s="683"/>
      <c r="AD48" s="683"/>
      <c r="AE48" s="683"/>
      <c r="AF48" s="683"/>
      <c r="AI48" s="242"/>
      <c r="AJ48" s="732"/>
    </row>
    <row r="49" spans="2:36" ht="27.75" customHeight="1">
      <c r="B49" s="656" t="s">
        <v>17</v>
      </c>
      <c r="C49" s="652">
        <v>3.04</v>
      </c>
      <c r="D49" s="1335" t="s">
        <v>449</v>
      </c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10"/>
      <c r="R49" s="684"/>
      <c r="S49" s="684"/>
      <c r="T49" s="684"/>
      <c r="U49" s="684"/>
      <c r="V49" s="684"/>
      <c r="W49" s="684"/>
      <c r="X49" s="684"/>
      <c r="Y49" s="684"/>
      <c r="Z49" s="684"/>
      <c r="AA49" s="684"/>
      <c r="AB49" s="684"/>
      <c r="AC49" s="684"/>
      <c r="AD49" s="684"/>
      <c r="AE49" s="684"/>
      <c r="AF49" s="684"/>
      <c r="AI49" s="242"/>
      <c r="AJ49" s="732"/>
    </row>
    <row r="50" spans="2:36" ht="36.950000000000003" customHeight="1">
      <c r="B50" s="656" t="s">
        <v>19</v>
      </c>
      <c r="C50" s="652">
        <v>3.15</v>
      </c>
      <c r="D50" s="1336" t="s">
        <v>450</v>
      </c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6"/>
      <c r="R50" s="685"/>
      <c r="S50" s="685"/>
      <c r="T50" s="685"/>
      <c r="U50" s="685"/>
      <c r="V50" s="685"/>
      <c r="W50" s="685"/>
      <c r="X50" s="685"/>
      <c r="Y50" s="685"/>
      <c r="Z50" s="685"/>
      <c r="AA50" s="685"/>
      <c r="AB50" s="685"/>
      <c r="AC50" s="685"/>
      <c r="AD50" s="685"/>
      <c r="AE50" s="685"/>
      <c r="AF50" s="685"/>
      <c r="AI50" s="142"/>
    </row>
    <row r="51" spans="2:36" ht="21.6">
      <c r="B51" s="656" t="s">
        <v>16</v>
      </c>
      <c r="C51" s="652">
        <v>7.18</v>
      </c>
      <c r="D51" s="1336" t="s">
        <v>451</v>
      </c>
      <c r="E51" s="1285"/>
      <c r="F51" s="1285"/>
      <c r="G51" s="1285"/>
      <c r="H51" s="1285"/>
      <c r="I51" s="1285"/>
      <c r="J51" s="1285"/>
      <c r="K51" s="1285"/>
      <c r="L51" s="1285"/>
      <c r="M51" s="1285"/>
      <c r="N51" s="1285"/>
      <c r="O51" s="1285"/>
      <c r="P51" s="1285"/>
      <c r="Q51" s="1286"/>
      <c r="R51" s="685"/>
      <c r="S51" s="685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I51" s="242"/>
      <c r="AJ51" s="733"/>
    </row>
    <row r="52" spans="2:36" ht="26.45" customHeight="1" thickBot="1">
      <c r="B52" s="657" t="s">
        <v>18</v>
      </c>
      <c r="C52" s="653">
        <v>0.91</v>
      </c>
      <c r="D52" s="1328" t="s">
        <v>452</v>
      </c>
      <c r="E52" s="1329"/>
      <c r="F52" s="1329"/>
      <c r="G52" s="1329"/>
      <c r="H52" s="1329"/>
      <c r="I52" s="1329"/>
      <c r="J52" s="1329"/>
      <c r="K52" s="1329"/>
      <c r="L52" s="1329"/>
      <c r="M52" s="1329"/>
      <c r="N52" s="1329"/>
      <c r="O52" s="1329"/>
      <c r="P52" s="1329"/>
      <c r="Q52" s="1330"/>
      <c r="R52" s="685"/>
      <c r="S52" s="685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I52" s="242"/>
      <c r="AJ52" s="732"/>
    </row>
    <row r="53" spans="2:36" ht="27" customHeight="1" thickBot="1">
      <c r="B53" s="658" t="s">
        <v>187</v>
      </c>
      <c r="C53" s="654">
        <f>SUM(C49:C52)</f>
        <v>14.28</v>
      </c>
      <c r="D53" s="1331" t="s">
        <v>453</v>
      </c>
      <c r="E53" s="1332"/>
      <c r="F53" s="1332"/>
      <c r="G53" s="1332"/>
      <c r="H53" s="1332"/>
      <c r="I53" s="1332"/>
      <c r="J53" s="1332"/>
      <c r="K53" s="1332"/>
      <c r="L53" s="1332"/>
      <c r="M53" s="1332"/>
      <c r="N53" s="1332"/>
      <c r="O53" s="1332"/>
      <c r="P53" s="1332"/>
      <c r="Q53" s="1333"/>
      <c r="R53" s="684"/>
      <c r="S53" s="684"/>
      <c r="T53" s="684"/>
      <c r="U53" s="684"/>
      <c r="V53" s="684"/>
      <c r="W53" s="684"/>
      <c r="X53" s="684"/>
      <c r="Y53" s="684"/>
      <c r="Z53" s="684"/>
      <c r="AA53" s="684"/>
      <c r="AB53" s="684"/>
      <c r="AC53" s="684"/>
      <c r="AD53" s="684"/>
      <c r="AE53" s="684"/>
      <c r="AF53" s="684"/>
      <c r="AG53" s="734"/>
      <c r="AH53" s="734"/>
    </row>
    <row r="56" spans="2:36" ht="24.6">
      <c r="D56" s="778">
        <f>2.89+4+5.11</f>
        <v>12</v>
      </c>
      <c r="F56" s="735"/>
      <c r="G56" s="735"/>
    </row>
    <row r="57" spans="2:36" ht="35.450000000000003" customHeight="1">
      <c r="C57" s="736"/>
      <c r="H57" s="737"/>
      <c r="I57" s="737"/>
      <c r="J57" s="737"/>
    </row>
    <row r="58" spans="2:36" ht="24.75" customHeight="1">
      <c r="D58" s="735"/>
      <c r="H58" s="738"/>
      <c r="I58" s="738"/>
      <c r="J58" s="738"/>
    </row>
    <row r="59" spans="2:36" ht="20.25" customHeight="1">
      <c r="H59" s="142"/>
      <c r="I59" s="142"/>
      <c r="J59" s="142"/>
      <c r="K59" s="142"/>
      <c r="M59" s="142"/>
      <c r="N59" s="142"/>
      <c r="V59" s="142"/>
      <c r="W59" s="142"/>
      <c r="X59" s="142"/>
      <c r="Y59" s="142"/>
      <c r="AE59" s="142"/>
      <c r="AF59" s="142"/>
    </row>
    <row r="60" spans="2:36" ht="21.6">
      <c r="C60" s="739"/>
      <c r="H60" s="142"/>
      <c r="I60" s="142"/>
      <c r="J60" s="142"/>
      <c r="K60" s="142"/>
      <c r="M60" s="142"/>
      <c r="N60" s="142"/>
      <c r="V60" s="142"/>
      <c r="W60" s="142"/>
      <c r="X60" s="142"/>
      <c r="Y60" s="142"/>
      <c r="AE60" s="142"/>
      <c r="AF60" s="142"/>
    </row>
    <row r="61" spans="2:36" ht="27">
      <c r="C61" s="740"/>
      <c r="H61" s="142"/>
      <c r="I61" s="142"/>
      <c r="J61" s="142"/>
      <c r="K61" s="142"/>
      <c r="M61" s="142"/>
      <c r="N61" s="142"/>
      <c r="V61" s="142"/>
      <c r="W61" s="142"/>
      <c r="X61" s="142"/>
      <c r="Y61" s="142"/>
      <c r="AE61" s="142"/>
      <c r="AF61" s="142"/>
    </row>
    <row r="62" spans="2:36" ht="21.6">
      <c r="C62" s="741"/>
      <c r="D62" s="741"/>
      <c r="F62" s="741"/>
      <c r="G62" s="741"/>
      <c r="H62" s="142"/>
      <c r="I62" s="142"/>
      <c r="J62" s="142"/>
      <c r="K62" s="142"/>
      <c r="M62" s="142"/>
      <c r="N62" s="142"/>
      <c r="V62" s="142"/>
      <c r="W62" s="142"/>
      <c r="X62" s="142"/>
      <c r="Y62" s="142"/>
      <c r="AE62" s="142"/>
      <c r="AF62" s="142"/>
    </row>
    <row r="63" spans="2:36">
      <c r="C63" s="741"/>
      <c r="D63" s="741"/>
      <c r="F63" s="741"/>
      <c r="G63" s="741"/>
    </row>
    <row r="64" spans="2:36">
      <c r="C64" s="741"/>
      <c r="D64" s="741"/>
      <c r="F64" s="741"/>
      <c r="G64" s="741"/>
    </row>
    <row r="65" spans="3:7">
      <c r="C65" s="741"/>
      <c r="D65" s="741"/>
      <c r="F65" s="741"/>
      <c r="G65" s="741"/>
    </row>
  </sheetData>
  <mergeCells count="8">
    <mergeCell ref="D52:Q52"/>
    <mergeCell ref="D53:Q53"/>
    <mergeCell ref="AL3:AP3"/>
    <mergeCell ref="B47:Q47"/>
    <mergeCell ref="D48:Q48"/>
    <mergeCell ref="D49:Q49"/>
    <mergeCell ref="D50:Q50"/>
    <mergeCell ref="D51:Q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1:AC999"/>
  <sheetViews>
    <sheetView topLeftCell="A51" zoomScale="90" zoomScaleNormal="90" workbookViewId="0">
      <selection activeCell="M76" sqref="M76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9.21875" style="580"/>
    <col min="7" max="7" width="11.21875" style="580" bestFit="1" customWidth="1"/>
    <col min="8" max="8" width="6.77734375" style="580" customWidth="1"/>
    <col min="9" max="9" width="7.6640625" style="580" customWidth="1"/>
    <col min="10" max="10" width="8" style="580" customWidth="1"/>
    <col min="11" max="11" width="27.6640625" style="580" customWidth="1"/>
    <col min="12" max="12" width="11.21875" style="580" bestFit="1" customWidth="1"/>
    <col min="13" max="13" width="9.21875" style="580"/>
    <col min="14" max="14" width="10.109375" style="580" bestFit="1" customWidth="1"/>
    <col min="15" max="16384" width="9.21875" style="580"/>
  </cols>
  <sheetData>
    <row r="1" spans="2:29" ht="22.9" thickBot="1">
      <c r="B1"/>
      <c r="C1" s="1226" t="s">
        <v>413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 thickBo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18" customHeight="1" thickBot="1">
      <c r="B3"/>
      <c r="C3" s="1252" t="s">
        <v>414</v>
      </c>
      <c r="D3" s="1291"/>
      <c r="E3" s="1291"/>
      <c r="F3" s="1291"/>
      <c r="G3" s="1291"/>
      <c r="H3" s="1291"/>
      <c r="I3" s="1291"/>
      <c r="J3" s="1291"/>
      <c r="K3" s="1292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40.15" thickBot="1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 ht="19.899999999999999" thickBot="1">
      <c r="B5" s="808">
        <v>1</v>
      </c>
      <c r="C5" s="809" t="s">
        <v>41</v>
      </c>
      <c r="D5" s="810" t="s">
        <v>42</v>
      </c>
      <c r="E5" s="811">
        <v>28</v>
      </c>
      <c r="F5" s="812">
        <v>1706</v>
      </c>
      <c r="G5" s="812">
        <v>580</v>
      </c>
      <c r="H5" s="812">
        <v>66</v>
      </c>
      <c r="I5" s="812">
        <v>995</v>
      </c>
      <c r="J5" s="812">
        <v>494</v>
      </c>
      <c r="K5" s="813" t="s">
        <v>235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 ht="19.899999999999999" thickBot="1">
      <c r="B6" s="814">
        <v>2</v>
      </c>
      <c r="C6" s="815" t="s">
        <v>43</v>
      </c>
      <c r="D6" s="219" t="s">
        <v>44</v>
      </c>
      <c r="E6" s="220">
        <v>28</v>
      </c>
      <c r="F6" s="221">
        <v>1132</v>
      </c>
      <c r="G6" s="278">
        <v>566</v>
      </c>
      <c r="H6" s="221">
        <v>50</v>
      </c>
      <c r="I6" s="221">
        <v>607</v>
      </c>
      <c r="J6" s="221">
        <v>147</v>
      </c>
      <c r="K6" s="816" t="s">
        <v>235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 ht="19.899999999999999" thickBot="1">
      <c r="B7" s="814">
        <v>3</v>
      </c>
      <c r="C7" s="815" t="s">
        <v>45</v>
      </c>
      <c r="D7" s="219" t="s">
        <v>44</v>
      </c>
      <c r="E7" s="220">
        <v>32</v>
      </c>
      <c r="F7" s="221">
        <v>2221</v>
      </c>
      <c r="G7" s="278">
        <v>1044</v>
      </c>
      <c r="H7" s="221">
        <v>53</v>
      </c>
      <c r="I7" s="221">
        <v>669</v>
      </c>
      <c r="J7" s="221">
        <v>249</v>
      </c>
      <c r="K7" s="816" t="s">
        <v>235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 ht="19.899999999999999" thickBot="1">
      <c r="B8" s="817">
        <v>4</v>
      </c>
      <c r="C8" s="818" t="s">
        <v>46</v>
      </c>
      <c r="D8" s="192" t="s">
        <v>47</v>
      </c>
      <c r="E8" s="193">
        <v>40</v>
      </c>
      <c r="F8" s="194">
        <v>1753</v>
      </c>
      <c r="G8" s="188">
        <v>1157</v>
      </c>
      <c r="H8" s="194">
        <v>34</v>
      </c>
      <c r="I8" s="194">
        <v>323</v>
      </c>
      <c r="J8" s="194">
        <v>129</v>
      </c>
      <c r="K8" s="81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 ht="21" customHeight="1" thickBot="1">
      <c r="B9" s="817">
        <v>5</v>
      </c>
      <c r="C9" s="818" t="s">
        <v>48</v>
      </c>
      <c r="D9" s="192" t="s">
        <v>47</v>
      </c>
      <c r="E9" s="193" t="s">
        <v>49</v>
      </c>
      <c r="F9" s="194">
        <v>1538</v>
      </c>
      <c r="G9" s="188">
        <v>1000</v>
      </c>
      <c r="H9" s="194">
        <v>35</v>
      </c>
      <c r="I9" s="194">
        <v>310</v>
      </c>
      <c r="J9" s="194">
        <v>163</v>
      </c>
      <c r="K9" s="81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 ht="19.899999999999999" thickBot="1">
      <c r="B10" s="814">
        <v>6</v>
      </c>
      <c r="C10" s="815" t="s">
        <v>373</v>
      </c>
      <c r="D10" s="219" t="s">
        <v>47</v>
      </c>
      <c r="E10" s="220">
        <v>24</v>
      </c>
      <c r="F10" s="221"/>
      <c r="G10" s="278"/>
      <c r="H10" s="221"/>
      <c r="I10" s="221"/>
      <c r="J10" s="221"/>
      <c r="K10" s="816" t="s">
        <v>402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 ht="19.899999999999999" thickBot="1">
      <c r="B11" s="814">
        <v>7</v>
      </c>
      <c r="C11" s="815" t="s">
        <v>50</v>
      </c>
      <c r="D11" s="219" t="s">
        <v>47</v>
      </c>
      <c r="E11" s="220" t="s">
        <v>51</v>
      </c>
      <c r="F11" s="221">
        <v>1480</v>
      </c>
      <c r="G11" s="278">
        <v>444</v>
      </c>
      <c r="H11" s="221">
        <v>70</v>
      </c>
      <c r="I11" s="221">
        <v>762</v>
      </c>
      <c r="J11" s="221">
        <v>173</v>
      </c>
      <c r="K11" s="816" t="s">
        <v>235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 ht="19.899999999999999" thickBot="1">
      <c r="B12" s="814">
        <v>8</v>
      </c>
      <c r="C12" s="815" t="s">
        <v>52</v>
      </c>
      <c r="D12" s="219" t="s">
        <v>47</v>
      </c>
      <c r="E12" s="220">
        <v>40</v>
      </c>
      <c r="F12" s="221">
        <v>1652</v>
      </c>
      <c r="G12" s="278">
        <v>760</v>
      </c>
      <c r="H12" s="221">
        <v>54</v>
      </c>
      <c r="I12" s="221">
        <v>447</v>
      </c>
      <c r="J12" s="221">
        <v>159</v>
      </c>
      <c r="K12" s="816" t="s">
        <v>235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 ht="19.899999999999999" thickBot="1">
      <c r="B13" s="814">
        <v>9</v>
      </c>
      <c r="C13" s="815" t="s">
        <v>53</v>
      </c>
      <c r="D13" s="219" t="s">
        <v>47</v>
      </c>
      <c r="E13" s="220">
        <v>28</v>
      </c>
      <c r="F13" s="221">
        <v>1410</v>
      </c>
      <c r="G13" s="278">
        <v>663</v>
      </c>
      <c r="H13" s="221">
        <v>53.33</v>
      </c>
      <c r="I13" s="221">
        <v>430</v>
      </c>
      <c r="J13" s="221">
        <v>342</v>
      </c>
      <c r="K13" s="698" t="s">
        <v>235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 ht="19.899999999999999" thickBot="1">
      <c r="B14" s="814">
        <v>10</v>
      </c>
      <c r="C14" s="815" t="s">
        <v>54</v>
      </c>
      <c r="D14" s="219" t="s">
        <v>47</v>
      </c>
      <c r="E14" s="220" t="s">
        <v>55</v>
      </c>
      <c r="F14" s="221">
        <v>1633</v>
      </c>
      <c r="G14" s="278">
        <v>784</v>
      </c>
      <c r="H14" s="221">
        <v>52</v>
      </c>
      <c r="I14" s="221">
        <v>492</v>
      </c>
      <c r="J14" s="221">
        <v>377</v>
      </c>
      <c r="K14" s="698" t="s">
        <v>415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19.899999999999999" thickBot="1">
      <c r="B15" s="820">
        <v>11</v>
      </c>
      <c r="C15" s="818" t="s">
        <v>56</v>
      </c>
      <c r="D15" s="192" t="s">
        <v>47</v>
      </c>
      <c r="E15" s="193">
        <v>44</v>
      </c>
      <c r="F15" s="194">
        <v>3857</v>
      </c>
      <c r="G15" s="188">
        <v>1620</v>
      </c>
      <c r="H15" s="194">
        <v>58</v>
      </c>
      <c r="I15" s="194">
        <v>329</v>
      </c>
      <c r="J15" s="194">
        <v>352</v>
      </c>
      <c r="K15" s="821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 ht="19.899999999999999" thickBot="1">
      <c r="B16" s="822">
        <v>12</v>
      </c>
      <c r="C16" s="823" t="s">
        <v>57</v>
      </c>
      <c r="D16" s="824" t="s">
        <v>47</v>
      </c>
      <c r="E16" s="825">
        <v>28</v>
      </c>
      <c r="F16" s="826">
        <v>1706</v>
      </c>
      <c r="G16" s="827">
        <v>273</v>
      </c>
      <c r="H16" s="826">
        <v>84</v>
      </c>
      <c r="I16" s="826">
        <v>377</v>
      </c>
      <c r="J16" s="826">
        <v>305</v>
      </c>
      <c r="K16" s="828" t="s">
        <v>235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 ht="19.899999999999999" thickBot="1">
      <c r="B17"/>
      <c r="C17" s="204"/>
      <c r="D17" s="205"/>
      <c r="E17" s="205"/>
      <c r="F17" s="224">
        <f>SUM(F5:F16)</f>
        <v>20088</v>
      </c>
      <c r="G17" s="224">
        <f>SUM(G5:G16)</f>
        <v>8891</v>
      </c>
      <c r="H17" s="207"/>
      <c r="I17" s="408"/>
      <c r="J17" s="207"/>
      <c r="K17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 ht="19.899999999999999" thickBot="1">
      <c r="B18"/>
      <c r="C18"/>
      <c r="D18" s="1253"/>
      <c r="E18" s="1253"/>
      <c r="F18" s="1"/>
      <c r="G18" s="208">
        <f>ROUNDUP(G17,-1)</f>
        <v>8900</v>
      </c>
      <c r="H18" s="373"/>
      <c r="I18" s="418"/>
      <c r="J18" s="699"/>
      <c r="K18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 ht="19.5" customHeight="1" thickBot="1">
      <c r="B19"/>
      <c r="C19"/>
      <c r="D19" s="1"/>
      <c r="E19" s="1"/>
      <c r="F19" s="1"/>
      <c r="G19" s="1"/>
      <c r="H19" s="1"/>
      <c r="I19"/>
      <c r="J19" s="1"/>
      <c r="K19"/>
      <c r="L19" s="579">
        <f>27450+5500</f>
        <v>32950</v>
      </c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19.899999999999999" thickBot="1">
      <c r="B20"/>
      <c r="C20"/>
      <c r="D20" s="1"/>
      <c r="E20" s="1"/>
      <c r="F20" s="1"/>
      <c r="G20" s="1"/>
      <c r="H20" s="1"/>
      <c r="I20" s="1"/>
      <c r="J20" s="1"/>
      <c r="K20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26.25" customHeight="1" thickBot="1">
      <c r="B21" s="303"/>
      <c r="C21" s="1252" t="s">
        <v>416</v>
      </c>
      <c r="D21" s="1291"/>
      <c r="E21" s="1291"/>
      <c r="F21" s="1291"/>
      <c r="G21" s="1291"/>
      <c r="H21" s="1291"/>
      <c r="I21" s="1291"/>
      <c r="J21" s="1291"/>
      <c r="K21" s="1292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ht="40.15" thickBot="1">
      <c r="B22" s="829" t="s">
        <v>156</v>
      </c>
      <c r="C22" s="830" t="s">
        <v>31</v>
      </c>
      <c r="D22" s="803" t="s">
        <v>32</v>
      </c>
      <c r="E22" s="803" t="s">
        <v>33</v>
      </c>
      <c r="F22" s="803" t="s">
        <v>34</v>
      </c>
      <c r="G22" s="803" t="s">
        <v>35</v>
      </c>
      <c r="H22" s="803" t="s">
        <v>37</v>
      </c>
      <c r="I22" s="803" t="s">
        <v>38</v>
      </c>
      <c r="J22" s="803" t="s">
        <v>39</v>
      </c>
      <c r="K22" s="803" t="s">
        <v>40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</row>
    <row r="23" spans="2:29" ht="19.899999999999999" thickBot="1">
      <c r="B23" s="982">
        <v>1</v>
      </c>
      <c r="C23" s="983" t="s">
        <v>417</v>
      </c>
      <c r="D23" s="983" t="s">
        <v>418</v>
      </c>
      <c r="E23" s="984">
        <v>24</v>
      </c>
      <c r="F23" s="985">
        <v>547</v>
      </c>
      <c r="G23" s="986">
        <v>241</v>
      </c>
      <c r="H23" s="986">
        <v>56</v>
      </c>
      <c r="I23" s="986">
        <v>1724</v>
      </c>
      <c r="J23" s="986">
        <v>600</v>
      </c>
      <c r="K23" s="987"/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19.899999999999999" thickBot="1">
      <c r="B24" s="831">
        <v>2</v>
      </c>
      <c r="C24" s="832" t="s">
        <v>376</v>
      </c>
      <c r="D24" s="832" t="s">
        <v>89</v>
      </c>
      <c r="E24" s="833">
        <v>24</v>
      </c>
      <c r="F24" s="834">
        <v>1203</v>
      </c>
      <c r="G24" s="835">
        <v>412</v>
      </c>
      <c r="H24" s="835">
        <v>56</v>
      </c>
      <c r="I24" s="835">
        <v>340</v>
      </c>
      <c r="J24" s="835">
        <v>600</v>
      </c>
      <c r="K24" s="836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 ht="19.899999999999999" thickBot="1">
      <c r="B25" s="831">
        <v>3</v>
      </c>
      <c r="C25" s="837" t="s">
        <v>61</v>
      </c>
      <c r="D25" s="837" t="s">
        <v>62</v>
      </c>
      <c r="E25" s="838">
        <v>28</v>
      </c>
      <c r="F25" s="834">
        <v>888</v>
      </c>
      <c r="G25" s="835">
        <v>355</v>
      </c>
      <c r="H25" s="835">
        <v>56</v>
      </c>
      <c r="I25" s="835">
        <v>782</v>
      </c>
      <c r="J25" s="835">
        <v>370</v>
      </c>
      <c r="K25" s="836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 ht="19.899999999999999" thickBot="1">
      <c r="B26" s="831">
        <v>4</v>
      </c>
      <c r="C26" s="837" t="s">
        <v>64</v>
      </c>
      <c r="D26" s="837" t="s">
        <v>65</v>
      </c>
      <c r="E26" s="838">
        <v>32</v>
      </c>
      <c r="F26" s="834">
        <v>2161</v>
      </c>
      <c r="G26" s="835">
        <v>1404</v>
      </c>
      <c r="H26" s="835">
        <v>33</v>
      </c>
      <c r="I26" s="835">
        <v>430</v>
      </c>
      <c r="J26" s="835">
        <v>400</v>
      </c>
      <c r="K26" s="836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 ht="19.899999999999999" thickBot="1">
      <c r="B27" s="772">
        <v>5</v>
      </c>
      <c r="C27" s="773" t="s">
        <v>69</v>
      </c>
      <c r="D27" s="773" t="s">
        <v>70</v>
      </c>
      <c r="E27" s="774">
        <v>24</v>
      </c>
      <c r="F27" s="775">
        <v>963</v>
      </c>
      <c r="G27" s="776">
        <v>347</v>
      </c>
      <c r="H27" s="776">
        <v>65</v>
      </c>
      <c r="I27" s="776">
        <v>2411</v>
      </c>
      <c r="J27" s="776">
        <v>750</v>
      </c>
      <c r="K27" s="782" t="s">
        <v>235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19.899999999999999" thickBot="1">
      <c r="B28" s="831">
        <v>6</v>
      </c>
      <c r="C28" s="837" t="s">
        <v>71</v>
      </c>
      <c r="D28" s="837" t="s">
        <v>72</v>
      </c>
      <c r="E28" s="838">
        <v>28</v>
      </c>
      <c r="F28" s="834">
        <v>859</v>
      </c>
      <c r="G28" s="835">
        <v>326</v>
      </c>
      <c r="H28" s="835">
        <v>67</v>
      </c>
      <c r="I28" s="835">
        <v>3000</v>
      </c>
      <c r="J28" s="835">
        <v>750</v>
      </c>
      <c r="K28" s="836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19.899999999999999" thickBot="1">
      <c r="B29" s="783">
        <v>7</v>
      </c>
      <c r="C29" s="784" t="s">
        <v>73</v>
      </c>
      <c r="D29" s="784" t="s">
        <v>72</v>
      </c>
      <c r="E29" s="785">
        <v>44</v>
      </c>
      <c r="F29" s="786">
        <v>1099</v>
      </c>
      <c r="G29" s="787">
        <v>659</v>
      </c>
      <c r="H29" s="787">
        <v>23</v>
      </c>
      <c r="I29" s="787">
        <v>3206</v>
      </c>
      <c r="J29" s="787">
        <v>480</v>
      </c>
      <c r="K29" s="791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ht="19.899999999999999" thickBot="1">
      <c r="B30" s="831">
        <v>8</v>
      </c>
      <c r="C30" s="837" t="s">
        <v>74</v>
      </c>
      <c r="D30" s="837" t="s">
        <v>75</v>
      </c>
      <c r="E30" s="838">
        <v>36</v>
      </c>
      <c r="F30" s="834">
        <v>3196</v>
      </c>
      <c r="G30" s="835">
        <v>1406</v>
      </c>
      <c r="H30" s="835">
        <v>55</v>
      </c>
      <c r="I30" s="835">
        <v>1306</v>
      </c>
      <c r="J30" s="835">
        <v>850</v>
      </c>
      <c r="K30" s="836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</row>
    <row r="31" spans="2:29" ht="19.899999999999999" thickBot="1">
      <c r="B31" s="831">
        <v>9</v>
      </c>
      <c r="C31" s="837" t="s">
        <v>76</v>
      </c>
      <c r="D31" s="837" t="s">
        <v>77</v>
      </c>
      <c r="E31" s="838">
        <v>20</v>
      </c>
      <c r="F31" s="834">
        <v>717</v>
      </c>
      <c r="G31" s="835">
        <v>323</v>
      </c>
      <c r="H31" s="835">
        <v>56</v>
      </c>
      <c r="I31" s="835">
        <v>264</v>
      </c>
      <c r="J31" s="835">
        <v>180</v>
      </c>
      <c r="K31" s="836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</row>
    <row r="32" spans="2:29" ht="19.899999999999999" thickBot="1">
      <c r="B32" s="772">
        <v>10</v>
      </c>
      <c r="C32" s="773" t="s">
        <v>78</v>
      </c>
      <c r="D32" s="773" t="s">
        <v>79</v>
      </c>
      <c r="E32" s="774">
        <v>52</v>
      </c>
      <c r="F32" s="775">
        <v>1046</v>
      </c>
      <c r="G32" s="776">
        <v>1025</v>
      </c>
      <c r="H32" s="776">
        <v>1</v>
      </c>
      <c r="I32" s="776">
        <v>553</v>
      </c>
      <c r="J32" s="776">
        <v>200</v>
      </c>
      <c r="K32" s="782" t="s">
        <v>235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</row>
    <row r="33" spans="2:29" s="647" customFormat="1" ht="19.899999999999999" thickBot="1">
      <c r="B33" s="772">
        <v>11</v>
      </c>
      <c r="C33" s="773" t="s">
        <v>80</v>
      </c>
      <c r="D33" s="773" t="s">
        <v>81</v>
      </c>
      <c r="E33" s="774">
        <v>32</v>
      </c>
      <c r="F33" s="775">
        <v>1639</v>
      </c>
      <c r="G33" s="776">
        <v>492</v>
      </c>
      <c r="H33" s="776">
        <v>70</v>
      </c>
      <c r="I33" s="776">
        <v>1849</v>
      </c>
      <c r="J33" s="776">
        <v>435</v>
      </c>
      <c r="K33" s="782" t="s">
        <v>235</v>
      </c>
      <c r="L33" s="646"/>
      <c r="M33" s="646"/>
      <c r="N33" s="646"/>
      <c r="O33" s="646"/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</row>
    <row r="34" spans="2:29" ht="19.899999999999999" thickBot="1">
      <c r="B34" s="831">
        <v>12</v>
      </c>
      <c r="C34" s="837" t="s">
        <v>82</v>
      </c>
      <c r="D34" s="837" t="s">
        <v>65</v>
      </c>
      <c r="E34" s="838">
        <v>28</v>
      </c>
      <c r="F34" s="834">
        <v>1023</v>
      </c>
      <c r="G34" s="835">
        <v>1003</v>
      </c>
      <c r="H34" s="835">
        <v>15</v>
      </c>
      <c r="I34" s="835">
        <v>587</v>
      </c>
      <c r="J34" s="835">
        <v>400</v>
      </c>
      <c r="K34" s="836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</row>
    <row r="35" spans="2:29" ht="19.899999999999999" thickBot="1">
      <c r="B35" s="772">
        <v>13</v>
      </c>
      <c r="C35" s="773" t="s">
        <v>379</v>
      </c>
      <c r="D35" s="773" t="s">
        <v>380</v>
      </c>
      <c r="E35" s="774">
        <v>20</v>
      </c>
      <c r="F35" s="775">
        <v>758</v>
      </c>
      <c r="G35" s="776">
        <v>286</v>
      </c>
      <c r="H35" s="776">
        <v>63</v>
      </c>
      <c r="I35" s="776">
        <v>2273</v>
      </c>
      <c r="J35" s="776">
        <v>762</v>
      </c>
      <c r="K35" s="782" t="s">
        <v>235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</row>
    <row r="36" spans="2:29" ht="19.899999999999999" thickBot="1">
      <c r="B36" s="783">
        <v>14</v>
      </c>
      <c r="C36" s="784" t="s">
        <v>351</v>
      </c>
      <c r="D36" s="784" t="s">
        <v>352</v>
      </c>
      <c r="E36" s="785">
        <v>24</v>
      </c>
      <c r="F36" s="786">
        <v>750</v>
      </c>
      <c r="G36" s="787">
        <v>300</v>
      </c>
      <c r="H36" s="787">
        <v>60</v>
      </c>
      <c r="I36" s="787" t="s">
        <v>164</v>
      </c>
      <c r="J36" s="787">
        <v>1000</v>
      </c>
      <c r="K36" s="791"/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</row>
    <row r="37" spans="2:29" s="647" customFormat="1" ht="19.899999999999999" thickBot="1">
      <c r="B37" s="783">
        <v>15</v>
      </c>
      <c r="C37" s="784" t="s">
        <v>83</v>
      </c>
      <c r="D37" s="784" t="s">
        <v>84</v>
      </c>
      <c r="E37" s="785">
        <v>44</v>
      </c>
      <c r="F37" s="786">
        <v>3273</v>
      </c>
      <c r="G37" s="787">
        <v>1047</v>
      </c>
      <c r="H37" s="787">
        <v>64</v>
      </c>
      <c r="I37" s="787">
        <v>4131</v>
      </c>
      <c r="J37" s="787">
        <v>1150</v>
      </c>
      <c r="K37" s="788"/>
      <c r="L37" s="780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</row>
    <row r="38" spans="2:29" ht="19.899999999999999" thickBot="1">
      <c r="B38" s="831">
        <v>16</v>
      </c>
      <c r="C38" s="773" t="s">
        <v>85</v>
      </c>
      <c r="D38" s="773" t="s">
        <v>72</v>
      </c>
      <c r="E38" s="774">
        <v>32</v>
      </c>
      <c r="F38" s="775">
        <v>1427</v>
      </c>
      <c r="G38" s="776">
        <v>899</v>
      </c>
      <c r="H38" s="776">
        <v>37</v>
      </c>
      <c r="I38" s="776">
        <v>1058</v>
      </c>
      <c r="J38" s="776">
        <v>522</v>
      </c>
      <c r="K38" s="782" t="s">
        <v>235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</row>
    <row r="39" spans="2:29" s="647" customFormat="1" ht="19.899999999999999" thickBot="1">
      <c r="B39" s="831">
        <v>17</v>
      </c>
      <c r="C39" s="837" t="s">
        <v>86</v>
      </c>
      <c r="D39" s="837" t="s">
        <v>87</v>
      </c>
      <c r="E39" s="838">
        <v>28</v>
      </c>
      <c r="F39" s="834">
        <v>901</v>
      </c>
      <c r="G39" s="835">
        <v>405</v>
      </c>
      <c r="H39" s="835">
        <v>55</v>
      </c>
      <c r="I39" s="835">
        <v>5513</v>
      </c>
      <c r="J39" s="835">
        <v>1450</v>
      </c>
      <c r="K39" s="836"/>
      <c r="L39" s="646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</row>
    <row r="40" spans="2:29" ht="19.899999999999999" thickBot="1">
      <c r="B40" s="772">
        <v>18</v>
      </c>
      <c r="C40" s="773" t="s">
        <v>88</v>
      </c>
      <c r="D40" s="773" t="s">
        <v>89</v>
      </c>
      <c r="E40" s="774">
        <v>28</v>
      </c>
      <c r="F40" s="775">
        <v>1172</v>
      </c>
      <c r="G40" s="776">
        <v>527</v>
      </c>
      <c r="H40" s="776">
        <v>55</v>
      </c>
      <c r="I40" s="776">
        <v>2051</v>
      </c>
      <c r="J40" s="776">
        <v>522</v>
      </c>
      <c r="K40" s="782" t="s">
        <v>235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</row>
    <row r="41" spans="2:29" s="647" customFormat="1" ht="19.899999999999999" thickBot="1">
      <c r="B41" s="783">
        <v>19</v>
      </c>
      <c r="C41" s="784" t="s">
        <v>90</v>
      </c>
      <c r="D41" s="784" t="s">
        <v>84</v>
      </c>
      <c r="E41" s="785">
        <v>48</v>
      </c>
      <c r="F41" s="786">
        <v>547</v>
      </c>
      <c r="G41" s="787">
        <v>509</v>
      </c>
      <c r="H41" s="787">
        <v>7</v>
      </c>
      <c r="I41" s="787">
        <v>6498</v>
      </c>
      <c r="J41" s="787">
        <v>550</v>
      </c>
      <c r="K41" s="788"/>
      <c r="L41" s="646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ht="19.899999999999999" thickBot="1">
      <c r="B42" s="783">
        <v>20</v>
      </c>
      <c r="C42" s="784" t="s">
        <v>91</v>
      </c>
      <c r="D42" s="784" t="s">
        <v>89</v>
      </c>
      <c r="E42" s="785">
        <v>36</v>
      </c>
      <c r="F42" s="786">
        <v>497</v>
      </c>
      <c r="G42" s="787">
        <v>496</v>
      </c>
      <c r="H42" s="787">
        <v>0</v>
      </c>
      <c r="I42" s="787">
        <v>1297</v>
      </c>
      <c r="J42" s="787">
        <v>200</v>
      </c>
      <c r="K42" s="788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</row>
    <row r="43" spans="2:29" ht="19.899999999999999" thickBot="1">
      <c r="B43" s="772">
        <v>21</v>
      </c>
      <c r="C43" s="773" t="s">
        <v>92</v>
      </c>
      <c r="D43" s="773" t="s">
        <v>93</v>
      </c>
      <c r="E43" s="774">
        <v>24</v>
      </c>
      <c r="F43" s="775">
        <v>651</v>
      </c>
      <c r="G43" s="776">
        <v>378</v>
      </c>
      <c r="H43" s="776">
        <v>38</v>
      </c>
      <c r="I43" s="776">
        <v>373</v>
      </c>
      <c r="J43" s="776">
        <v>180</v>
      </c>
      <c r="K43" s="782" t="s">
        <v>235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</row>
    <row r="44" spans="2:29" ht="19.899999999999999" thickBot="1">
      <c r="B44" s="783">
        <v>22</v>
      </c>
      <c r="C44" s="784" t="s">
        <v>94</v>
      </c>
      <c r="D44" s="784" t="s">
        <v>67</v>
      </c>
      <c r="E44" s="785">
        <v>24</v>
      </c>
      <c r="F44" s="786">
        <v>1600</v>
      </c>
      <c r="G44" s="787">
        <v>912</v>
      </c>
      <c r="H44" s="787">
        <v>41</v>
      </c>
      <c r="I44" s="787">
        <v>258</v>
      </c>
      <c r="J44" s="787">
        <v>370</v>
      </c>
      <c r="K44" s="788"/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</row>
    <row r="45" spans="2:29" ht="19.899999999999999" thickBot="1">
      <c r="B45" s="783">
        <v>23</v>
      </c>
      <c r="C45" s="784" t="s">
        <v>95</v>
      </c>
      <c r="D45" s="784" t="s">
        <v>65</v>
      </c>
      <c r="E45" s="792">
        <v>20</v>
      </c>
      <c r="F45" s="786">
        <v>576</v>
      </c>
      <c r="G45" s="787">
        <v>426</v>
      </c>
      <c r="H45" s="787">
        <v>51</v>
      </c>
      <c r="I45" s="787">
        <v>415</v>
      </c>
      <c r="J45" s="787">
        <v>300</v>
      </c>
      <c r="K45" s="791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</row>
    <row r="46" spans="2:29" ht="19.899999999999999" thickBot="1">
      <c r="B46" s="756">
        <v>24</v>
      </c>
      <c r="C46" s="757" t="s">
        <v>96</v>
      </c>
      <c r="D46" s="757" t="s">
        <v>67</v>
      </c>
      <c r="E46" s="758">
        <v>36</v>
      </c>
      <c r="F46" s="759">
        <v>2120</v>
      </c>
      <c r="G46" s="760">
        <v>954</v>
      </c>
      <c r="H46" s="760">
        <v>53</v>
      </c>
      <c r="I46" s="760">
        <v>450</v>
      </c>
      <c r="J46" s="760">
        <v>400</v>
      </c>
      <c r="K46" s="788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.75" customHeight="1" thickBot="1">
      <c r="B47" s="839"/>
      <c r="C47" s="700"/>
      <c r="D47" s="701"/>
      <c r="E47" s="701"/>
      <c r="F47" s="224">
        <f>SUM(F24:F46)</f>
        <v>29066</v>
      </c>
      <c r="G47" s="224">
        <f>SUM(G23:G46)</f>
        <v>15132</v>
      </c>
      <c r="H47" s="840"/>
      <c r="I47" s="841"/>
      <c r="J47" s="840"/>
      <c r="K47" s="83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" customHeight="1" thickBot="1">
      <c r="B48" s="839"/>
      <c r="C48" s="1343"/>
      <c r="D48" s="1343"/>
      <c r="E48" s="1343"/>
      <c r="F48" s="842"/>
      <c r="G48" s="208">
        <f>ROUNDUP(G47,-1)</f>
        <v>15140</v>
      </c>
      <c r="H48" s="842"/>
      <c r="I48" s="843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8.75" customHeight="1" thickBot="1">
      <c r="B49" s="839"/>
      <c r="C49" s="839"/>
      <c r="D49" s="842"/>
      <c r="E49" s="842"/>
      <c r="F49" s="842"/>
      <c r="G49"/>
      <c r="H49" s="842"/>
      <c r="I49" s="842"/>
      <c r="J49" s="839"/>
      <c r="K49" s="83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5" customHeight="1" thickBot="1">
      <c r="B50" s="844"/>
      <c r="C50" s="844"/>
      <c r="D50" s="844"/>
      <c r="E50" s="844"/>
      <c r="F50" s="844"/>
      <c r="G50" s="844"/>
      <c r="H50" s="844"/>
      <c r="I50" s="844"/>
      <c r="J50" s="844"/>
      <c r="K50" s="845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19.899999999999999" thickBot="1">
      <c r="B51" s="844"/>
      <c r="C51" s="844"/>
      <c r="D51" s="844"/>
      <c r="E51" s="844"/>
      <c r="F51" s="844"/>
      <c r="G51" s="844"/>
      <c r="H51" s="844"/>
      <c r="I51" s="844"/>
      <c r="J51" s="844"/>
      <c r="K51" s="845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19.899999999999999" thickBot="1">
      <c r="B52" s="844"/>
      <c r="C52" s="1252" t="s">
        <v>419</v>
      </c>
      <c r="D52" s="1291"/>
      <c r="E52" s="1291"/>
      <c r="F52" s="1291"/>
      <c r="G52" s="1291"/>
      <c r="H52" s="1291"/>
      <c r="I52" s="1291"/>
      <c r="J52" s="1291"/>
      <c r="K52" s="1292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40.15" thickBot="1">
      <c r="B53" s="179" t="s">
        <v>156</v>
      </c>
      <c r="C53" s="179" t="s">
        <v>31</v>
      </c>
      <c r="D53" s="180" t="s">
        <v>32</v>
      </c>
      <c r="E53" s="180" t="s">
        <v>33</v>
      </c>
      <c r="F53" s="180" t="s">
        <v>34</v>
      </c>
      <c r="G53" s="180" t="s">
        <v>35</v>
      </c>
      <c r="H53" s="180" t="s">
        <v>37</v>
      </c>
      <c r="I53" s="182" t="s">
        <v>38</v>
      </c>
      <c r="J53" s="182" t="s">
        <v>39</v>
      </c>
      <c r="K53" s="183" t="s">
        <v>40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</row>
    <row r="54" spans="2:29" ht="19.899999999999999" thickBot="1">
      <c r="B54" s="210">
        <v>1</v>
      </c>
      <c r="C54" s="216" t="s">
        <v>98</v>
      </c>
      <c r="D54" s="192" t="s">
        <v>99</v>
      </c>
      <c r="E54" s="193">
        <v>36</v>
      </c>
      <c r="F54" s="194">
        <f>((100/(100-H54))*G54)</f>
        <v>2403.2258064516127</v>
      </c>
      <c r="G54" s="194">
        <v>1490</v>
      </c>
      <c r="H54" s="194">
        <v>38</v>
      </c>
      <c r="I54" s="193">
        <v>439</v>
      </c>
      <c r="J54" s="193">
        <v>330</v>
      </c>
      <c r="K54" s="846"/>
      <c r="L54" s="621"/>
      <c r="M54" s="621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8.75" customHeight="1" thickBot="1">
      <c r="B55" s="210">
        <v>2</v>
      </c>
      <c r="C55" s="216" t="s">
        <v>100</v>
      </c>
      <c r="D55" s="192" t="s">
        <v>101</v>
      </c>
      <c r="E55" s="193">
        <v>36</v>
      </c>
      <c r="F55" s="194">
        <v>968</v>
      </c>
      <c r="G55" s="194">
        <v>968</v>
      </c>
      <c r="H55" s="194">
        <v>0</v>
      </c>
      <c r="I55" s="193">
        <v>345</v>
      </c>
      <c r="J55" s="193">
        <v>120</v>
      </c>
      <c r="K55" s="846"/>
      <c r="L55" s="602"/>
      <c r="M55" s="602"/>
      <c r="N55" s="602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 ht="15" customHeight="1" thickBot="1">
      <c r="B56" s="210">
        <v>3</v>
      </c>
      <c r="C56" s="216" t="s">
        <v>104</v>
      </c>
      <c r="D56" s="192" t="s">
        <v>99</v>
      </c>
      <c r="E56" s="193">
        <v>24</v>
      </c>
      <c r="F56" s="194">
        <f>((100/(100-H56))*G56)</f>
        <v>1108.1081081081081</v>
      </c>
      <c r="G56" s="194">
        <v>410</v>
      </c>
      <c r="H56" s="194">
        <v>63</v>
      </c>
      <c r="I56" s="193">
        <v>373</v>
      </c>
      <c r="J56" s="193">
        <v>220</v>
      </c>
      <c r="K56" s="846"/>
      <c r="L56" s="621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 ht="19.899999999999999" thickBot="1">
      <c r="B57" s="210">
        <v>4</v>
      </c>
      <c r="C57" s="216" t="s">
        <v>106</v>
      </c>
      <c r="D57" s="192" t="s">
        <v>103</v>
      </c>
      <c r="E57" s="193">
        <v>28</v>
      </c>
      <c r="F57" s="194">
        <v>778</v>
      </c>
      <c r="G57" s="194">
        <v>630</v>
      </c>
      <c r="H57" s="194">
        <v>19</v>
      </c>
      <c r="I57" s="193">
        <v>959</v>
      </c>
      <c r="J57" s="193">
        <v>370</v>
      </c>
      <c r="K57" s="846"/>
      <c r="L57" s="621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5" customHeight="1" thickBot="1">
      <c r="B58" s="210">
        <v>6</v>
      </c>
      <c r="C58" s="216" t="s">
        <v>109</v>
      </c>
      <c r="D58" s="192" t="s">
        <v>110</v>
      </c>
      <c r="E58" s="193">
        <v>28</v>
      </c>
      <c r="F58" s="194">
        <v>1096</v>
      </c>
      <c r="G58" s="194">
        <v>526</v>
      </c>
      <c r="H58" s="194">
        <v>52</v>
      </c>
      <c r="I58" s="193">
        <v>308</v>
      </c>
      <c r="J58" s="193">
        <v>240</v>
      </c>
      <c r="K58" s="846"/>
      <c r="L58" s="621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 ht="19.899999999999999" thickBot="1">
      <c r="B59" s="210">
        <v>7</v>
      </c>
      <c r="C59" s="216" t="s">
        <v>111</v>
      </c>
      <c r="D59" s="192" t="s">
        <v>99</v>
      </c>
      <c r="E59" s="193">
        <v>36</v>
      </c>
      <c r="F59" s="194">
        <v>2705</v>
      </c>
      <c r="G59" s="194">
        <v>1271</v>
      </c>
      <c r="H59" s="194">
        <v>53</v>
      </c>
      <c r="I59" s="193">
        <v>439</v>
      </c>
      <c r="J59" s="193">
        <v>370</v>
      </c>
      <c r="K59" s="846"/>
      <c r="L59" s="621"/>
      <c r="M59" s="621"/>
      <c r="N59" s="621"/>
      <c r="O59" s="621"/>
      <c r="P59" s="621"/>
      <c r="Q59" s="621"/>
      <c r="R59" s="621"/>
      <c r="S59" s="621"/>
      <c r="T59" s="62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 ht="19.899999999999999" thickBot="1">
      <c r="B60" s="210">
        <v>8</v>
      </c>
      <c r="C60" s="216" t="s">
        <v>112</v>
      </c>
      <c r="D60" s="192" t="s">
        <v>103</v>
      </c>
      <c r="E60" s="193">
        <v>56</v>
      </c>
      <c r="F60" s="194">
        <v>5814</v>
      </c>
      <c r="G60" s="194">
        <v>5814</v>
      </c>
      <c r="H60" s="194">
        <v>0</v>
      </c>
      <c r="I60" s="193">
        <v>439</v>
      </c>
      <c r="J60" s="193">
        <v>602</v>
      </c>
      <c r="K60" s="846"/>
      <c r="L60" s="621"/>
      <c r="M60" s="621"/>
      <c r="N60" s="680"/>
      <c r="O60" s="680"/>
      <c r="P60" s="680"/>
      <c r="Q60" s="680"/>
      <c r="R60" s="680"/>
      <c r="S60" s="680"/>
      <c r="T60" s="680"/>
      <c r="U60" s="680"/>
      <c r="V60" s="680"/>
      <c r="W60" s="680"/>
      <c r="X60" s="680"/>
      <c r="Y60" s="680"/>
      <c r="Z60" s="680"/>
      <c r="AA60" s="680"/>
      <c r="AB60" s="621"/>
      <c r="AC60" s="621"/>
    </row>
    <row r="61" spans="2:29" ht="19.899999999999999" thickBot="1">
      <c r="B61" s="210">
        <v>9</v>
      </c>
      <c r="C61" s="216" t="s">
        <v>113</v>
      </c>
      <c r="D61" s="192" t="s">
        <v>103</v>
      </c>
      <c r="E61" s="193">
        <v>36</v>
      </c>
      <c r="F61" s="194">
        <v>2199</v>
      </c>
      <c r="G61" s="194">
        <v>2001</v>
      </c>
      <c r="H61" s="194">
        <v>9</v>
      </c>
      <c r="I61" s="193">
        <v>346</v>
      </c>
      <c r="J61" s="193">
        <v>440</v>
      </c>
      <c r="K61" s="846"/>
      <c r="L61" s="621"/>
      <c r="M61" s="583"/>
      <c r="N61" s="621"/>
      <c r="O61" s="621"/>
      <c r="P61" s="621"/>
      <c r="Q61" s="621"/>
      <c r="R61" s="621"/>
      <c r="S61" s="621"/>
      <c r="T61" s="621"/>
      <c r="U61" s="621"/>
      <c r="V61" s="621"/>
      <c r="W61" s="621"/>
      <c r="X61" s="621"/>
      <c r="Y61" s="621"/>
      <c r="Z61" s="621"/>
      <c r="AA61" s="583"/>
      <c r="AB61" s="621"/>
      <c r="AC61" s="621"/>
    </row>
    <row r="62" spans="2:29" ht="19.899999999999999" thickBot="1">
      <c r="B62" s="210">
        <v>11</v>
      </c>
      <c r="C62" s="216" t="s">
        <v>114</v>
      </c>
      <c r="D62" s="192" t="s">
        <v>99</v>
      </c>
      <c r="E62" s="193">
        <v>40</v>
      </c>
      <c r="F62" s="194">
        <v>1958</v>
      </c>
      <c r="G62" s="194">
        <v>1155</v>
      </c>
      <c r="H62" s="194">
        <v>41</v>
      </c>
      <c r="I62" s="193">
        <v>396</v>
      </c>
      <c r="J62" s="193">
        <v>300</v>
      </c>
      <c r="K62" s="846"/>
      <c r="L62" s="621"/>
      <c r="M62" s="621"/>
      <c r="N62" s="621"/>
      <c r="O62" s="621"/>
      <c r="P62" s="621"/>
      <c r="Q62" s="621"/>
      <c r="R62" s="621"/>
      <c r="S62" s="621"/>
      <c r="T62" s="621"/>
      <c r="U62" s="621"/>
      <c r="V62" s="621"/>
      <c r="W62" s="621"/>
      <c r="X62" s="621"/>
      <c r="Y62" s="621"/>
      <c r="Z62" s="621"/>
      <c r="AA62" s="621"/>
      <c r="AB62" s="621"/>
      <c r="AC62" s="621"/>
    </row>
    <row r="63" spans="2:29" ht="19.899999999999999" thickBot="1">
      <c r="B63" s="210">
        <v>10</v>
      </c>
      <c r="C63" s="216" t="s">
        <v>115</v>
      </c>
      <c r="D63" s="192" t="s">
        <v>105</v>
      </c>
      <c r="E63" s="193">
        <v>20</v>
      </c>
      <c r="F63" s="194">
        <v>738</v>
      </c>
      <c r="G63" s="194">
        <v>649</v>
      </c>
      <c r="H63" s="194">
        <v>12</v>
      </c>
      <c r="I63" s="193">
        <v>293</v>
      </c>
      <c r="J63" s="193">
        <v>510</v>
      </c>
      <c r="K63" s="846"/>
      <c r="L63" s="621"/>
      <c r="M63" s="621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 ht="19.899999999999999" thickBot="1">
      <c r="B64" s="210">
        <v>12</v>
      </c>
      <c r="C64" s="216" t="s">
        <v>116</v>
      </c>
      <c r="D64" s="192" t="s">
        <v>117</v>
      </c>
      <c r="E64" s="193">
        <v>28</v>
      </c>
      <c r="F64" s="194">
        <v>771</v>
      </c>
      <c r="G64" s="194">
        <v>172</v>
      </c>
      <c r="H64" s="194">
        <v>78</v>
      </c>
      <c r="I64" s="193">
        <v>669</v>
      </c>
      <c r="J64" s="193">
        <v>200</v>
      </c>
      <c r="K64" s="846"/>
      <c r="L64" s="621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 ht="19.899999999999999" thickBot="1">
      <c r="B65" s="210">
        <v>14</v>
      </c>
      <c r="C65" s="216" t="s">
        <v>119</v>
      </c>
      <c r="D65" s="192" t="s">
        <v>103</v>
      </c>
      <c r="E65" s="193">
        <v>28</v>
      </c>
      <c r="F65" s="194">
        <v>628</v>
      </c>
      <c r="G65" s="194">
        <v>308</v>
      </c>
      <c r="H65" s="194">
        <v>51</v>
      </c>
      <c r="I65" s="193">
        <v>340</v>
      </c>
      <c r="J65" s="193">
        <v>120</v>
      </c>
      <c r="K65" s="846"/>
      <c r="L65" s="621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 ht="19.899999999999999" thickBot="1">
      <c r="B66" s="210">
        <v>15</v>
      </c>
      <c r="C66" s="216" t="s">
        <v>120</v>
      </c>
      <c r="D66" s="192" t="s">
        <v>101</v>
      </c>
      <c r="E66" s="193">
        <v>20</v>
      </c>
      <c r="F66" s="194">
        <v>240</v>
      </c>
      <c r="G66" s="194">
        <v>113</v>
      </c>
      <c r="H66" s="194">
        <v>53</v>
      </c>
      <c r="I66" s="193">
        <v>393</v>
      </c>
      <c r="J66" s="193">
        <v>160</v>
      </c>
      <c r="K66" s="846"/>
      <c r="L66" s="621"/>
      <c r="M66" s="621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 ht="19.899999999999999" thickBot="1">
      <c r="B67" s="210">
        <v>16</v>
      </c>
      <c r="C67" s="216" t="s">
        <v>121</v>
      </c>
      <c r="D67" s="192" t="s">
        <v>105</v>
      </c>
      <c r="E67" s="193">
        <v>24</v>
      </c>
      <c r="F67" s="194">
        <v>360</v>
      </c>
      <c r="G67" s="194">
        <v>227</v>
      </c>
      <c r="H67" s="194">
        <v>40</v>
      </c>
      <c r="I67" s="193">
        <v>217</v>
      </c>
      <c r="J67" s="193">
        <v>140</v>
      </c>
      <c r="K67" s="846"/>
      <c r="L67" s="621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 ht="19.899999999999999" thickBot="1">
      <c r="B68" s="263">
        <v>17</v>
      </c>
      <c r="C68" s="253" t="s">
        <v>122</v>
      </c>
      <c r="D68" s="254" t="s">
        <v>110</v>
      </c>
      <c r="E68" s="255">
        <v>24</v>
      </c>
      <c r="F68" s="197">
        <v>908</v>
      </c>
      <c r="G68" s="197">
        <v>835</v>
      </c>
      <c r="H68" s="197">
        <v>8</v>
      </c>
      <c r="I68" s="255">
        <v>332</v>
      </c>
      <c r="J68" s="255">
        <v>570</v>
      </c>
      <c r="K68" s="779"/>
      <c r="L68" s="621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 ht="19.899999999999999" thickBot="1">
      <c r="B69" s="210">
        <v>18</v>
      </c>
      <c r="C69" s="216" t="s">
        <v>123</v>
      </c>
      <c r="D69" s="192" t="s">
        <v>124</v>
      </c>
      <c r="E69" s="193">
        <v>24</v>
      </c>
      <c r="F69" s="194">
        <v>903</v>
      </c>
      <c r="G69" s="194">
        <v>289</v>
      </c>
      <c r="H69" s="194">
        <v>68</v>
      </c>
      <c r="I69" s="193">
        <v>1025</v>
      </c>
      <c r="J69" s="193">
        <v>330</v>
      </c>
      <c r="K69" s="846"/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 ht="15" customHeight="1" thickBot="1">
      <c r="B70" s="222">
        <v>19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7" t="s">
        <v>235</v>
      </c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 ht="19.899999999999999" thickBot="1">
      <c r="B71" s="210">
        <v>20</v>
      </c>
      <c r="C71" s="216" t="s">
        <v>128</v>
      </c>
      <c r="D71" s="192" t="s">
        <v>105</v>
      </c>
      <c r="E71" s="193">
        <v>24</v>
      </c>
      <c r="F71" s="194">
        <v>741</v>
      </c>
      <c r="G71" s="194">
        <v>200</v>
      </c>
      <c r="H71" s="194">
        <v>73</v>
      </c>
      <c r="I71" s="193">
        <v>300</v>
      </c>
      <c r="J71" s="193">
        <v>180</v>
      </c>
      <c r="K71" s="846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16.5" customHeight="1" thickBot="1">
      <c r="B72" s="222">
        <v>21</v>
      </c>
      <c r="C72" s="218" t="s">
        <v>129</v>
      </c>
      <c r="D72" s="219" t="s">
        <v>99</v>
      </c>
      <c r="E72" s="220">
        <v>20</v>
      </c>
      <c r="F72" s="221">
        <v>700</v>
      </c>
      <c r="G72" s="221">
        <v>427</v>
      </c>
      <c r="H72" s="221">
        <v>39</v>
      </c>
      <c r="I72" s="220">
        <v>345</v>
      </c>
      <c r="J72" s="220">
        <v>100</v>
      </c>
      <c r="K72" s="848" t="s">
        <v>68</v>
      </c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 ht="15" customHeight="1" thickBot="1">
      <c r="B73" s="222">
        <v>22</v>
      </c>
      <c r="C73" s="218" t="s">
        <v>130</v>
      </c>
      <c r="D73" s="219" t="s">
        <v>105</v>
      </c>
      <c r="E73" s="220">
        <v>16</v>
      </c>
      <c r="F73" s="221">
        <v>791</v>
      </c>
      <c r="G73" s="220">
        <v>340</v>
      </c>
      <c r="H73" s="221">
        <v>57</v>
      </c>
      <c r="I73" s="220">
        <v>309</v>
      </c>
      <c r="J73" s="220">
        <v>182</v>
      </c>
      <c r="K73" s="848" t="s">
        <v>68</v>
      </c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18" customHeight="1" thickBot="1">
      <c r="B74" s="222">
        <v>23</v>
      </c>
      <c r="C74" s="218" t="s">
        <v>131</v>
      </c>
      <c r="D74" s="219" t="s">
        <v>110</v>
      </c>
      <c r="E74" s="220">
        <v>24</v>
      </c>
      <c r="F74" s="221">
        <v>878</v>
      </c>
      <c r="G74" s="220">
        <v>430</v>
      </c>
      <c r="H74" s="221">
        <v>51</v>
      </c>
      <c r="I74" s="220">
        <v>486</v>
      </c>
      <c r="J74" s="220">
        <v>377</v>
      </c>
      <c r="K74" s="848" t="s">
        <v>68</v>
      </c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27" thickBot="1">
      <c r="B75" s="210">
        <v>24</v>
      </c>
      <c r="C75" s="216" t="s">
        <v>132</v>
      </c>
      <c r="D75" s="192" t="s">
        <v>133</v>
      </c>
      <c r="E75" s="193">
        <v>24</v>
      </c>
      <c r="F75" s="194">
        <v>595</v>
      </c>
      <c r="G75" s="194">
        <v>304</v>
      </c>
      <c r="H75" s="194">
        <v>49</v>
      </c>
      <c r="I75" s="193">
        <v>333</v>
      </c>
      <c r="J75" s="193">
        <v>170</v>
      </c>
      <c r="K75" s="846"/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1" customHeight="1" thickBot="1">
      <c r="B76" s="210">
        <v>25</v>
      </c>
      <c r="C76" s="216" t="s">
        <v>134</v>
      </c>
      <c r="D76" s="192" t="s">
        <v>135</v>
      </c>
      <c r="E76" s="193">
        <v>20</v>
      </c>
      <c r="F76" s="194">
        <v>475</v>
      </c>
      <c r="G76" s="194">
        <v>190</v>
      </c>
      <c r="H76" s="194">
        <v>60</v>
      </c>
      <c r="I76" s="193">
        <v>1836</v>
      </c>
      <c r="J76" s="193">
        <v>563</v>
      </c>
      <c r="K76" s="848"/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18.75" customHeight="1" thickBot="1">
      <c r="B77" s="222">
        <v>26</v>
      </c>
      <c r="C77" s="218" t="s">
        <v>136</v>
      </c>
      <c r="D77" s="219" t="s">
        <v>105</v>
      </c>
      <c r="E77" s="220">
        <v>40</v>
      </c>
      <c r="F77" s="221">
        <v>2922</v>
      </c>
      <c r="G77" s="221">
        <v>1169</v>
      </c>
      <c r="H77" s="221">
        <v>60</v>
      </c>
      <c r="I77" s="221">
        <v>319</v>
      </c>
      <c r="J77" s="221">
        <v>310</v>
      </c>
      <c r="K77" s="847" t="s">
        <v>235</v>
      </c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21" customHeight="1" thickBot="1">
      <c r="B78" s="222">
        <v>27</v>
      </c>
      <c r="C78" s="218" t="s">
        <v>137</v>
      </c>
      <c r="D78" s="219" t="s">
        <v>110</v>
      </c>
      <c r="E78" s="220">
        <v>40</v>
      </c>
      <c r="F78" s="849">
        <v>2222</v>
      </c>
      <c r="G78" s="849">
        <v>822</v>
      </c>
      <c r="H78" s="221">
        <v>63</v>
      </c>
      <c r="I78" s="220">
        <v>348</v>
      </c>
      <c r="J78" s="220">
        <v>260</v>
      </c>
      <c r="K78" s="847" t="s">
        <v>235</v>
      </c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.75" customHeight="1" thickBot="1">
      <c r="B79"/>
      <c r="C79" s="1344"/>
      <c r="D79" s="1344"/>
      <c r="E79" s="1344"/>
      <c r="F79" s="850">
        <f>SUM(F54:F78)</f>
        <v>35984.33391455972</v>
      </c>
      <c r="G79" s="851">
        <f>SUM(G54:G78)</f>
        <v>21634</v>
      </c>
      <c r="H79" s="225"/>
      <c r="I79" s="408"/>
      <c r="J79" s="225"/>
      <c r="K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</row>
    <row r="80" spans="2:29" ht="21" customHeight="1" thickBot="1">
      <c r="B80"/>
      <c r="C80"/>
      <c r="D80"/>
      <c r="E80"/>
      <c r="F80" s="1"/>
      <c r="G80" s="852">
        <f>ROUNDUP(G79,-1)</f>
        <v>21640</v>
      </c>
      <c r="H80" s="1"/>
      <c r="I80"/>
      <c r="J80" s="225"/>
      <c r="K80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 thickBot="1">
      <c r="B81"/>
      <c r="C81"/>
      <c r="D81" s="1"/>
      <c r="E81" s="1"/>
      <c r="F81" s="1"/>
      <c r="G81" s="1"/>
      <c r="H81" s="1"/>
      <c r="I81" s="1"/>
      <c r="J81" s="1"/>
      <c r="K81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18.95" customHeight="1" thickBot="1">
      <c r="B82"/>
      <c r="C82" s="1252" t="s">
        <v>420</v>
      </c>
      <c r="D82" s="1291"/>
      <c r="E82" s="1291"/>
      <c r="F82" s="1291"/>
      <c r="G82" s="1291"/>
      <c r="H82" s="1291"/>
      <c r="I82" s="1291"/>
      <c r="J82" s="1291"/>
      <c r="K82" s="1292"/>
      <c r="L82" s="579"/>
      <c r="M82" s="579"/>
      <c r="N82" s="660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40.15" thickBot="1">
      <c r="B83" s="179" t="s">
        <v>156</v>
      </c>
      <c r="C83" s="803" t="s">
        <v>31</v>
      </c>
      <c r="D83" s="804" t="s">
        <v>32</v>
      </c>
      <c r="E83" s="804" t="s">
        <v>33</v>
      </c>
      <c r="F83" s="988" t="s">
        <v>34</v>
      </c>
      <c r="G83" s="988" t="s">
        <v>35</v>
      </c>
      <c r="H83" s="804" t="s">
        <v>37</v>
      </c>
      <c r="I83" s="806" t="s">
        <v>38</v>
      </c>
      <c r="J83" s="806" t="s">
        <v>39</v>
      </c>
      <c r="K83" s="226" t="s">
        <v>40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19.899999999999999" thickBot="1">
      <c r="B84" s="766">
        <v>1</v>
      </c>
      <c r="C84" s="767" t="s">
        <v>139</v>
      </c>
      <c r="D84" s="768" t="s">
        <v>140</v>
      </c>
      <c r="E84" s="769">
        <v>20</v>
      </c>
      <c r="F84" s="770">
        <v>550</v>
      </c>
      <c r="G84" s="770">
        <v>137.5</v>
      </c>
      <c r="H84" s="769">
        <v>75</v>
      </c>
      <c r="I84" s="771">
        <v>335</v>
      </c>
      <c r="J84" s="769">
        <v>420</v>
      </c>
      <c r="K84" s="294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19.899999999999999" thickBot="1">
      <c r="B85" s="853">
        <v>2</v>
      </c>
      <c r="C85" s="229" t="s">
        <v>142</v>
      </c>
      <c r="D85" s="230" t="s">
        <v>143</v>
      </c>
      <c r="E85" s="193">
        <v>24</v>
      </c>
      <c r="F85" s="188">
        <v>555</v>
      </c>
      <c r="G85" s="188">
        <v>540</v>
      </c>
      <c r="H85" s="193">
        <v>3.5</v>
      </c>
      <c r="I85" s="432">
        <v>400</v>
      </c>
      <c r="J85" s="187">
        <v>315</v>
      </c>
      <c r="K85" s="238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 ht="19.899999999999999" thickBot="1">
      <c r="B86" s="853">
        <v>3</v>
      </c>
      <c r="C86" s="229" t="s">
        <v>144</v>
      </c>
      <c r="D86" s="230" t="s">
        <v>140</v>
      </c>
      <c r="E86" s="193">
        <v>32</v>
      </c>
      <c r="F86" s="194">
        <v>1561</v>
      </c>
      <c r="G86" s="194">
        <v>1153</v>
      </c>
      <c r="H86" s="193">
        <v>27</v>
      </c>
      <c r="I86" s="432">
        <v>841</v>
      </c>
      <c r="J86" s="187">
        <v>770</v>
      </c>
      <c r="K86" s="238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 ht="19.899999999999999" thickBot="1">
      <c r="B87" s="702">
        <v>4</v>
      </c>
      <c r="C87" s="703" t="s">
        <v>145</v>
      </c>
      <c r="D87" s="704" t="s">
        <v>146</v>
      </c>
      <c r="E87" s="705">
        <v>36</v>
      </c>
      <c r="F87" s="706">
        <v>2142</v>
      </c>
      <c r="G87" s="706">
        <v>1935</v>
      </c>
      <c r="H87" s="407">
        <v>6.5</v>
      </c>
      <c r="I87" s="707">
        <v>377</v>
      </c>
      <c r="J87" s="708">
        <v>500</v>
      </c>
      <c r="K87" s="203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 ht="19.899999999999999" thickBot="1">
      <c r="B88"/>
      <c r="C88" s="204"/>
      <c r="D88" s="205"/>
      <c r="E88" s="205"/>
      <c r="F88" s="850">
        <v>4893.8756749777749</v>
      </c>
      <c r="G88" s="851">
        <f>SUM(G84:G87)</f>
        <v>3765.5</v>
      </c>
      <c r="H88" s="207"/>
      <c r="I88" s="207"/>
      <c r="J88" s="207"/>
      <c r="K88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 ht="19.5" customHeight="1" thickBot="1">
      <c r="B89"/>
      <c r="C89" s="1342"/>
      <c r="D89" s="1342"/>
      <c r="E89" s="1342"/>
      <c r="F89" s="1"/>
      <c r="G89" s="852">
        <f>ROUNDUP(G88,-1)</f>
        <v>3770</v>
      </c>
      <c r="H89" s="1"/>
      <c r="I89"/>
      <c r="J89" s="1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 thickBot="1">
      <c r="B90" s="579"/>
      <c r="C90" s="579"/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899999999999999" thickBo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 ht="19.899999999999999" thickBot="1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 ht="19.899999999999999" thickBot="1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 ht="19.899999999999999" thickBot="1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 ht="19.899999999999999" thickBot="1">
      <c r="B95" s="579"/>
      <c r="C95" s="579"/>
      <c r="D95" s="579"/>
      <c r="E95" s="579"/>
      <c r="F95" s="579"/>
      <c r="G95" s="660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 ht="19.899999999999999" thickBot="1">
      <c r="B96" s="579"/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 ht="19.899999999999999" thickBot="1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 ht="19.899999999999999" thickBot="1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 ht="19.899999999999999" thickBot="1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 ht="19.899999999999999" thickBot="1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 ht="19.899999999999999" thickBot="1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 ht="19.899999999999999" thickBot="1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 ht="19.899999999999999" thickBot="1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 ht="19.899999999999999" thickBot="1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 ht="19.899999999999999" thickBot="1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 ht="19.899999999999999" thickBot="1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 ht="19.899999999999999" thickBot="1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 ht="19.899999999999999" thickBot="1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 ht="19.899999999999999" thickBot="1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 ht="19.899999999999999" thickBot="1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 ht="19.899999999999999" thickBot="1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 ht="19.899999999999999" thickBot="1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 ht="19.899999999999999" thickBot="1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 ht="19.899999999999999" thickBot="1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 ht="19.899999999999999" thickBot="1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 ht="19.899999999999999" thickBot="1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 ht="19.899999999999999" thickBot="1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 ht="19.899999999999999" thickBot="1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 ht="19.899999999999999" thickBot="1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 ht="19.899999999999999" thickBot="1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 ht="19.899999999999999" thickBot="1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 ht="19.899999999999999" thickBot="1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 ht="19.899999999999999" thickBot="1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 ht="19.899999999999999" thickBot="1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 ht="19.899999999999999" thickBot="1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 ht="19.899999999999999" thickBot="1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 ht="19.899999999999999" thickBot="1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 ht="19.899999999999999" thickBot="1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 ht="19.899999999999999" thickBot="1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 ht="19.899999999999999" thickBot="1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 ht="19.899999999999999" thickBot="1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 ht="19.899999999999999" thickBot="1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 ht="19.899999999999999" thickBot="1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 ht="19.899999999999999" thickBot="1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 ht="19.899999999999999" thickBot="1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 ht="19.899999999999999" thickBot="1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 ht="19.899999999999999" thickBot="1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 ht="19.899999999999999" thickBot="1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 ht="19.899999999999999" thickBot="1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 ht="19.899999999999999" thickBot="1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 ht="19.899999999999999" thickBot="1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 ht="19.899999999999999" thickBot="1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 ht="19.899999999999999" thickBot="1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 ht="19.899999999999999" thickBot="1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 ht="19.899999999999999" thickBot="1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 ht="19.899999999999999" thickBot="1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 ht="19.899999999999999" thickBot="1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 ht="19.899999999999999" thickBot="1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 ht="19.899999999999999" thickBot="1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 ht="19.899999999999999" thickBot="1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 ht="19.899999999999999" thickBot="1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 ht="19.899999999999999" thickBot="1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 ht="19.899999999999999" thickBot="1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 ht="19.899999999999999" thickBot="1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 ht="19.899999999999999" thickBot="1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 ht="19.899999999999999" thickBot="1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 ht="19.899999999999999" thickBot="1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 ht="19.899999999999999" thickBot="1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 ht="19.899999999999999" thickBot="1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 ht="19.899999999999999" thickBot="1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 ht="19.899999999999999" thickBot="1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 ht="19.899999999999999" thickBot="1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 ht="19.899999999999999" thickBot="1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 ht="19.899999999999999" thickBot="1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 ht="19.899999999999999" thickBot="1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 ht="19.899999999999999" thickBot="1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 ht="19.899999999999999" thickBot="1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 ht="19.899999999999999" thickBot="1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 ht="19.899999999999999" thickBot="1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 ht="19.899999999999999" thickBot="1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 ht="19.899999999999999" thickBot="1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 ht="19.899999999999999" thickBot="1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 ht="19.899999999999999" thickBot="1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 ht="19.899999999999999" thickBot="1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 ht="19.899999999999999" thickBot="1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 ht="19.899999999999999" thickBot="1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 ht="19.899999999999999" thickBot="1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 ht="19.899999999999999" thickBot="1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 ht="19.899999999999999" thickBot="1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 ht="19.899999999999999" thickBot="1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 ht="19.899999999999999" thickBot="1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 ht="19.899999999999999" thickBot="1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 ht="19.899999999999999" thickBot="1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 ht="19.899999999999999" thickBot="1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 ht="19.899999999999999" thickBot="1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 ht="19.899999999999999" thickBot="1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 ht="19.899999999999999" thickBot="1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 ht="19.899999999999999" thickBot="1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 ht="19.899999999999999" thickBot="1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 ht="19.899999999999999" thickBot="1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 ht="19.899999999999999" thickBot="1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 ht="19.899999999999999" thickBot="1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 ht="19.899999999999999" thickBot="1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 ht="19.899999999999999" thickBot="1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 ht="19.899999999999999" thickBot="1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 ht="19.899999999999999" thickBot="1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 ht="19.899999999999999" thickBot="1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 ht="19.899999999999999" thickBot="1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 ht="19.899999999999999" thickBot="1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 ht="19.899999999999999" thickBot="1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 ht="19.899999999999999" thickBot="1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 ht="19.899999999999999" thickBot="1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 ht="19.899999999999999" thickBot="1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 ht="19.899999999999999" thickBot="1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 ht="19.899999999999999" thickBot="1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 ht="19.899999999999999" thickBot="1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 ht="19.899999999999999" thickBot="1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 ht="19.899999999999999" thickBot="1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 ht="19.899999999999999" thickBot="1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 ht="19.899999999999999" thickBot="1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 ht="19.899999999999999" thickBot="1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 ht="19.899999999999999" thickBot="1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 ht="19.899999999999999" thickBot="1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 ht="19.899999999999999" thickBot="1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 ht="19.899999999999999" thickBot="1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 ht="19.899999999999999" thickBot="1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 ht="19.899999999999999" thickBot="1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 ht="19.899999999999999" thickBot="1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 ht="19.899999999999999" thickBot="1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 ht="19.899999999999999" thickBot="1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 ht="19.899999999999999" thickBot="1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 ht="19.899999999999999" thickBot="1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 ht="19.899999999999999" thickBot="1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 ht="19.899999999999999" thickBot="1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 ht="19.899999999999999" thickBot="1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 ht="19.899999999999999" thickBot="1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 ht="19.899999999999999" thickBot="1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 ht="19.899999999999999" thickBot="1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 ht="19.899999999999999" thickBot="1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 ht="19.899999999999999" thickBot="1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 ht="19.899999999999999" thickBot="1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 ht="19.899999999999999" thickBot="1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 ht="19.899999999999999" thickBot="1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 ht="19.899999999999999" thickBot="1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 ht="19.899999999999999" thickBot="1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 ht="19.899999999999999" thickBot="1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 ht="19.899999999999999" thickBot="1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 ht="19.899999999999999" thickBot="1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 ht="19.899999999999999" thickBot="1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 ht="19.899999999999999" thickBot="1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 ht="19.899999999999999" thickBot="1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 ht="19.899999999999999" thickBot="1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 ht="19.899999999999999" thickBot="1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 ht="19.899999999999999" thickBot="1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 ht="19.899999999999999" thickBot="1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 ht="19.899999999999999" thickBot="1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 ht="19.899999999999999" thickBot="1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 ht="19.899999999999999" thickBot="1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 ht="19.899999999999999" thickBot="1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 ht="19.899999999999999" thickBot="1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 ht="19.899999999999999" thickBot="1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 ht="19.899999999999999" thickBot="1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 ht="19.899999999999999" thickBot="1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 ht="19.899999999999999" thickBot="1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 ht="19.899999999999999" thickBot="1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 ht="19.899999999999999" thickBot="1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 ht="19.899999999999999" thickBot="1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 ht="19.899999999999999" thickBot="1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 ht="19.899999999999999" thickBot="1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 ht="19.899999999999999" thickBot="1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 ht="19.899999999999999" thickBot="1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 ht="19.899999999999999" thickBot="1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 ht="19.899999999999999" thickBot="1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 ht="19.899999999999999" thickBot="1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 ht="19.899999999999999" thickBot="1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 ht="19.899999999999999" thickBot="1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 ht="19.899999999999999" thickBot="1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 ht="19.899999999999999" thickBot="1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 ht="19.899999999999999" thickBot="1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 ht="19.899999999999999" thickBot="1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 ht="19.899999999999999" thickBot="1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 ht="19.899999999999999" thickBot="1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 ht="19.899999999999999" thickBot="1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 ht="19.899999999999999" thickBot="1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 ht="19.899999999999999" thickBot="1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 ht="19.899999999999999" thickBot="1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 ht="19.899999999999999" thickBot="1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 ht="19.899999999999999" thickBot="1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 ht="19.899999999999999" thickBot="1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 ht="19.899999999999999" thickBot="1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 ht="19.899999999999999" thickBot="1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 ht="19.899999999999999" thickBot="1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 ht="19.899999999999999" thickBot="1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 ht="19.899999999999999" thickBot="1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 ht="19.899999999999999" thickBot="1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 ht="19.899999999999999" thickBot="1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 ht="19.899999999999999" thickBot="1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 ht="19.899999999999999" thickBot="1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 ht="19.899999999999999" thickBot="1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 ht="19.899999999999999" thickBot="1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 ht="19.899999999999999" thickBot="1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 ht="19.899999999999999" thickBot="1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 ht="19.899999999999999" thickBot="1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 ht="19.899999999999999" thickBot="1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 ht="19.899999999999999" thickBot="1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 ht="19.899999999999999" thickBot="1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 ht="19.899999999999999" thickBot="1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 ht="19.899999999999999" thickBot="1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 ht="19.899999999999999" thickBot="1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 ht="19.899999999999999" thickBot="1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 ht="19.899999999999999" thickBot="1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 ht="19.899999999999999" thickBot="1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 ht="19.899999999999999" thickBot="1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 ht="19.899999999999999" thickBot="1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 ht="19.899999999999999" thickBot="1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 ht="19.899999999999999" thickBot="1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 ht="19.899999999999999" thickBot="1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 ht="19.899999999999999" thickBot="1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 ht="19.899999999999999" thickBot="1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 ht="19.899999999999999" thickBot="1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 ht="19.899999999999999" thickBot="1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 ht="19.899999999999999" thickBot="1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 ht="19.899999999999999" thickBot="1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 ht="19.899999999999999" thickBot="1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 ht="19.899999999999999" thickBot="1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 ht="19.899999999999999" thickBot="1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 ht="19.899999999999999" thickBot="1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 ht="19.899999999999999" thickBot="1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 ht="19.899999999999999" thickBot="1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 ht="19.899999999999999" thickBot="1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 ht="19.899999999999999" thickBot="1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 ht="19.899999999999999" thickBot="1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 ht="19.899999999999999" thickBot="1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 ht="19.899999999999999" thickBot="1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 ht="19.899999999999999" thickBot="1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 ht="19.899999999999999" thickBot="1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 ht="19.899999999999999" thickBot="1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 ht="19.899999999999999" thickBot="1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 ht="19.899999999999999" thickBot="1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 ht="19.899999999999999" thickBot="1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 ht="19.899999999999999" thickBot="1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 ht="19.899999999999999" thickBot="1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 ht="19.899999999999999" thickBot="1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 ht="19.899999999999999" thickBot="1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 ht="19.899999999999999" thickBot="1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 ht="19.899999999999999" thickBot="1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 ht="19.899999999999999" thickBot="1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 ht="19.899999999999999" thickBot="1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 ht="19.899999999999999" thickBot="1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 ht="19.899999999999999" thickBot="1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 ht="19.899999999999999" thickBot="1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 ht="19.899999999999999" thickBot="1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 ht="19.899999999999999" thickBot="1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 ht="19.899999999999999" thickBot="1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 ht="19.899999999999999" thickBot="1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 ht="19.899999999999999" thickBot="1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 ht="19.899999999999999" thickBot="1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 ht="19.899999999999999" thickBot="1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 ht="19.899999999999999" thickBot="1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 ht="19.899999999999999" thickBot="1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 ht="19.899999999999999" thickBot="1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 ht="19.899999999999999" thickBot="1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 ht="19.899999999999999" thickBot="1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 ht="19.899999999999999" thickBot="1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 ht="19.899999999999999" thickBot="1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 ht="19.899999999999999" thickBot="1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 ht="19.899999999999999" thickBot="1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 ht="19.899999999999999" thickBot="1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 ht="19.899999999999999" thickBot="1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 ht="19.899999999999999" thickBot="1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 ht="19.899999999999999" thickBot="1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 ht="19.899999999999999" thickBot="1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 ht="19.899999999999999" thickBot="1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 ht="19.899999999999999" thickBot="1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 ht="19.899999999999999" thickBot="1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 ht="19.899999999999999" thickBot="1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 ht="19.899999999999999" thickBot="1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 ht="19.899999999999999" thickBot="1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 ht="19.899999999999999" thickBot="1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 ht="19.899999999999999" thickBot="1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 ht="19.899999999999999" thickBot="1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 ht="19.899999999999999" thickBot="1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 ht="19.899999999999999" thickBot="1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 ht="19.899999999999999" thickBot="1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 ht="19.899999999999999" thickBot="1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 ht="19.899999999999999" thickBot="1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 ht="19.899999999999999" thickBot="1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 ht="19.899999999999999" thickBot="1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 ht="19.899999999999999" thickBot="1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 ht="19.899999999999999" thickBot="1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 ht="19.899999999999999" thickBot="1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 ht="19.899999999999999" thickBot="1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 ht="19.899999999999999" thickBot="1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 ht="19.899999999999999" thickBot="1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 ht="19.899999999999999" thickBot="1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 ht="19.899999999999999" thickBot="1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 ht="19.899999999999999" thickBot="1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 ht="19.899999999999999" thickBot="1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 ht="19.899999999999999" thickBot="1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 ht="19.899999999999999" thickBot="1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 ht="19.899999999999999" thickBot="1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 ht="19.899999999999999" thickBot="1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 ht="19.899999999999999" thickBot="1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 ht="19.899999999999999" thickBot="1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 ht="19.899999999999999" thickBot="1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 ht="19.899999999999999" thickBot="1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 ht="19.899999999999999" thickBot="1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 ht="19.899999999999999" thickBot="1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 ht="19.899999999999999" thickBot="1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 ht="19.899999999999999" thickBot="1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 ht="19.899999999999999" thickBot="1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 ht="19.899999999999999" thickBot="1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 ht="19.899999999999999" thickBot="1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 ht="19.899999999999999" thickBot="1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 ht="19.899999999999999" thickBot="1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 ht="19.899999999999999" thickBot="1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 ht="19.899999999999999" thickBot="1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 ht="19.899999999999999" thickBot="1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 ht="19.899999999999999" thickBot="1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 ht="19.899999999999999" thickBot="1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 ht="19.899999999999999" thickBot="1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 ht="19.899999999999999" thickBot="1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 ht="19.899999999999999" thickBot="1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 ht="19.899999999999999" thickBot="1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 ht="19.899999999999999" thickBot="1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 ht="19.899999999999999" thickBot="1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 ht="19.899999999999999" thickBot="1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 ht="19.899999999999999" thickBot="1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 ht="19.899999999999999" thickBot="1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 ht="19.899999999999999" thickBot="1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 ht="19.899999999999999" thickBot="1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 ht="19.899999999999999" thickBot="1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 ht="19.899999999999999" thickBot="1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 ht="19.899999999999999" thickBot="1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 ht="19.899999999999999" thickBot="1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 ht="19.899999999999999" thickBot="1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 ht="19.899999999999999" thickBot="1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 ht="19.899999999999999" thickBot="1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 ht="19.899999999999999" thickBot="1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 ht="19.899999999999999" thickBot="1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 ht="19.899999999999999" thickBot="1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 ht="19.899999999999999" thickBot="1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 ht="19.899999999999999" thickBot="1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 ht="19.899999999999999" thickBot="1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 ht="19.899999999999999" thickBot="1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 ht="19.899999999999999" thickBot="1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 ht="19.899999999999999" thickBot="1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 ht="19.899999999999999" thickBot="1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 ht="19.899999999999999" thickBot="1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 ht="19.899999999999999" thickBot="1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 ht="19.899999999999999" thickBot="1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 ht="19.899999999999999" thickBot="1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 ht="19.899999999999999" thickBot="1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 ht="19.899999999999999" thickBot="1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 ht="19.899999999999999" thickBot="1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 ht="19.899999999999999" thickBot="1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 ht="19.899999999999999" thickBot="1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 ht="19.899999999999999" thickBot="1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 ht="19.899999999999999" thickBot="1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 ht="19.899999999999999" thickBot="1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 ht="19.899999999999999" thickBot="1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 ht="19.899999999999999" thickBot="1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 ht="19.899999999999999" thickBot="1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 ht="19.899999999999999" thickBot="1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 ht="19.899999999999999" thickBot="1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 ht="19.899999999999999" thickBot="1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 ht="19.899999999999999" thickBot="1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 ht="19.899999999999999" thickBot="1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 ht="19.899999999999999" thickBot="1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 ht="19.899999999999999" thickBot="1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 ht="19.899999999999999" thickBot="1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 ht="19.899999999999999" thickBot="1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 ht="19.899999999999999" thickBot="1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 ht="19.899999999999999" thickBot="1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 ht="19.899999999999999" thickBot="1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 ht="19.899999999999999" thickBot="1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 ht="19.899999999999999" thickBot="1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 ht="19.899999999999999" thickBot="1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 ht="19.899999999999999" thickBot="1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 ht="19.899999999999999" thickBot="1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 ht="19.899999999999999" thickBot="1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 ht="19.899999999999999" thickBot="1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 ht="19.899999999999999" thickBot="1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 ht="19.899999999999999" thickBot="1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 ht="19.899999999999999" thickBot="1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 ht="19.899999999999999" thickBot="1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 ht="19.899999999999999" thickBot="1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 ht="19.899999999999999" thickBot="1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 ht="19.899999999999999" thickBot="1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 ht="19.899999999999999" thickBot="1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 ht="19.899999999999999" thickBot="1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 ht="19.899999999999999" thickBot="1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 ht="19.899999999999999" thickBot="1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 ht="19.899999999999999" thickBot="1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 ht="19.899999999999999" thickBot="1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 ht="19.899999999999999" thickBot="1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 ht="19.899999999999999" thickBot="1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 ht="19.899999999999999" thickBot="1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 ht="19.899999999999999" thickBot="1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 ht="19.899999999999999" thickBot="1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 ht="19.899999999999999" thickBot="1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 ht="19.899999999999999" thickBot="1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 ht="19.899999999999999" thickBot="1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 ht="19.899999999999999" thickBot="1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 ht="19.899999999999999" thickBot="1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 ht="19.899999999999999" thickBot="1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 ht="19.899999999999999" thickBot="1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 ht="19.899999999999999" thickBot="1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 ht="19.899999999999999" thickBot="1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 ht="19.899999999999999" thickBot="1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 ht="19.899999999999999" thickBot="1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 ht="19.899999999999999" thickBot="1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 ht="19.899999999999999" thickBot="1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 ht="19.899999999999999" thickBot="1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 ht="19.899999999999999" thickBot="1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 ht="19.899999999999999" thickBot="1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 ht="19.899999999999999" thickBot="1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 ht="19.899999999999999" thickBot="1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 ht="19.899999999999999" thickBot="1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 ht="19.899999999999999" thickBot="1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 ht="19.899999999999999" thickBot="1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 ht="19.899999999999999" thickBot="1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 ht="19.899999999999999" thickBot="1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 ht="19.899999999999999" thickBot="1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 ht="19.899999999999999" thickBot="1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 ht="19.899999999999999" thickBot="1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 ht="19.899999999999999" thickBot="1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 ht="19.899999999999999" thickBot="1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 ht="19.899999999999999" thickBot="1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 ht="19.899999999999999" thickBot="1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 ht="19.899999999999999" thickBot="1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 ht="19.899999999999999" thickBot="1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 ht="19.899999999999999" thickBot="1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 ht="19.899999999999999" thickBot="1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 ht="19.899999999999999" thickBot="1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 ht="19.899999999999999" thickBot="1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 ht="19.899999999999999" thickBot="1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 ht="19.899999999999999" thickBot="1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 ht="19.899999999999999" thickBot="1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 ht="19.899999999999999" thickBot="1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 ht="19.899999999999999" thickBot="1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 ht="19.899999999999999" thickBot="1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 ht="19.899999999999999" thickBot="1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 ht="19.899999999999999" thickBot="1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 ht="19.899999999999999" thickBot="1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 ht="19.899999999999999" thickBot="1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 ht="19.899999999999999" thickBot="1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 ht="19.899999999999999" thickBot="1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 ht="19.899999999999999" thickBot="1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 ht="19.899999999999999" thickBot="1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 ht="19.899999999999999" thickBot="1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 ht="19.899999999999999" thickBot="1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 ht="19.899999999999999" thickBot="1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 ht="19.899999999999999" thickBot="1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 ht="19.899999999999999" thickBot="1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 ht="19.899999999999999" thickBot="1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 ht="19.899999999999999" thickBot="1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 ht="19.899999999999999" thickBot="1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 ht="19.899999999999999" thickBot="1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 ht="19.899999999999999" thickBot="1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 ht="19.899999999999999" thickBot="1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 ht="19.899999999999999" thickBot="1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 ht="19.899999999999999" thickBot="1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 ht="19.899999999999999" thickBot="1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 ht="19.899999999999999" thickBot="1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 ht="19.899999999999999" thickBot="1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 ht="19.899999999999999" thickBot="1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 ht="19.899999999999999" thickBot="1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 ht="19.899999999999999" thickBot="1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 ht="19.899999999999999" thickBot="1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 ht="19.899999999999999" thickBot="1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 ht="19.899999999999999" thickBot="1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 ht="19.899999999999999" thickBot="1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 ht="19.899999999999999" thickBot="1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 ht="19.899999999999999" thickBot="1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 ht="19.899999999999999" thickBot="1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 ht="19.899999999999999" thickBot="1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 ht="19.899999999999999" thickBot="1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 ht="19.899999999999999" thickBot="1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 ht="19.899999999999999" thickBot="1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 ht="19.899999999999999" thickBot="1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 ht="19.899999999999999" thickBot="1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 ht="19.899999999999999" thickBot="1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 ht="19.899999999999999" thickBot="1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 ht="19.899999999999999" thickBot="1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 ht="19.899999999999999" thickBot="1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 ht="19.899999999999999" thickBot="1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 ht="19.899999999999999" thickBot="1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 ht="19.899999999999999" thickBot="1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 ht="19.899999999999999" thickBot="1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 ht="19.899999999999999" thickBot="1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 ht="19.899999999999999" thickBot="1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 ht="19.899999999999999" thickBot="1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 ht="19.899999999999999" thickBot="1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 ht="19.899999999999999" thickBot="1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 ht="19.899999999999999" thickBot="1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 ht="19.899999999999999" thickBot="1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 ht="19.899999999999999" thickBot="1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 ht="19.899999999999999" thickBot="1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 ht="19.899999999999999" thickBot="1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 ht="19.899999999999999" thickBot="1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 ht="19.899999999999999" thickBot="1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 ht="19.899999999999999" thickBot="1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 ht="19.899999999999999" thickBot="1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 ht="19.899999999999999" thickBot="1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 ht="19.899999999999999" thickBot="1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 ht="19.899999999999999" thickBot="1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 ht="19.899999999999999" thickBot="1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 ht="19.899999999999999" thickBot="1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 ht="19.899999999999999" thickBot="1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 ht="19.899999999999999" thickBot="1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 ht="19.899999999999999" thickBot="1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 ht="19.899999999999999" thickBot="1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 ht="19.899999999999999" thickBot="1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 ht="19.899999999999999" thickBot="1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 ht="19.899999999999999" thickBot="1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 ht="19.899999999999999" thickBot="1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 ht="19.899999999999999" thickBot="1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 ht="19.899999999999999" thickBot="1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 ht="19.899999999999999" thickBot="1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 ht="19.899999999999999" thickBot="1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 ht="19.899999999999999" thickBot="1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 ht="19.899999999999999" thickBot="1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 ht="19.899999999999999" thickBot="1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 ht="19.899999999999999" thickBot="1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 ht="19.899999999999999" thickBot="1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 ht="19.899999999999999" thickBot="1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 ht="19.899999999999999" thickBot="1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 ht="19.899999999999999" thickBot="1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 ht="19.899999999999999" thickBot="1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 ht="19.899999999999999" thickBot="1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 ht="19.899999999999999" thickBot="1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 ht="19.899999999999999" thickBot="1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 ht="19.899999999999999" thickBot="1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 ht="19.899999999999999" thickBot="1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 ht="19.899999999999999" thickBot="1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 ht="19.899999999999999" thickBot="1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 ht="19.899999999999999" thickBot="1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 ht="19.899999999999999" thickBot="1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 ht="19.899999999999999" thickBot="1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 ht="19.899999999999999" thickBot="1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 ht="19.899999999999999" thickBot="1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 ht="19.899999999999999" thickBot="1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 ht="19.899999999999999" thickBot="1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 ht="19.899999999999999" thickBot="1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 ht="19.899999999999999" thickBot="1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 ht="19.899999999999999" thickBot="1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 ht="19.899999999999999" thickBot="1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 ht="19.899999999999999" thickBot="1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 ht="19.899999999999999" thickBot="1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 ht="19.899999999999999" thickBot="1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 ht="19.899999999999999" thickBot="1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 ht="19.899999999999999" thickBot="1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 ht="19.899999999999999" thickBot="1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 ht="19.899999999999999" thickBot="1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 ht="19.899999999999999" thickBot="1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 ht="19.899999999999999" thickBot="1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 ht="19.899999999999999" thickBot="1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 ht="19.899999999999999" thickBot="1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 ht="19.899999999999999" thickBot="1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 ht="19.899999999999999" thickBot="1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 ht="19.899999999999999" thickBot="1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 ht="19.899999999999999" thickBot="1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 ht="19.899999999999999" thickBot="1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 ht="19.899999999999999" thickBot="1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 ht="19.899999999999999" thickBot="1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 ht="19.899999999999999" thickBot="1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 ht="19.899999999999999" thickBot="1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 ht="19.899999999999999" thickBot="1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 ht="19.899999999999999" thickBot="1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 ht="19.899999999999999" thickBot="1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 ht="19.899999999999999" thickBot="1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 ht="19.899999999999999" thickBot="1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 ht="19.899999999999999" thickBot="1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 ht="19.899999999999999" thickBot="1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 ht="19.899999999999999" thickBot="1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 ht="19.899999999999999" thickBot="1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 ht="19.899999999999999" thickBot="1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 ht="19.899999999999999" thickBot="1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 ht="19.899999999999999" thickBot="1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 ht="19.899999999999999" thickBot="1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 ht="19.899999999999999" thickBot="1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 ht="19.899999999999999" thickBot="1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 ht="19.899999999999999" thickBot="1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 ht="19.899999999999999" thickBot="1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 ht="19.899999999999999" thickBot="1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 ht="19.899999999999999" thickBot="1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 ht="19.899999999999999" thickBot="1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 ht="19.899999999999999" thickBot="1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 ht="19.899999999999999" thickBot="1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 ht="19.899999999999999" thickBot="1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 ht="19.899999999999999" thickBot="1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 ht="19.899999999999999" thickBot="1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 ht="19.899999999999999" thickBot="1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 ht="19.899999999999999" thickBot="1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 ht="19.899999999999999" thickBot="1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 ht="19.899999999999999" thickBot="1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 ht="19.899999999999999" thickBot="1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 ht="19.899999999999999" thickBot="1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 ht="19.899999999999999" thickBot="1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 ht="19.899999999999999" thickBot="1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 ht="19.899999999999999" thickBot="1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 ht="19.899999999999999" thickBot="1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 ht="19.899999999999999" thickBot="1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 ht="19.899999999999999" thickBot="1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 ht="19.899999999999999" thickBot="1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 ht="19.899999999999999" thickBot="1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 ht="19.899999999999999" thickBot="1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 ht="19.899999999999999" thickBot="1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 ht="19.899999999999999" thickBot="1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 ht="19.899999999999999" thickBot="1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 ht="19.899999999999999" thickBot="1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 ht="19.899999999999999" thickBot="1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 ht="19.899999999999999" thickBot="1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 ht="19.899999999999999" thickBot="1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 ht="19.899999999999999" thickBot="1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 ht="19.899999999999999" thickBot="1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 ht="19.899999999999999" thickBot="1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 ht="19.899999999999999" thickBot="1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 ht="19.899999999999999" thickBot="1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 ht="19.899999999999999" thickBot="1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 ht="19.899999999999999" thickBot="1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 ht="19.899999999999999" thickBot="1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 ht="19.899999999999999" thickBot="1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 ht="19.899999999999999" thickBot="1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 ht="19.899999999999999" thickBot="1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 ht="19.899999999999999" thickBot="1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 ht="19.899999999999999" thickBot="1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 ht="19.899999999999999" thickBot="1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 ht="19.899999999999999" thickBot="1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 ht="19.899999999999999" thickBot="1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 ht="19.899999999999999" thickBot="1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 ht="19.899999999999999" thickBot="1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 ht="19.899999999999999" thickBot="1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 ht="19.899999999999999" thickBot="1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 ht="19.899999999999999" thickBot="1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 ht="19.899999999999999" thickBot="1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 ht="19.899999999999999" thickBot="1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 ht="19.899999999999999" thickBot="1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 ht="19.899999999999999" thickBot="1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 ht="19.899999999999999" thickBot="1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 ht="19.899999999999999" thickBot="1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 ht="19.899999999999999" thickBot="1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 ht="19.899999999999999" thickBot="1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 ht="19.899999999999999" thickBot="1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 ht="19.899999999999999" thickBot="1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 ht="19.899999999999999" thickBot="1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 ht="19.899999999999999" thickBot="1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 ht="19.899999999999999" thickBot="1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 ht="19.899999999999999" thickBot="1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 ht="19.899999999999999" thickBot="1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 ht="19.899999999999999" thickBot="1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 ht="19.899999999999999" thickBot="1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 ht="19.899999999999999" thickBot="1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 ht="19.899999999999999" thickBot="1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 ht="19.899999999999999" thickBot="1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 ht="19.899999999999999" thickBot="1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 ht="19.899999999999999" thickBot="1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 ht="19.899999999999999" thickBot="1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 ht="19.899999999999999" thickBot="1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 ht="19.899999999999999" thickBot="1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 ht="19.899999999999999" thickBot="1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 ht="19.899999999999999" thickBot="1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 ht="19.899999999999999" thickBot="1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 ht="19.899999999999999" thickBot="1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 ht="19.899999999999999" thickBot="1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 ht="19.899999999999999" thickBot="1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 ht="19.899999999999999" thickBot="1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 ht="19.899999999999999" thickBot="1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 ht="19.899999999999999" thickBot="1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 ht="19.899999999999999" thickBot="1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 ht="19.899999999999999" thickBot="1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 ht="19.899999999999999" thickBot="1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 ht="19.899999999999999" thickBot="1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 ht="19.899999999999999" thickBot="1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 ht="19.899999999999999" thickBot="1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 ht="19.899999999999999" thickBot="1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 ht="19.899999999999999" thickBot="1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 ht="19.899999999999999" thickBot="1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 ht="19.899999999999999" thickBot="1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 ht="19.899999999999999" thickBot="1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 ht="19.899999999999999" thickBot="1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 ht="19.899999999999999" thickBot="1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 ht="19.899999999999999" thickBot="1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 ht="19.899999999999999" thickBot="1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 ht="19.899999999999999" thickBot="1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 ht="19.899999999999999" thickBot="1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 ht="19.899999999999999" thickBot="1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 ht="19.899999999999999" thickBot="1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 ht="19.899999999999999" thickBot="1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 ht="19.899999999999999" thickBot="1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 ht="19.899999999999999" thickBot="1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 ht="19.899999999999999" thickBot="1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 ht="19.899999999999999" thickBot="1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 ht="19.899999999999999" thickBot="1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 ht="19.899999999999999" thickBot="1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 ht="19.899999999999999" thickBot="1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 ht="19.899999999999999" thickBot="1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 ht="19.899999999999999" thickBot="1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 ht="19.899999999999999" thickBot="1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 ht="19.899999999999999" thickBot="1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 ht="19.899999999999999" thickBot="1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 ht="19.899999999999999" thickBot="1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 ht="19.899999999999999" thickBot="1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 ht="19.899999999999999" thickBot="1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 ht="19.899999999999999" thickBot="1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 ht="19.899999999999999" thickBot="1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 ht="19.899999999999999" thickBot="1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 ht="19.899999999999999" thickBot="1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 ht="19.899999999999999" thickBot="1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 ht="19.899999999999999" thickBot="1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 ht="19.899999999999999" thickBot="1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 ht="19.899999999999999" thickBot="1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 ht="19.899999999999999" thickBot="1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 ht="19.899999999999999" thickBot="1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 ht="19.899999999999999" thickBot="1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 ht="19.899999999999999" thickBot="1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 ht="19.899999999999999" thickBot="1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 ht="19.899999999999999" thickBot="1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 ht="19.899999999999999" thickBot="1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 ht="19.899999999999999" thickBot="1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 ht="19.899999999999999" thickBot="1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 ht="19.899999999999999" thickBot="1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 ht="19.899999999999999" thickBot="1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 ht="19.899999999999999" thickBot="1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 ht="19.899999999999999" thickBot="1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 ht="19.899999999999999" thickBot="1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 ht="19.899999999999999" thickBot="1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 ht="19.899999999999999" thickBot="1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 ht="19.899999999999999" thickBot="1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 ht="19.899999999999999" thickBot="1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 ht="19.899999999999999" thickBot="1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 ht="19.899999999999999" thickBot="1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 ht="19.899999999999999" thickBot="1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 ht="19.899999999999999" thickBot="1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 ht="19.899999999999999" thickBot="1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 ht="19.899999999999999" thickBot="1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 ht="19.899999999999999" thickBot="1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 ht="19.899999999999999" thickBot="1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 ht="19.899999999999999" thickBot="1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 ht="19.899999999999999" thickBot="1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 ht="19.899999999999999" thickBot="1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 ht="19.899999999999999" thickBot="1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 ht="19.899999999999999" thickBot="1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 ht="19.899999999999999" thickBot="1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 ht="19.899999999999999" thickBot="1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 ht="19.899999999999999" thickBot="1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 ht="19.899999999999999" thickBot="1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 ht="19.899999999999999" thickBot="1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 ht="19.899999999999999" thickBot="1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 ht="19.899999999999999" thickBot="1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 ht="19.899999999999999" thickBot="1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 ht="19.899999999999999" thickBot="1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 ht="19.899999999999999" thickBot="1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 ht="19.899999999999999" thickBot="1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 ht="19.899999999999999" thickBot="1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 ht="19.899999999999999" thickBot="1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 ht="19.899999999999999" thickBot="1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 ht="19.899999999999999" thickBot="1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 ht="19.899999999999999" thickBot="1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 ht="19.899999999999999" thickBot="1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 ht="19.899999999999999" thickBot="1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 ht="19.899999999999999" thickBot="1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 ht="19.899999999999999" thickBot="1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 ht="19.899999999999999" thickBot="1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 ht="19.899999999999999" thickBot="1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 ht="19.899999999999999" thickBot="1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 ht="19.899999999999999" thickBot="1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 ht="19.899999999999999" thickBot="1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 ht="19.899999999999999" thickBot="1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 ht="19.899999999999999" thickBot="1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 ht="19.899999999999999" thickBot="1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 ht="19.899999999999999" thickBot="1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 ht="19.899999999999999" thickBot="1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 ht="19.899999999999999" thickBot="1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 ht="19.899999999999999" thickBot="1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 ht="19.899999999999999" thickBot="1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 ht="19.899999999999999" thickBot="1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 ht="19.899999999999999" thickBot="1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 ht="19.899999999999999" thickBot="1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 ht="19.899999999999999" thickBot="1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 ht="19.899999999999999" thickBot="1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 ht="19.899999999999999" thickBot="1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 ht="19.899999999999999" thickBot="1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 ht="19.899999999999999" thickBot="1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 ht="19.899999999999999" thickBot="1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 ht="19.899999999999999" thickBot="1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 ht="19.899999999999999" thickBot="1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 ht="19.899999999999999" thickBot="1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 ht="19.899999999999999" thickBot="1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 ht="19.899999999999999" thickBot="1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 ht="19.899999999999999" thickBot="1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 ht="19.899999999999999" thickBot="1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 ht="19.899999999999999" thickBot="1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 ht="19.899999999999999" thickBot="1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 ht="19.899999999999999" thickBot="1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 ht="19.899999999999999" thickBot="1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 ht="19.899999999999999" thickBot="1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 ht="19.899999999999999" thickBot="1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 ht="19.899999999999999" thickBot="1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 ht="19.899999999999999" thickBot="1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 ht="19.899999999999999" thickBot="1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 ht="19.899999999999999" thickBot="1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 ht="19.899999999999999" thickBot="1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 ht="19.899999999999999" thickBot="1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 ht="19.899999999999999" thickBot="1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 ht="19.899999999999999" thickBot="1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 ht="19.899999999999999" thickBot="1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 ht="19.899999999999999" thickBot="1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 ht="19.899999999999999" thickBot="1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 ht="19.899999999999999" thickBot="1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 ht="19.899999999999999" thickBot="1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 ht="19.899999999999999" thickBot="1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 ht="19.899999999999999" thickBot="1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 ht="19.899999999999999" thickBot="1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 ht="19.899999999999999" thickBot="1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 ht="19.899999999999999" thickBot="1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 ht="19.899999999999999" thickBot="1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 ht="19.899999999999999" thickBot="1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 ht="19.899999999999999" thickBot="1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 ht="19.899999999999999" thickBot="1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 ht="19.899999999999999" thickBot="1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 ht="19.899999999999999" thickBot="1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 ht="19.899999999999999" thickBot="1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 ht="19.899999999999999" thickBot="1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 ht="19.899999999999999" thickBot="1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 ht="19.899999999999999" thickBot="1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 ht="19.899999999999999" thickBot="1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 ht="19.899999999999999" thickBot="1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 ht="19.899999999999999" thickBot="1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 ht="19.899999999999999" thickBot="1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 ht="19.899999999999999" thickBot="1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 ht="19.899999999999999" thickBot="1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 ht="19.899999999999999" thickBot="1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 ht="19.899999999999999" thickBot="1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 ht="19.899999999999999" thickBot="1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 ht="19.899999999999999" thickBot="1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 ht="19.899999999999999" thickBot="1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 ht="19.899999999999999" thickBot="1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 ht="19.899999999999999" thickBot="1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 ht="19.899999999999999" thickBot="1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 ht="19.899999999999999" thickBot="1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 ht="19.899999999999999" thickBot="1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 ht="19.899999999999999" thickBot="1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 ht="19.899999999999999" thickBot="1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 ht="19.899999999999999" thickBot="1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 ht="19.899999999999999" thickBot="1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 ht="19.899999999999999" thickBot="1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 ht="19.899999999999999" thickBot="1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 ht="19.899999999999999" thickBot="1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 ht="19.899999999999999" thickBot="1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 ht="19.899999999999999" thickBot="1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 ht="19.899999999999999" thickBot="1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 ht="19.899999999999999" thickBot="1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 ht="19.899999999999999" thickBot="1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 ht="19.899999999999999" thickBot="1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 ht="19.899999999999999" thickBot="1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 ht="19.899999999999999" thickBot="1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 ht="19.899999999999999" thickBot="1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 ht="19.899999999999999" thickBot="1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 ht="19.899999999999999" thickBot="1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 ht="19.899999999999999" thickBot="1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 ht="19.899999999999999" thickBot="1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 ht="19.899999999999999" thickBot="1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 ht="19.899999999999999" thickBot="1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 ht="19.899999999999999" thickBot="1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 ht="19.899999999999999" thickBot="1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 ht="19.899999999999999" thickBot="1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 ht="19.899999999999999" thickBot="1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 ht="19.899999999999999" thickBot="1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 ht="19.899999999999999" thickBot="1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 ht="19.899999999999999" thickBot="1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 ht="19.899999999999999" thickBot="1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 ht="19.899999999999999" thickBot="1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 ht="19.899999999999999" thickBot="1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 ht="19.899999999999999" thickBot="1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 ht="19.899999999999999" thickBot="1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 ht="19.899999999999999" thickBot="1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 ht="19.899999999999999" thickBot="1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 ht="19.899999999999999" thickBot="1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 ht="19.899999999999999" thickBot="1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 ht="19.899999999999999" thickBot="1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 ht="19.899999999999999" thickBot="1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 ht="19.899999999999999" thickBot="1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 ht="19.899999999999999" thickBot="1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 ht="19.899999999999999" thickBot="1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 ht="19.899999999999999" thickBot="1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 ht="19.899999999999999" thickBot="1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 ht="19.899999999999999" thickBot="1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 ht="19.899999999999999" thickBot="1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 ht="19.899999999999999" thickBot="1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 ht="19.899999999999999" thickBot="1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 ht="19.899999999999999" thickBot="1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 ht="19.899999999999999" thickBot="1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 ht="19.899999999999999" thickBot="1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 ht="19.899999999999999" thickBot="1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 ht="19.899999999999999" thickBot="1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 ht="19.899999999999999" thickBot="1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 ht="19.899999999999999" thickBot="1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 ht="19.899999999999999" thickBot="1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 ht="19.899999999999999" thickBot="1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 ht="19.899999999999999" thickBot="1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 ht="19.899999999999999" thickBot="1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 ht="19.899999999999999" thickBot="1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 ht="19.899999999999999" thickBot="1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 ht="19.899999999999999" thickBot="1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 ht="19.899999999999999" thickBot="1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 ht="19.899999999999999" thickBot="1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 ht="19.899999999999999" thickBot="1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</sheetData>
  <mergeCells count="9">
    <mergeCell ref="C79:E79"/>
    <mergeCell ref="C82:K82"/>
    <mergeCell ref="C89:E89"/>
    <mergeCell ref="C1:K1"/>
    <mergeCell ref="C3:K3"/>
    <mergeCell ref="D18:E18"/>
    <mergeCell ref="C21:K21"/>
    <mergeCell ref="C48:E48"/>
    <mergeCell ref="C52:K52"/>
  </mergeCells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3:AY84"/>
  <sheetViews>
    <sheetView showGridLines="0" zoomScale="70" zoomScaleNormal="70" workbookViewId="0">
      <pane xSplit="2" ySplit="4" topLeftCell="C5" activePane="bottomRight" state="frozen"/>
      <selection pane="bottomRight" activeCell="C5" sqref="C5:F5"/>
      <selection pane="bottomLeft" activeCell="A5" sqref="A5"/>
      <selection pane="topRight" activeCell="C1" sqref="C1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3.33203125" style="580" customWidth="1"/>
    <col min="4" max="4" width="10.7773437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664062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8.109375" style="727" customWidth="1"/>
    <col min="19" max="19" width="8.44140625" style="727" customWidth="1"/>
    <col min="20" max="20" width="7.33203125" style="727" customWidth="1"/>
    <col min="21" max="21" width="9" style="727" customWidth="1"/>
    <col min="22" max="22" width="9.6640625" style="580" customWidth="1"/>
    <col min="23" max="23" width="7.77734375" style="580" customWidth="1"/>
    <col min="24" max="24" width="9" style="580" customWidth="1"/>
    <col min="25" max="25" width="9.44140625" style="580" customWidth="1"/>
    <col min="26" max="26" width="8.77734375" style="727" customWidth="1"/>
    <col min="27" max="27" width="9.5546875" style="727" customWidth="1"/>
    <col min="28" max="30" width="10.6640625" style="727" customWidth="1"/>
    <col min="31" max="32" width="11.77734375" style="580" customWidth="1"/>
    <col min="33" max="33" width="11.109375" style="727" bestFit="1" customWidth="1"/>
    <col min="34" max="34" width="11.109375" style="580" customWidth="1"/>
    <col min="35" max="35" width="9.21875" style="580"/>
    <col min="36" max="36" width="14.6640625" style="580" customWidth="1"/>
    <col min="37" max="38" width="14.77734375" style="580" customWidth="1"/>
    <col min="39" max="40" width="14.33203125" style="580" customWidth="1"/>
    <col min="41" max="41" width="14.6640625" style="580" customWidth="1"/>
    <col min="42" max="42" width="13.77734375" style="580" customWidth="1"/>
    <col min="43" max="43" width="11.5546875" style="580" customWidth="1"/>
    <col min="44" max="16384" width="9.21875" style="580"/>
  </cols>
  <sheetData>
    <row r="3" spans="2:51" ht="25.15" thickBot="1">
      <c r="AJ3" s="142"/>
      <c r="AK3" s="142"/>
      <c r="AL3" s="1227" t="s">
        <v>0</v>
      </c>
      <c r="AM3" s="1227"/>
      <c r="AN3" s="1227"/>
      <c r="AO3" s="1227"/>
      <c r="AP3" s="1227"/>
    </row>
    <row r="4" spans="2:51" ht="96" customHeight="1" thickBot="1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454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713" t="s">
        <v>432</v>
      </c>
      <c r="O4" s="714" t="s">
        <v>433</v>
      </c>
      <c r="P4" s="742" t="s">
        <v>434</v>
      </c>
      <c r="Q4" s="724" t="s">
        <v>435</v>
      </c>
      <c r="R4" s="744" t="s">
        <v>436</v>
      </c>
      <c r="S4" s="713" t="s">
        <v>437</v>
      </c>
      <c r="T4" s="713" t="s">
        <v>438</v>
      </c>
      <c r="U4" s="724" t="s">
        <v>439</v>
      </c>
      <c r="V4" s="744" t="s">
        <v>440</v>
      </c>
      <c r="W4" s="713" t="s">
        <v>441</v>
      </c>
      <c r="X4" s="713" t="s">
        <v>442</v>
      </c>
      <c r="Y4" s="714" t="s">
        <v>443</v>
      </c>
      <c r="Z4" s="715" t="s">
        <v>390</v>
      </c>
      <c r="AA4" s="713" t="s">
        <v>391</v>
      </c>
      <c r="AB4" s="713" t="s">
        <v>392</v>
      </c>
      <c r="AC4" s="724" t="s">
        <v>393</v>
      </c>
      <c r="AD4" s="744" t="s">
        <v>444</v>
      </c>
      <c r="AE4" s="713" t="s">
        <v>445</v>
      </c>
      <c r="AF4" s="713" t="s">
        <v>446</v>
      </c>
      <c r="AG4" s="789" t="s">
        <v>394</v>
      </c>
      <c r="AH4" s="728"/>
      <c r="AJ4" s="142"/>
      <c r="AK4" s="143" t="s">
        <v>14</v>
      </c>
      <c r="AL4" s="143" t="s">
        <v>147</v>
      </c>
      <c r="AM4" s="143" t="s">
        <v>147</v>
      </c>
      <c r="AN4" s="143" t="s">
        <v>147</v>
      </c>
      <c r="AO4" s="143" t="s">
        <v>147</v>
      </c>
      <c r="AP4" s="143" t="s">
        <v>147</v>
      </c>
    </row>
    <row r="5" spans="2:51" ht="43.15">
      <c r="B5" s="716">
        <v>44409</v>
      </c>
      <c r="C5" s="749">
        <v>21.64</v>
      </c>
      <c r="D5" s="750">
        <v>15.132</v>
      </c>
      <c r="E5" s="751">
        <v>8.9</v>
      </c>
      <c r="F5" s="749">
        <v>3.77</v>
      </c>
      <c r="G5" s="749">
        <f>SUM(Table2523467891011101213121412151615[[#This Row],[Jones Creek Target (Mbopd)]:[Egwa Target (Mbopd)]])</f>
        <v>49.442</v>
      </c>
      <c r="H5" s="752">
        <v>17.625</v>
      </c>
      <c r="I5" s="752">
        <v>14.404</v>
      </c>
      <c r="J5" s="752">
        <v>1.8180000000000001</v>
      </c>
      <c r="K5" s="752">
        <v>2.8039999999999998</v>
      </c>
      <c r="L5" s="753">
        <f t="shared" ref="L5:L41" si="0">H5+I5+J5+K5</f>
        <v>36.650999999999996</v>
      </c>
      <c r="M5" s="721">
        <v>13.03</v>
      </c>
      <c r="N5" s="765">
        <f>Table2523467891011101213121412151615[[#This Row],[Jones Creek Target (Mbopd)]]-Table2523467891011101213121412151615[[#This Row],[Jones Creek (Mbopd)]]</f>
        <v>4.0150000000000006</v>
      </c>
      <c r="O5" s="723">
        <f>Table2523467891011101213121412151615[[#This Row],[Odidi Target (Mbopd)]]-Table2523467891011101213121412151615[[#This Row],[Odidi (Mbopd)]]</f>
        <v>0.72799999999999976</v>
      </c>
      <c r="P5" s="721">
        <f>Table2523467891011101213121412151615[[#This Row],[Batan Target (Mbopd)]]-Table2523467891011101213121412151615[[#This Row],[Batan (Mbopd)]]</f>
        <v>7.0820000000000007</v>
      </c>
      <c r="Q5" s="747">
        <f>Table2523467891011101213121412151615[[#This Row],[Egwa Target (Mbopd)]]-Table2523467891011101213121412151615[[#This Row],[Egwa (Mbopd)]]</f>
        <v>0.96600000000000019</v>
      </c>
      <c r="R5" s="745">
        <v>6.07</v>
      </c>
      <c r="S5" s="723">
        <v>30.58</v>
      </c>
      <c r="T5" s="723">
        <v>1.07</v>
      </c>
      <c r="U5" s="747">
        <v>3.29</v>
      </c>
      <c r="V5" s="746">
        <v>0.84</v>
      </c>
      <c r="W5" s="723">
        <v>0</v>
      </c>
      <c r="X5" s="723">
        <v>1</v>
      </c>
      <c r="Y5" s="721">
        <v>0</v>
      </c>
      <c r="Z5" s="746">
        <f>Table2523467891011101213121412151615[[#This Row],[J/C Prod gas (MMscf)]]-Table2523467891011101213121412151615[[#This Row],[J/C Utilised gas (MMscf)]]</f>
        <v>5.23</v>
      </c>
      <c r="AA5" s="723">
        <f>Table2523467891011101213121412151615[[#This Row],[Odid Prod gas (MMscf)]]-Table2523467891011101213121412151615[[#This Row],[Gas Export (MMscf/d)]]-Table2523467891011101213121412151615[[#This Row],[Odid Utilised gas (MMscf)]]</f>
        <v>17.549999999999997</v>
      </c>
      <c r="AB5" s="723">
        <v>2.1</v>
      </c>
      <c r="AC5" s="747">
        <f>Table2523467891011101213121412151615[[#This Row],[Egwa Prod gas (MMscf)]]</f>
        <v>3.29</v>
      </c>
      <c r="AD5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41.01</v>
      </c>
      <c r="AE5" s="723">
        <f>Table2523467891011101213121412151615[[#This Row],[Gas Export (MMscf/d)]]</f>
        <v>13.03</v>
      </c>
      <c r="AF5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5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28.169999999999998</v>
      </c>
      <c r="AH5" s="142"/>
      <c r="AJ5" s="144"/>
      <c r="AK5" s="148" t="s">
        <v>148</v>
      </c>
      <c r="AL5" s="152">
        <f>B34</f>
        <v>44438</v>
      </c>
      <c r="AM5" s="152">
        <f>AL5+1</f>
        <v>44439</v>
      </c>
      <c r="AN5" s="152">
        <f>AM5+1</f>
        <v>44440</v>
      </c>
      <c r="AO5" s="152">
        <f>AN5+1</f>
        <v>44441</v>
      </c>
      <c r="AP5" s="152">
        <f>AO5+1</f>
        <v>44442</v>
      </c>
    </row>
    <row r="6" spans="2:51" ht="21.6">
      <c r="B6" s="716">
        <v>44410</v>
      </c>
      <c r="C6" s="749">
        <v>21.64</v>
      </c>
      <c r="D6" s="750">
        <v>15.132</v>
      </c>
      <c r="E6" s="751">
        <v>8.9</v>
      </c>
      <c r="F6" s="749">
        <v>3.77</v>
      </c>
      <c r="G6" s="749">
        <f>SUM(Table2523467891011101213121412151615[[#This Row],[Jones Creek Target (Mbopd)]:[Egwa Target (Mbopd)]])</f>
        <v>49.442</v>
      </c>
      <c r="H6" s="752">
        <v>18.175000000000001</v>
      </c>
      <c r="I6" s="752">
        <v>12.17</v>
      </c>
      <c r="J6" s="752">
        <v>1.722</v>
      </c>
      <c r="K6" s="752">
        <v>2.7959999999999998</v>
      </c>
      <c r="L6" s="753">
        <f t="shared" si="0"/>
        <v>34.863</v>
      </c>
      <c r="M6" s="721">
        <v>9.5299999999999994</v>
      </c>
      <c r="N6" s="765">
        <f>Table2523467891011101213121412151615[[#This Row],[Jones Creek Target (Mbopd)]]-Table2523467891011101213121412151615[[#This Row],[Jones Creek (Mbopd)]]</f>
        <v>3.4649999999999999</v>
      </c>
      <c r="O6" s="723">
        <f>Table2523467891011101213121412151615[[#This Row],[Odidi Target (Mbopd)]]-Table2523467891011101213121412151615[[#This Row],[Odidi (Mbopd)]]</f>
        <v>2.9619999999999997</v>
      </c>
      <c r="P6" s="721">
        <f>Table2523467891011101213121412151615[[#This Row],[Batan Target (Mbopd)]]-Table2523467891011101213121412151615[[#This Row],[Batan (Mbopd)]]</f>
        <v>7.1780000000000008</v>
      </c>
      <c r="Q6" s="747">
        <f>Table2523467891011101213121412151615[[#This Row],[Egwa Target (Mbopd)]]-Table2523467891011101213121412151615[[#This Row],[Egwa (Mbopd)]]</f>
        <v>0.9740000000000002</v>
      </c>
      <c r="R6" s="745">
        <v>6.2869999999999999</v>
      </c>
      <c r="S6" s="723">
        <v>25.92</v>
      </c>
      <c r="T6" s="723">
        <v>1.07</v>
      </c>
      <c r="U6" s="747">
        <v>3.42</v>
      </c>
      <c r="V6" s="746">
        <v>0.84</v>
      </c>
      <c r="W6" s="723">
        <v>0</v>
      </c>
      <c r="X6" s="723">
        <v>1</v>
      </c>
      <c r="Y6" s="721">
        <v>0</v>
      </c>
      <c r="Z6" s="746">
        <f>Table2523467891011101213121412151615[[#This Row],[J/C Prod gas (MMscf)]]-Table2523467891011101213121412151615[[#This Row],[J/C Utilised gas (MMscf)]]</f>
        <v>5.4470000000000001</v>
      </c>
      <c r="AA6" s="723">
        <f>Table2523467891011101213121412151615[[#This Row],[Odid Prod gas (MMscf)]]-Table2523467891011101213121412151615[[#This Row],[Gas Export (MMscf/d)]]-Table2523467891011101213121412151615[[#This Row],[Odid Utilised gas (MMscf)]]</f>
        <v>16.39</v>
      </c>
      <c r="AB6" s="723">
        <v>3.1</v>
      </c>
      <c r="AC6" s="747">
        <f>Table2523467891011101213121412151615[[#This Row],[Egwa Prod gas (MMscf)]]</f>
        <v>3.42</v>
      </c>
      <c r="AD6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36.697000000000003</v>
      </c>
      <c r="AE6" s="723">
        <f>Table2523467891011101213121412151615[[#This Row],[Gas Export (MMscf/d)]]</f>
        <v>9.5299999999999994</v>
      </c>
      <c r="AF6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6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28.356999999999999</v>
      </c>
      <c r="AH6" s="142"/>
      <c r="AJ6" s="145" t="s">
        <v>17</v>
      </c>
      <c r="AK6" s="272">
        <v>21.64</v>
      </c>
      <c r="AL6" s="270">
        <v>16.503</v>
      </c>
      <c r="AM6" s="269">
        <v>15.32</v>
      </c>
      <c r="AN6" s="270">
        <v>17.64</v>
      </c>
      <c r="AO6" s="267">
        <v>17.64</v>
      </c>
      <c r="AP6" s="270">
        <v>18.664000000000001</v>
      </c>
    </row>
    <row r="7" spans="2:51" ht="21.6">
      <c r="B7" s="716">
        <v>44411</v>
      </c>
      <c r="C7" s="749">
        <v>21.64</v>
      </c>
      <c r="D7" s="750">
        <v>15.132</v>
      </c>
      <c r="E7" s="751">
        <v>8.9</v>
      </c>
      <c r="F7" s="749">
        <v>3.77</v>
      </c>
      <c r="G7" s="749">
        <f>SUM(Table2523467891011101213121412151615[[#This Row],[Jones Creek Target (Mbopd)]:[Egwa Target (Mbopd)]])</f>
        <v>49.442</v>
      </c>
      <c r="H7" s="752">
        <v>18.164999999999999</v>
      </c>
      <c r="I7" s="752">
        <v>11.295</v>
      </c>
      <c r="J7" s="752">
        <v>1.7210000000000001</v>
      </c>
      <c r="K7" s="754">
        <v>2.8159999999999998</v>
      </c>
      <c r="L7" s="753">
        <f t="shared" si="0"/>
        <v>33.997</v>
      </c>
      <c r="M7" s="721">
        <v>10.726000000000001</v>
      </c>
      <c r="N7" s="765">
        <f>Table2523467891011101213121412151615[[#This Row],[Jones Creek Target (Mbopd)]]-Table2523467891011101213121412151615[[#This Row],[Jones Creek (Mbopd)]]</f>
        <v>3.4750000000000014</v>
      </c>
      <c r="O7" s="723">
        <f>Table2523467891011101213121412151615[[#This Row],[Odidi Target (Mbopd)]]-Table2523467891011101213121412151615[[#This Row],[Odidi (Mbopd)]]</f>
        <v>3.8369999999999997</v>
      </c>
      <c r="P7" s="721">
        <f>Table2523467891011101213121412151615[[#This Row],[Batan Target (Mbopd)]]-Table2523467891011101213121412151615[[#This Row],[Batan (Mbopd)]]</f>
        <v>7.1790000000000003</v>
      </c>
      <c r="Q7" s="747">
        <f>Table2523467891011101213121412151615[[#This Row],[Egwa Target (Mbopd)]]-Table2523467891011101213121412151615[[#This Row],[Egwa (Mbopd)]]</f>
        <v>0.95400000000000018</v>
      </c>
      <c r="R7" s="745">
        <v>6.2869999999999999</v>
      </c>
      <c r="S7" s="723">
        <v>24.51</v>
      </c>
      <c r="T7" s="723">
        <v>1.07</v>
      </c>
      <c r="U7" s="747">
        <v>3.42</v>
      </c>
      <c r="V7" s="746">
        <v>0.84</v>
      </c>
      <c r="W7" s="723">
        <v>0</v>
      </c>
      <c r="X7" s="723">
        <v>1</v>
      </c>
      <c r="Y7" s="721">
        <v>0</v>
      </c>
      <c r="Z7" s="746">
        <f>Table2523467891011101213121412151615[[#This Row],[J/C Prod gas (MMscf)]]-Table2523467891011101213121412151615[[#This Row],[J/C Utilised gas (MMscf)]]</f>
        <v>5.4470000000000001</v>
      </c>
      <c r="AA7" s="723">
        <f>Table2523467891011101213121412151615[[#This Row],[Odid Prod gas (MMscf)]]-Table2523467891011101213121412151615[[#This Row],[Gas Export (MMscf/d)]]-Table2523467891011101213121412151615[[#This Row],[Odid Utilised gas (MMscf)]]</f>
        <v>13.784000000000001</v>
      </c>
      <c r="AB7" s="723">
        <v>4.0999999999999996</v>
      </c>
      <c r="AC7" s="747">
        <f>Table2523467891011101213121412151615[[#This Row],[Egwa Prod gas (MMscf)]]</f>
        <v>3.42</v>
      </c>
      <c r="AD7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35.286999999999999</v>
      </c>
      <c r="AE7" s="723">
        <f>Table2523467891011101213121412151615[[#This Row],[Gas Export (MMscf/d)]]</f>
        <v>10.726000000000001</v>
      </c>
      <c r="AF7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7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26.751000000000001</v>
      </c>
      <c r="AH7" s="142"/>
      <c r="AJ7" s="145" t="s">
        <v>19</v>
      </c>
      <c r="AK7" s="272">
        <v>15.14</v>
      </c>
      <c r="AL7" s="270">
        <v>9.0609999999999999</v>
      </c>
      <c r="AM7" s="269">
        <v>9.0830000000000002</v>
      </c>
      <c r="AN7" s="270">
        <v>11.118</v>
      </c>
      <c r="AO7" s="269">
        <v>12.335000000000001</v>
      </c>
      <c r="AP7" s="270">
        <v>12.654</v>
      </c>
    </row>
    <row r="8" spans="2:51" ht="21.6">
      <c r="B8" s="716">
        <v>44412</v>
      </c>
      <c r="C8" s="749">
        <v>21.64</v>
      </c>
      <c r="D8" s="750">
        <v>15.132</v>
      </c>
      <c r="E8" s="751">
        <v>8.9</v>
      </c>
      <c r="F8" s="749">
        <v>3.77</v>
      </c>
      <c r="G8" s="749">
        <f>SUM(Table2523467891011101213121412151615[[#This Row],[Jones Creek Target (Mbopd)]:[Egwa Target (Mbopd)]])</f>
        <v>49.442</v>
      </c>
      <c r="H8" s="752">
        <v>19.103000000000002</v>
      </c>
      <c r="I8" s="752">
        <v>11.131</v>
      </c>
      <c r="J8" s="752">
        <v>1.732</v>
      </c>
      <c r="K8" s="752">
        <v>2.8010000000000002</v>
      </c>
      <c r="L8" s="753">
        <f t="shared" si="0"/>
        <v>34.767000000000003</v>
      </c>
      <c r="M8" s="721">
        <v>20.370999999999999</v>
      </c>
      <c r="N8" s="765">
        <f>Table2523467891011101213121412151615[[#This Row],[Jones Creek Target (Mbopd)]]-Table2523467891011101213121412151615[[#This Row],[Jones Creek (Mbopd)]]</f>
        <v>2.536999999999999</v>
      </c>
      <c r="O8" s="723">
        <f>Table2523467891011101213121412151615[[#This Row],[Odidi Target (Mbopd)]]-Table2523467891011101213121412151615[[#This Row],[Odidi (Mbopd)]]</f>
        <v>4.0009999999999994</v>
      </c>
      <c r="P8" s="721">
        <f>Table2523467891011101213121412151615[[#This Row],[Batan Target (Mbopd)]]-Table2523467891011101213121412151615[[#This Row],[Batan (Mbopd)]]</f>
        <v>7.1680000000000001</v>
      </c>
      <c r="Q8" s="747">
        <f>Table2523467891011101213121412151615[[#This Row],[Egwa Target (Mbopd)]]-Table2523467891011101213121412151615[[#This Row],[Egwa (Mbopd)]]</f>
        <v>0.96899999999999986</v>
      </c>
      <c r="R8" s="745">
        <v>9.65</v>
      </c>
      <c r="S8" s="723">
        <v>24.51</v>
      </c>
      <c r="T8" s="723">
        <v>1.07</v>
      </c>
      <c r="U8" s="747">
        <v>3.53</v>
      </c>
      <c r="V8" s="746">
        <v>0.84</v>
      </c>
      <c r="W8" s="723">
        <v>0</v>
      </c>
      <c r="X8" s="723">
        <v>1</v>
      </c>
      <c r="Y8" s="721">
        <v>0</v>
      </c>
      <c r="Z8" s="746">
        <f>Table2523467891011101213121412151615[[#This Row],[J/C Prod gas (MMscf)]]-Table2523467891011101213121412151615[[#This Row],[J/C Utilised gas (MMscf)]]</f>
        <v>8.81</v>
      </c>
      <c r="AA8" s="723">
        <f>Table2523467891011101213121412151615[[#This Row],[Odid Prod gas (MMscf)]]-Table2523467891011101213121412151615[[#This Row],[Gas Export (MMscf/d)]]-Table2523467891011101213121412151615[[#This Row],[Odid Utilised gas (MMscf)]]</f>
        <v>4.1390000000000029</v>
      </c>
      <c r="AB8" s="723">
        <v>5.0999999999999996</v>
      </c>
      <c r="AC8" s="747">
        <f>Table2523467891011101213121412151615[[#This Row],[Egwa Prod gas (MMscf)]]</f>
        <v>3.53</v>
      </c>
      <c r="AD8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38.760000000000005</v>
      </c>
      <c r="AE8" s="723">
        <f>Table2523467891011101213121412151615[[#This Row],[Gas Export (MMscf/d)]]</f>
        <v>20.370999999999999</v>
      </c>
      <c r="AF8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8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21.579000000000001</v>
      </c>
      <c r="AH8" s="142"/>
      <c r="AJ8" s="145" t="s">
        <v>16</v>
      </c>
      <c r="AK8" s="272">
        <v>8.9</v>
      </c>
      <c r="AL8" s="268">
        <v>0</v>
      </c>
      <c r="AM8" s="267">
        <v>0</v>
      </c>
      <c r="AN8" s="268">
        <v>0</v>
      </c>
      <c r="AO8" s="267">
        <v>0</v>
      </c>
      <c r="AP8" s="268">
        <v>0</v>
      </c>
    </row>
    <row r="9" spans="2:51" ht="21.6">
      <c r="B9" s="716">
        <v>44413</v>
      </c>
      <c r="C9" s="749">
        <v>21.64</v>
      </c>
      <c r="D9" s="750">
        <v>15.132</v>
      </c>
      <c r="E9" s="751">
        <v>8.9</v>
      </c>
      <c r="F9" s="749">
        <v>3.77</v>
      </c>
      <c r="G9" s="749">
        <f>SUM(Table2523467891011101213121412151615[[#This Row],[Jones Creek Target (Mbopd)]:[Egwa Target (Mbopd)]])</f>
        <v>49.442</v>
      </c>
      <c r="H9" s="754">
        <v>18.597999999999999</v>
      </c>
      <c r="I9" s="752">
        <v>11.978999999999999</v>
      </c>
      <c r="J9" s="752">
        <v>1.7190000000000001</v>
      </c>
      <c r="K9" s="754">
        <v>2.8580000000000001</v>
      </c>
      <c r="L9" s="753">
        <f t="shared" si="0"/>
        <v>35.153999999999996</v>
      </c>
      <c r="M9" s="721">
        <v>18.960999999999999</v>
      </c>
      <c r="N9" s="765">
        <f>Table2523467891011101213121412151615[[#This Row],[Jones Creek Target (Mbopd)]]-Table2523467891011101213121412151615[[#This Row],[Jones Creek (Mbopd)]]</f>
        <v>3.0420000000000016</v>
      </c>
      <c r="O9" s="723">
        <f>Table2523467891011101213121412151615[[#This Row],[Odidi Target (Mbopd)]]-Table2523467891011101213121412151615[[#This Row],[Odidi (Mbopd)]]</f>
        <v>3.1530000000000005</v>
      </c>
      <c r="P9" s="721">
        <f>Table2523467891011101213121412151615[[#This Row],[Batan Target (Mbopd)]]-Table2523467891011101213121412151615[[#This Row],[Batan (Mbopd)]]</f>
        <v>7.181</v>
      </c>
      <c r="Q9" s="747">
        <f>Table2523467891011101213121412151615[[#This Row],[Egwa Target (Mbopd)]]-Table2523467891011101213121412151615[[#This Row],[Egwa (Mbopd)]]</f>
        <v>0.91199999999999992</v>
      </c>
      <c r="R9" s="745">
        <v>9.6519999999999992</v>
      </c>
      <c r="S9" s="723">
        <v>24.88</v>
      </c>
      <c r="T9" s="723">
        <v>1.07</v>
      </c>
      <c r="U9" s="747">
        <v>3.58</v>
      </c>
      <c r="V9" s="746">
        <v>0.84</v>
      </c>
      <c r="W9" s="723">
        <v>0</v>
      </c>
      <c r="X9" s="723">
        <v>1</v>
      </c>
      <c r="Y9" s="721">
        <v>0</v>
      </c>
      <c r="Z9" s="746">
        <f>Table2523467891011101213121412151615[[#This Row],[J/C Prod gas (MMscf)]]-Table2523467891011101213121412151615[[#This Row],[J/C Utilised gas (MMscf)]]</f>
        <v>8.8119999999999994</v>
      </c>
      <c r="AA9" s="723">
        <f>Table2523467891011101213121412151615[[#This Row],[Odid Prod gas (MMscf)]]-Table2523467891011101213121412151615[[#This Row],[Gas Export (MMscf/d)]]-Table2523467891011101213121412151615[[#This Row],[Odid Utilised gas (MMscf)]]</f>
        <v>5.9190000000000005</v>
      </c>
      <c r="AB9" s="723">
        <v>6.1</v>
      </c>
      <c r="AC9" s="747">
        <f>Table2523467891011101213121412151615[[#This Row],[Egwa Prod gas (MMscf)]]</f>
        <v>3.58</v>
      </c>
      <c r="AD9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39.181999999999995</v>
      </c>
      <c r="AE9" s="723">
        <f>Table2523467891011101213121412151615[[#This Row],[Gas Export (MMscf/d)]]</f>
        <v>18.960999999999999</v>
      </c>
      <c r="AF9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9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24.411000000000001</v>
      </c>
      <c r="AH9" s="142"/>
      <c r="AJ9" s="145" t="s">
        <v>18</v>
      </c>
      <c r="AK9" s="273">
        <v>3.77</v>
      </c>
      <c r="AL9" s="270">
        <v>0</v>
      </c>
      <c r="AM9" s="269">
        <v>0</v>
      </c>
      <c r="AN9" s="270">
        <v>1.706</v>
      </c>
      <c r="AO9" s="269">
        <v>3.4009999999999998</v>
      </c>
      <c r="AP9" s="270">
        <v>3.4489999999999998</v>
      </c>
    </row>
    <row r="10" spans="2:51" ht="21.6">
      <c r="B10" s="716">
        <v>44414</v>
      </c>
      <c r="C10" s="749">
        <v>21.64</v>
      </c>
      <c r="D10" s="750">
        <v>15.132</v>
      </c>
      <c r="E10" s="751">
        <v>8.9</v>
      </c>
      <c r="F10" s="749">
        <v>3.77</v>
      </c>
      <c r="G10" s="749">
        <f>SUM(Table2523467891011101213121412151615[[#This Row],[Jones Creek Target (Mbopd)]:[Egwa Target (Mbopd)]])</f>
        <v>49.442</v>
      </c>
      <c r="H10" s="754">
        <v>19.065999999999999</v>
      </c>
      <c r="I10" s="754">
        <v>12.510999999999999</v>
      </c>
      <c r="J10" s="754">
        <v>1.4359999999999999</v>
      </c>
      <c r="K10" s="754">
        <v>2.8</v>
      </c>
      <c r="L10" s="753">
        <f t="shared" si="0"/>
        <v>35.812999999999995</v>
      </c>
      <c r="M10" s="721">
        <v>19.928999999999998</v>
      </c>
      <c r="N10" s="765">
        <f>Table2523467891011101213121412151615[[#This Row],[Jones Creek Target (Mbopd)]]-Table2523467891011101213121412151615[[#This Row],[Jones Creek (Mbopd)]]</f>
        <v>2.5740000000000016</v>
      </c>
      <c r="O10" s="723">
        <f>Table2523467891011101213121412151615[[#This Row],[Odidi Target (Mbopd)]]-Table2523467891011101213121412151615[[#This Row],[Odidi (Mbopd)]]</f>
        <v>2.6210000000000004</v>
      </c>
      <c r="P10" s="721">
        <f>Table2523467891011101213121412151615[[#This Row],[Batan Target (Mbopd)]]-Table2523467891011101213121412151615[[#This Row],[Batan (Mbopd)]]</f>
        <v>7.4640000000000004</v>
      </c>
      <c r="Q10" s="747">
        <f>Table2523467891011101213121412151615[[#This Row],[Egwa Target (Mbopd)]]-Table2523467891011101213121412151615[[#This Row],[Egwa (Mbopd)]]</f>
        <v>0.9700000000000002</v>
      </c>
      <c r="R10" s="745">
        <v>9.65</v>
      </c>
      <c r="S10" s="723">
        <v>24.88</v>
      </c>
      <c r="T10" s="723">
        <v>1.07</v>
      </c>
      <c r="U10" s="747">
        <v>1.5580000000000001</v>
      </c>
      <c r="V10" s="746">
        <v>0.84</v>
      </c>
      <c r="W10" s="723">
        <v>0</v>
      </c>
      <c r="X10" s="723">
        <v>1</v>
      </c>
      <c r="Y10" s="721">
        <v>0</v>
      </c>
      <c r="Z10" s="746">
        <f>Table2523467891011101213121412151615[[#This Row],[J/C Prod gas (MMscf)]]-Table2523467891011101213121412151615[[#This Row],[J/C Utilised gas (MMscf)]]</f>
        <v>8.81</v>
      </c>
      <c r="AA10" s="723">
        <f>Table2523467891011101213121412151615[[#This Row],[Odid Prod gas (MMscf)]]-Table2523467891011101213121412151615[[#This Row],[Gas Export (MMscf/d)]]-Table2523467891011101213121412151615[[#This Row],[Odid Utilised gas (MMscf)]]</f>
        <v>4.9510000000000005</v>
      </c>
      <c r="AB10" s="723">
        <v>7.1</v>
      </c>
      <c r="AC10" s="747">
        <f>Table2523467891011101213121412151615[[#This Row],[Egwa Prod gas (MMscf)]]</f>
        <v>1.5580000000000001</v>
      </c>
      <c r="AD10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37.158000000000001</v>
      </c>
      <c r="AE10" s="723">
        <f>Table2523467891011101213121412151615[[#This Row],[Gas Export (MMscf/d)]]</f>
        <v>19.928999999999998</v>
      </c>
      <c r="AF10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10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22.419</v>
      </c>
      <c r="AH10" s="142"/>
      <c r="AJ10" s="145" t="s">
        <v>447</v>
      </c>
      <c r="AK10" s="273">
        <f>SUM(AK6:AK9)</f>
        <v>49.45</v>
      </c>
      <c r="AL10" s="270">
        <v>25.564</v>
      </c>
      <c r="AM10" s="269">
        <v>24.402999999999999</v>
      </c>
      <c r="AN10" s="270">
        <v>30.464000000000002</v>
      </c>
      <c r="AO10" s="269">
        <v>33.376000000000005</v>
      </c>
      <c r="AP10" s="270">
        <v>34.767000000000003</v>
      </c>
    </row>
    <row r="11" spans="2:51" ht="21.6">
      <c r="B11" s="716">
        <v>44415</v>
      </c>
      <c r="C11" s="749">
        <v>21.64</v>
      </c>
      <c r="D11" s="750">
        <v>15.132</v>
      </c>
      <c r="E11" s="751">
        <v>8.9</v>
      </c>
      <c r="F11" s="749">
        <v>3.77</v>
      </c>
      <c r="G11" s="749">
        <f>SUM(Table2523467891011101213121412151615[[#This Row],[Jones Creek Target (Mbopd)]:[Egwa Target (Mbopd)]])</f>
        <v>49.442</v>
      </c>
      <c r="H11" s="754">
        <v>18.837</v>
      </c>
      <c r="I11" s="754">
        <v>10.414</v>
      </c>
      <c r="J11" s="754">
        <v>2.996</v>
      </c>
      <c r="K11" s="754">
        <v>1.506</v>
      </c>
      <c r="L11" s="753">
        <f t="shared" si="0"/>
        <v>33.753</v>
      </c>
      <c r="M11" s="721">
        <v>9.51</v>
      </c>
      <c r="N11" s="765">
        <f>Table2523467891011101213121412151615[[#This Row],[Jones Creek Target (Mbopd)]]-Table2523467891011101213121412151615[[#This Row],[Jones Creek (Mbopd)]]</f>
        <v>2.8030000000000008</v>
      </c>
      <c r="O11" s="723">
        <f>Table2523467891011101213121412151615[[#This Row],[Odidi Target (Mbopd)]]-Table2523467891011101213121412151615[[#This Row],[Odidi (Mbopd)]]</f>
        <v>4.718</v>
      </c>
      <c r="P11" s="721">
        <f>Table2523467891011101213121412151615[[#This Row],[Batan Target (Mbopd)]]-Table2523467891011101213121412151615[[#This Row],[Batan (Mbopd)]]</f>
        <v>5.9039999999999999</v>
      </c>
      <c r="Q11" s="747">
        <f>Table2523467891011101213121412151615[[#This Row],[Egwa Target (Mbopd)]]-Table2523467891011101213121412151615[[#This Row],[Egwa (Mbopd)]]</f>
        <v>2.2640000000000002</v>
      </c>
      <c r="R11" s="745">
        <v>9.65</v>
      </c>
      <c r="S11" s="723">
        <v>23.45</v>
      </c>
      <c r="T11" s="723">
        <v>1.07</v>
      </c>
      <c r="U11" s="747">
        <v>1.69</v>
      </c>
      <c r="V11" s="746">
        <v>0.84</v>
      </c>
      <c r="W11" s="723">
        <v>0</v>
      </c>
      <c r="X11" s="723">
        <v>1</v>
      </c>
      <c r="Y11" s="721">
        <v>0</v>
      </c>
      <c r="Z11" s="746">
        <f>Table2523467891011101213121412151615[[#This Row],[J/C Prod gas (MMscf)]]-Table2523467891011101213121412151615[[#This Row],[J/C Utilised gas (MMscf)]]</f>
        <v>8.81</v>
      </c>
      <c r="AA11" s="723">
        <f>Table2523467891011101213121412151615[[#This Row],[Odid Prod gas (MMscf)]]-Table2523467891011101213121412151615[[#This Row],[Gas Export (MMscf/d)]]-Table2523467891011101213121412151615[[#This Row],[Odid Utilised gas (MMscf)]]</f>
        <v>13.94</v>
      </c>
      <c r="AB11" s="723">
        <v>8.1</v>
      </c>
      <c r="AC11" s="747">
        <f>Table2523467891011101213121412151615[[#This Row],[Egwa Prod gas (MMscf)]]</f>
        <v>1.69</v>
      </c>
      <c r="AD11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35.86</v>
      </c>
      <c r="AE11" s="723">
        <f>Table2523467891011101213121412151615[[#This Row],[Gas Export (MMscf/d)]]</f>
        <v>9.51</v>
      </c>
      <c r="AF11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11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32.54</v>
      </c>
      <c r="AH11" s="142"/>
      <c r="AI11" s="730"/>
      <c r="AJ11" s="145" t="s">
        <v>448</v>
      </c>
      <c r="AK11" s="273">
        <v>31</v>
      </c>
      <c r="AL11" s="270">
        <v>24.218</v>
      </c>
      <c r="AM11" s="269">
        <v>20.852</v>
      </c>
      <c r="AN11" s="270">
        <v>11.715</v>
      </c>
      <c r="AO11" s="269">
        <v>19.495999999999999</v>
      </c>
      <c r="AP11" s="270">
        <v>18.04</v>
      </c>
    </row>
    <row r="12" spans="2:51" ht="21.6">
      <c r="B12" s="716">
        <v>44416</v>
      </c>
      <c r="C12" s="749">
        <v>21.64</v>
      </c>
      <c r="D12" s="750">
        <v>15.132</v>
      </c>
      <c r="E12" s="751">
        <v>8.9</v>
      </c>
      <c r="F12" s="749">
        <v>3.77</v>
      </c>
      <c r="G12" s="749">
        <f>SUM(Table2523467891011101213121412151615[[#This Row],[Jones Creek Target (Mbopd)]:[Egwa Target (Mbopd)]])</f>
        <v>49.442</v>
      </c>
      <c r="H12" s="752">
        <v>4.3159999999999998</v>
      </c>
      <c r="I12" s="752">
        <v>9.7910000000000004</v>
      </c>
      <c r="J12" s="752">
        <v>1.7270000000000001</v>
      </c>
      <c r="K12" s="752">
        <v>0</v>
      </c>
      <c r="L12" s="753">
        <f t="shared" si="0"/>
        <v>15.834</v>
      </c>
      <c r="M12" s="721">
        <v>7.66</v>
      </c>
      <c r="N12" s="765">
        <f>Table2523467891011101213121412151615[[#This Row],[Jones Creek Target (Mbopd)]]-Table2523467891011101213121412151615[[#This Row],[Jones Creek (Mbopd)]]</f>
        <v>17.324000000000002</v>
      </c>
      <c r="O12" s="723">
        <f>Table2523467891011101213121412151615[[#This Row],[Odidi Target (Mbopd)]]-Table2523467891011101213121412151615[[#This Row],[Odidi (Mbopd)]]</f>
        <v>5.3409999999999993</v>
      </c>
      <c r="P12" s="721">
        <f>Table2523467891011101213121412151615[[#This Row],[Batan Target (Mbopd)]]-Table2523467891011101213121412151615[[#This Row],[Batan (Mbopd)]]</f>
        <v>7.173</v>
      </c>
      <c r="Q12" s="747">
        <f>Table2523467891011101213121412151615[[#This Row],[Egwa Target (Mbopd)]]-Table2523467891011101213121412151615[[#This Row],[Egwa (Mbopd)]]</f>
        <v>3.77</v>
      </c>
      <c r="R12" s="745">
        <v>2.19</v>
      </c>
      <c r="S12" s="723">
        <v>22.28</v>
      </c>
      <c r="T12" s="723">
        <v>1.07</v>
      </c>
      <c r="U12" s="747">
        <v>0</v>
      </c>
      <c r="V12" s="746">
        <v>0.84</v>
      </c>
      <c r="W12" s="723">
        <v>0</v>
      </c>
      <c r="X12" s="723">
        <v>1</v>
      </c>
      <c r="Y12" s="721">
        <v>0</v>
      </c>
      <c r="Z12" s="746">
        <f>Table2523467891011101213121412151615[[#This Row],[J/C Prod gas (MMscf)]]-Table2523467891011101213121412151615[[#This Row],[J/C Utilised gas (MMscf)]]</f>
        <v>1.35</v>
      </c>
      <c r="AA12" s="723">
        <f>Table2523467891011101213121412151615[[#This Row],[Odid Prod gas (MMscf)]]-Table2523467891011101213121412151615[[#This Row],[Gas Export (MMscf/d)]]-Table2523467891011101213121412151615[[#This Row],[Odid Utilised gas (MMscf)]]</f>
        <v>14.620000000000001</v>
      </c>
      <c r="AB12" s="723">
        <v>9.1</v>
      </c>
      <c r="AC12" s="747">
        <f>Table2523467891011101213121412151615[[#This Row],[Egwa Prod gas (MMscf)]]</f>
        <v>0</v>
      </c>
      <c r="AD12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25.540000000000003</v>
      </c>
      <c r="AE12" s="723">
        <f>Table2523467891011101213121412151615[[#This Row],[Gas Export (MMscf/d)]]</f>
        <v>7.66</v>
      </c>
      <c r="AF12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1.8399999999999999</v>
      </c>
      <c r="AG12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25.07</v>
      </c>
      <c r="AH12" s="142"/>
      <c r="AI12" s="729"/>
      <c r="AJ12" s="763"/>
      <c r="AK12" s="762"/>
      <c r="AL12" s="762"/>
      <c r="AM12" s="762"/>
      <c r="AN12" s="762"/>
      <c r="AO12" s="762"/>
      <c r="AP12" s="762"/>
      <c r="AS12" s="454"/>
      <c r="AT12" s="454"/>
      <c r="AU12" s="454"/>
      <c r="AV12" s="454"/>
      <c r="AW12" s="454"/>
      <c r="AX12" s="454"/>
      <c r="AY12" s="454"/>
    </row>
    <row r="13" spans="2:51" ht="21.6">
      <c r="B13" s="716">
        <v>44417</v>
      </c>
      <c r="C13" s="749">
        <v>21.64</v>
      </c>
      <c r="D13" s="750">
        <v>15.132</v>
      </c>
      <c r="E13" s="751">
        <v>8.9</v>
      </c>
      <c r="F13" s="749">
        <v>3.77</v>
      </c>
      <c r="G13" s="749">
        <f>SUM(Table2523467891011101213121412151615[[#This Row],[Jones Creek Target (Mbopd)]:[Egwa Target (Mbopd)]])</f>
        <v>49.442</v>
      </c>
      <c r="H13" s="752">
        <v>0</v>
      </c>
      <c r="I13" s="752">
        <v>9.3960000000000008</v>
      </c>
      <c r="J13" s="752">
        <v>1.7010000000000001</v>
      </c>
      <c r="K13" s="752">
        <v>0</v>
      </c>
      <c r="L13" s="753">
        <f t="shared" si="0"/>
        <v>11.097000000000001</v>
      </c>
      <c r="M13" s="721">
        <v>17.891999999999999</v>
      </c>
      <c r="N13" s="765">
        <f>Table2523467891011101213121412151615[[#This Row],[Jones Creek Target (Mbopd)]]-Table2523467891011101213121412151615[[#This Row],[Jones Creek (Mbopd)]]</f>
        <v>21.64</v>
      </c>
      <c r="O13" s="723">
        <f>Table2523467891011101213121412151615[[#This Row],[Odidi Target (Mbopd)]]-Table2523467891011101213121412151615[[#This Row],[Odidi (Mbopd)]]</f>
        <v>5.7359999999999989</v>
      </c>
      <c r="P13" s="721">
        <f>Table2523467891011101213121412151615[[#This Row],[Batan Target (Mbopd)]]-Table2523467891011101213121412151615[[#This Row],[Batan (Mbopd)]]</f>
        <v>7.1989999999999998</v>
      </c>
      <c r="Q13" s="747">
        <f>Table2523467891011101213121412151615[[#This Row],[Egwa Target (Mbopd)]]-Table2523467891011101213121412151615[[#This Row],[Egwa (Mbopd)]]</f>
        <v>3.77</v>
      </c>
      <c r="R13" s="745">
        <v>0</v>
      </c>
      <c r="S13" s="723">
        <v>22.28</v>
      </c>
      <c r="T13" s="723">
        <v>1.07</v>
      </c>
      <c r="U13" s="747">
        <v>0</v>
      </c>
      <c r="V13" s="746">
        <v>0</v>
      </c>
      <c r="W13" s="723">
        <v>0</v>
      </c>
      <c r="X13" s="723">
        <v>1</v>
      </c>
      <c r="Y13" s="721">
        <v>0</v>
      </c>
      <c r="Z13" s="746">
        <f>Table2523467891011101213121412151615[[#This Row],[J/C Prod gas (MMscf)]]-Table2523467891011101213121412151615[[#This Row],[J/C Utilised gas (MMscf)]]</f>
        <v>0</v>
      </c>
      <c r="AA13" s="723">
        <f>Table2523467891011101213121412151615[[#This Row],[Odid Prod gas (MMscf)]]-Table2523467891011101213121412151615[[#This Row],[Gas Export (MMscf/d)]]-Table2523467891011101213121412151615[[#This Row],[Odid Utilised gas (MMscf)]]</f>
        <v>4.3880000000000017</v>
      </c>
      <c r="AB13" s="723">
        <v>10.1</v>
      </c>
      <c r="AC13" s="747">
        <f>Table2523467891011101213121412151615[[#This Row],[Egwa Prod gas (MMscf)]]</f>
        <v>0</v>
      </c>
      <c r="AD13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23.35</v>
      </c>
      <c r="AE13" s="723">
        <f>Table2523467891011101213121412151615[[#This Row],[Gas Export (MMscf/d)]]</f>
        <v>17.891999999999999</v>
      </c>
      <c r="AF13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</v>
      </c>
      <c r="AG13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14.488000000000001</v>
      </c>
      <c r="AH13" s="142"/>
      <c r="AI13" s="729"/>
      <c r="AJ13" s="763"/>
      <c r="AK13" s="762"/>
      <c r="AL13" s="762"/>
      <c r="AM13" s="762"/>
      <c r="AN13" s="762"/>
      <c r="AO13" s="762"/>
      <c r="AP13" s="762"/>
      <c r="AS13" s="454"/>
      <c r="AT13" s="454"/>
      <c r="AU13" s="454"/>
      <c r="AV13" s="454"/>
      <c r="AW13" s="454"/>
      <c r="AX13" s="454"/>
      <c r="AY13" s="454"/>
    </row>
    <row r="14" spans="2:51" ht="21.6">
      <c r="B14" s="716">
        <v>44418</v>
      </c>
      <c r="C14" s="749">
        <v>21.64</v>
      </c>
      <c r="D14" s="750">
        <v>15.132</v>
      </c>
      <c r="E14" s="751">
        <v>8.9</v>
      </c>
      <c r="F14" s="749">
        <v>3.77</v>
      </c>
      <c r="G14" s="749">
        <f>SUM(Table2523467891011101213121412151615[[#This Row],[Jones Creek Target (Mbopd)]:[Egwa Target (Mbopd)]])</f>
        <v>49.442</v>
      </c>
      <c r="H14" s="752">
        <v>0</v>
      </c>
      <c r="I14" s="752">
        <v>7.9950000000000001</v>
      </c>
      <c r="J14" s="752">
        <v>0.48499999999999999</v>
      </c>
      <c r="K14" s="752">
        <v>0</v>
      </c>
      <c r="L14" s="753">
        <f t="shared" si="0"/>
        <v>8.48</v>
      </c>
      <c r="M14" s="721">
        <v>14.977</v>
      </c>
      <c r="N14" s="765">
        <f>Table2523467891011101213121412151615[[#This Row],[Jones Creek Target (Mbopd)]]-Table2523467891011101213121412151615[[#This Row],[Jones Creek (Mbopd)]]</f>
        <v>21.64</v>
      </c>
      <c r="O14" s="723">
        <f>Table2523467891011101213121412151615[[#This Row],[Odidi Target (Mbopd)]]-Table2523467891011101213121412151615[[#This Row],[Odidi (Mbopd)]]</f>
        <v>7.1369999999999996</v>
      </c>
      <c r="P14" s="721">
        <f>Table2523467891011101213121412151615[[#This Row],[Batan Target (Mbopd)]]-Table2523467891011101213121412151615[[#This Row],[Batan (Mbopd)]]</f>
        <v>8.4150000000000009</v>
      </c>
      <c r="Q14" s="747">
        <f>Table2523467891011101213121412151615[[#This Row],[Egwa Target (Mbopd)]]-Table2523467891011101213121412151615[[#This Row],[Egwa (Mbopd)]]</f>
        <v>3.77</v>
      </c>
      <c r="R14" s="745">
        <v>0</v>
      </c>
      <c r="S14" s="723">
        <v>21.39</v>
      </c>
      <c r="T14" s="723">
        <v>1.07</v>
      </c>
      <c r="U14" s="747">
        <v>0</v>
      </c>
      <c r="V14" s="746">
        <v>0</v>
      </c>
      <c r="W14" s="723">
        <v>0</v>
      </c>
      <c r="X14" s="723">
        <v>1</v>
      </c>
      <c r="Y14" s="721">
        <v>0</v>
      </c>
      <c r="Z14" s="746">
        <f>Table2523467891011101213121412151615[[#This Row],[J/C Prod gas (MMscf)]]-Table2523467891011101213121412151615[[#This Row],[J/C Utilised gas (MMscf)]]</f>
        <v>0</v>
      </c>
      <c r="AA14" s="723">
        <f>Table2523467891011101213121412151615[[#This Row],[Odid Prod gas (MMscf)]]-Table2523467891011101213121412151615[[#This Row],[Gas Export (MMscf/d)]]-Table2523467891011101213121412151615[[#This Row],[Odid Utilised gas (MMscf)]]</f>
        <v>6.4130000000000003</v>
      </c>
      <c r="AB14" s="723">
        <f>Table2523467891011101213121412151615[[#This Row],[Batn Prod gas (MMscf)]]-Table2523467891011101213121412151615[[#This Row],[Batn Utilised gas (MMscf)]]</f>
        <v>7.0000000000000062E-2</v>
      </c>
      <c r="AC14" s="747">
        <f>Table2523467891011101213121412151615[[#This Row],[Egwa Prod gas (MMscf)]]</f>
        <v>0</v>
      </c>
      <c r="AD14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22.46</v>
      </c>
      <c r="AE14" s="723">
        <f>Table2523467891011101213121412151615[[#This Row],[Gas Export (MMscf/d)]]</f>
        <v>14.977</v>
      </c>
      <c r="AF14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1</v>
      </c>
      <c r="AG14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6.4830000000000005</v>
      </c>
      <c r="AH14" s="142"/>
      <c r="AI14" s="729"/>
      <c r="AJ14" s="763"/>
      <c r="AK14" s="762"/>
      <c r="AL14" s="762"/>
      <c r="AM14" s="762"/>
      <c r="AN14" s="762"/>
      <c r="AO14" s="762"/>
      <c r="AP14" s="762"/>
      <c r="AS14" s="454"/>
      <c r="AT14" s="454"/>
      <c r="AU14" s="454"/>
      <c r="AV14" s="454"/>
      <c r="AW14" s="454"/>
      <c r="AX14" s="454"/>
      <c r="AY14" s="454"/>
    </row>
    <row r="15" spans="2:51" ht="21.6">
      <c r="B15" s="716">
        <v>44419</v>
      </c>
      <c r="C15" s="749">
        <v>21.64</v>
      </c>
      <c r="D15" s="750">
        <v>15.132</v>
      </c>
      <c r="E15" s="751">
        <v>8.9</v>
      </c>
      <c r="F15" s="749">
        <v>3.77</v>
      </c>
      <c r="G15" s="749">
        <f>SUM(Table2523467891011101213121412151615[[#This Row],[Jones Creek Target (Mbopd)]:[Egwa Target (Mbopd)]])</f>
        <v>49.442</v>
      </c>
      <c r="H15" s="752">
        <v>0</v>
      </c>
      <c r="I15" s="752">
        <v>11.821999999999999</v>
      </c>
      <c r="J15" s="752">
        <v>0</v>
      </c>
      <c r="K15" s="752">
        <v>0</v>
      </c>
      <c r="L15" s="753">
        <f t="shared" si="0"/>
        <v>11.821999999999999</v>
      </c>
      <c r="M15" s="721">
        <v>11.724</v>
      </c>
      <c r="N15" s="765">
        <f>Table2523467891011101213121412151615[[#This Row],[Jones Creek Target (Mbopd)]]-Table2523467891011101213121412151615[[#This Row],[Jones Creek (Mbopd)]]</f>
        <v>21.64</v>
      </c>
      <c r="O15" s="723">
        <f>Table2523467891011101213121412151615[[#This Row],[Odidi Target (Mbopd)]]-Table2523467891011101213121412151615[[#This Row],[Odidi (Mbopd)]]</f>
        <v>3.3100000000000005</v>
      </c>
      <c r="P15" s="721">
        <f>Table2523467891011101213121412151615[[#This Row],[Batan Target (Mbopd)]]-Table2523467891011101213121412151615[[#This Row],[Batan (Mbopd)]]</f>
        <v>8.9</v>
      </c>
      <c r="Q15" s="747">
        <f>Table2523467891011101213121412151615[[#This Row],[Egwa Target (Mbopd)]]-Table2523467891011101213121412151615[[#This Row],[Egwa (Mbopd)]]</f>
        <v>3.77</v>
      </c>
      <c r="R15" s="745">
        <v>0</v>
      </c>
      <c r="S15" s="723">
        <v>21.39</v>
      </c>
      <c r="T15" s="723">
        <v>0</v>
      </c>
      <c r="U15" s="747">
        <v>0</v>
      </c>
      <c r="V15" s="746">
        <v>0</v>
      </c>
      <c r="W15" s="723">
        <v>0</v>
      </c>
      <c r="X15" s="723">
        <v>0</v>
      </c>
      <c r="Y15" s="721">
        <v>0</v>
      </c>
      <c r="Z15" s="746">
        <f>Table2523467891011101213121412151615[[#This Row],[J/C Prod gas (MMscf)]]-Table2523467891011101213121412151615[[#This Row],[J/C Utilised gas (MMscf)]]</f>
        <v>0</v>
      </c>
      <c r="AA15" s="723">
        <f>Table2523467891011101213121412151615[[#This Row],[Odid Prod gas (MMscf)]]-Table2523467891011101213121412151615[[#This Row],[Gas Export (MMscf/d)]]-Table2523467891011101213121412151615[[#This Row],[Odid Utilised gas (MMscf)]]</f>
        <v>9.6660000000000004</v>
      </c>
      <c r="AB15" s="723">
        <f>Table2523467891011101213121412151615[[#This Row],[Batn Prod gas (MMscf)]]-Table2523467891011101213121412151615[[#This Row],[Batn Utilised gas (MMscf)]]</f>
        <v>0</v>
      </c>
      <c r="AC15" s="747">
        <f>Table2523467891011101213121412151615[[#This Row],[Egwa Prod gas (MMscf)]]</f>
        <v>0</v>
      </c>
      <c r="AD15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21.39</v>
      </c>
      <c r="AE15" s="723">
        <f>Table2523467891011101213121412151615[[#This Row],[Gas Export (MMscf/d)]]</f>
        <v>11.724</v>
      </c>
      <c r="AF15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15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9.6660000000000004</v>
      </c>
      <c r="AH15" s="142"/>
      <c r="AI15" s="729"/>
      <c r="AJ15" s="763"/>
      <c r="AK15" s="762"/>
      <c r="AL15" s="762"/>
      <c r="AM15" s="762"/>
      <c r="AN15" s="762"/>
      <c r="AO15" s="762"/>
      <c r="AP15" s="762"/>
      <c r="AS15" s="454"/>
      <c r="AT15" s="454"/>
      <c r="AU15" s="454"/>
      <c r="AV15" s="454"/>
      <c r="AW15" s="454"/>
      <c r="AX15" s="454"/>
      <c r="AY15" s="454"/>
    </row>
    <row r="16" spans="2:51" ht="21.6">
      <c r="B16" s="716">
        <v>44420</v>
      </c>
      <c r="C16" s="749">
        <v>21.64</v>
      </c>
      <c r="D16" s="750">
        <v>15.132</v>
      </c>
      <c r="E16" s="751">
        <v>8.9</v>
      </c>
      <c r="F16" s="749">
        <v>3.77</v>
      </c>
      <c r="G16" s="749">
        <f>SUM(Table2523467891011101213121412151615[[#This Row],[Jones Creek Target (Mbopd)]:[Egwa Target (Mbopd)]])</f>
        <v>49.442</v>
      </c>
      <c r="H16" s="752">
        <v>0</v>
      </c>
      <c r="I16" s="752">
        <v>8.8789999999999996</v>
      </c>
      <c r="J16" s="752">
        <v>0</v>
      </c>
      <c r="K16" s="752">
        <v>0</v>
      </c>
      <c r="L16" s="753">
        <f t="shared" si="0"/>
        <v>8.8789999999999996</v>
      </c>
      <c r="M16" s="764">
        <v>18.72</v>
      </c>
      <c r="N16" s="765">
        <f>Table2523467891011101213121412151615[[#This Row],[Jones Creek Target (Mbopd)]]-Table2523467891011101213121412151615[[#This Row],[Jones Creek (Mbopd)]]</f>
        <v>21.64</v>
      </c>
      <c r="O16" s="723">
        <f>Table2523467891011101213121412151615[[#This Row],[Odidi Target (Mbopd)]]-Table2523467891011101213121412151615[[#This Row],[Odidi (Mbopd)]]</f>
        <v>6.2530000000000001</v>
      </c>
      <c r="P16" s="721">
        <f>Table2523467891011101213121412151615[[#This Row],[Batan Target (Mbopd)]]-Table2523467891011101213121412151615[[#This Row],[Batan (Mbopd)]]</f>
        <v>8.9</v>
      </c>
      <c r="Q16" s="747">
        <f>Table2523467891011101213121412151615[[#This Row],[Egwa Target (Mbopd)]]-Table2523467891011101213121412151615[[#This Row],[Egwa (Mbopd)]]</f>
        <v>3.77</v>
      </c>
      <c r="R16" s="745">
        <v>0</v>
      </c>
      <c r="S16" s="723">
        <v>22.28</v>
      </c>
      <c r="T16" s="723">
        <v>0</v>
      </c>
      <c r="U16" s="747">
        <v>0</v>
      </c>
      <c r="V16" s="746">
        <v>0</v>
      </c>
      <c r="W16" s="723">
        <v>0</v>
      </c>
      <c r="X16" s="723">
        <v>0</v>
      </c>
      <c r="Y16" s="721">
        <v>0</v>
      </c>
      <c r="Z16" s="746">
        <f>Table2523467891011101213121412151615[[#This Row],[J/C Prod gas (MMscf)]]-Table2523467891011101213121412151615[[#This Row],[J/C Utilised gas (MMscf)]]</f>
        <v>0</v>
      </c>
      <c r="AA16" s="723">
        <f>Table2523467891011101213121412151615[[#This Row],[Odid Prod gas (MMscf)]]-Table2523467891011101213121412151615[[#This Row],[Gas Export (MMscf/d)]]-Table2523467891011101213121412151615[[#This Row],[Odid Utilised gas (MMscf)]]</f>
        <v>3.5600000000000023</v>
      </c>
      <c r="AB16" s="723">
        <f>Table2523467891011101213121412151615[[#This Row],[Batn Prod gas (MMscf)]]-Table2523467891011101213121412151615[[#This Row],[Batn Utilised gas (MMscf)]]</f>
        <v>0</v>
      </c>
      <c r="AC16" s="747">
        <f>Table2523467891011101213121412151615[[#This Row],[Egwa Prod gas (MMscf)]]</f>
        <v>0</v>
      </c>
      <c r="AD16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22.28</v>
      </c>
      <c r="AE16" s="723">
        <f>Table2523467891011101213121412151615[[#This Row],[Gas Export (MMscf/d)]]</f>
        <v>18.72</v>
      </c>
      <c r="AF16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16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3.5600000000000023</v>
      </c>
      <c r="AH16" s="142"/>
      <c r="AI16" s="729"/>
      <c r="AJ16" s="763"/>
      <c r="AK16" s="762"/>
      <c r="AL16" s="762"/>
      <c r="AM16" s="762"/>
      <c r="AN16" s="762"/>
      <c r="AO16" s="762"/>
      <c r="AP16" s="762"/>
      <c r="AS16" s="454"/>
      <c r="AT16" s="454"/>
      <c r="AU16" s="454"/>
      <c r="AV16" s="454"/>
      <c r="AW16" s="454"/>
      <c r="AX16" s="454"/>
      <c r="AY16" s="454"/>
    </row>
    <row r="17" spans="2:51" ht="21.6">
      <c r="B17" s="716">
        <v>44421</v>
      </c>
      <c r="C17" s="749">
        <v>21.64</v>
      </c>
      <c r="D17" s="750">
        <v>15.132</v>
      </c>
      <c r="E17" s="751">
        <v>8.9</v>
      </c>
      <c r="F17" s="749">
        <v>3.77</v>
      </c>
      <c r="G17" s="749">
        <f>SUM(Table2523467891011101213121412151615[[#This Row],[Jones Creek Target (Mbopd)]:[Egwa Target (Mbopd)]])</f>
        <v>49.442</v>
      </c>
      <c r="H17" s="752">
        <v>0</v>
      </c>
      <c r="I17" s="752">
        <v>9.3770000000000007</v>
      </c>
      <c r="J17" s="752">
        <v>0</v>
      </c>
      <c r="K17" s="752">
        <v>0</v>
      </c>
      <c r="L17" s="753">
        <f t="shared" si="0"/>
        <v>9.3770000000000007</v>
      </c>
      <c r="M17" s="721">
        <v>17.478000000000002</v>
      </c>
      <c r="N17" s="765">
        <f>Table2523467891011101213121412151615[[#This Row],[Jones Creek Target (Mbopd)]]-Table2523467891011101213121412151615[[#This Row],[Jones Creek (Mbopd)]]</f>
        <v>21.64</v>
      </c>
      <c r="O17" s="723">
        <f>Table2523467891011101213121412151615[[#This Row],[Odidi Target (Mbopd)]]-Table2523467891011101213121412151615[[#This Row],[Odidi (Mbopd)]]</f>
        <v>5.754999999999999</v>
      </c>
      <c r="P17" s="721">
        <f>Table2523467891011101213121412151615[[#This Row],[Batan Target (Mbopd)]]-Table2523467891011101213121412151615[[#This Row],[Batan (Mbopd)]]</f>
        <v>8.9</v>
      </c>
      <c r="Q17" s="747">
        <f>Table2523467891011101213121412151615[[#This Row],[Egwa Target (Mbopd)]]-Table2523467891011101213121412151615[[#This Row],[Egwa (Mbopd)]]</f>
        <v>3.77</v>
      </c>
      <c r="R17" s="745">
        <v>0</v>
      </c>
      <c r="S17" s="723">
        <v>20.03</v>
      </c>
      <c r="T17" s="723">
        <v>0</v>
      </c>
      <c r="U17" s="747">
        <v>0</v>
      </c>
      <c r="V17" s="746">
        <v>0</v>
      </c>
      <c r="W17" s="723">
        <v>0</v>
      </c>
      <c r="X17" s="723">
        <v>0</v>
      </c>
      <c r="Y17" s="721">
        <v>0</v>
      </c>
      <c r="Z17" s="746">
        <f>Table2523467891011101213121412151615[[#This Row],[J/C Prod gas (MMscf)]]-Table2523467891011101213121412151615[[#This Row],[J/C Utilised gas (MMscf)]]</f>
        <v>0</v>
      </c>
      <c r="AA17" s="723">
        <f>Table2523467891011101213121412151615[[#This Row],[Odid Prod gas (MMscf)]]-Table2523467891011101213121412151615[[#This Row],[Gas Export (MMscf/d)]]-Table2523467891011101213121412151615[[#This Row],[Odid Utilised gas (MMscf)]]</f>
        <v>2.5519999999999996</v>
      </c>
      <c r="AB17" s="723">
        <f>Table2523467891011101213121412151615[[#This Row],[Batn Prod gas (MMscf)]]-Table2523467891011101213121412151615[[#This Row],[Batn Utilised gas (MMscf)]]</f>
        <v>0</v>
      </c>
      <c r="AC17" s="747">
        <f>Table2523467891011101213121412151615[[#This Row],[Egwa Prod gas (MMscf)]]</f>
        <v>0</v>
      </c>
      <c r="AD17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20.03</v>
      </c>
      <c r="AE17" s="723">
        <f>Table2523467891011101213121412151615[[#This Row],[Gas Export (MMscf/d)]]</f>
        <v>17.478000000000002</v>
      </c>
      <c r="AF17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17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2.5519999999999996</v>
      </c>
      <c r="AH17" s="142"/>
      <c r="AI17" s="729"/>
      <c r="AJ17" s="763"/>
      <c r="AK17" s="762"/>
      <c r="AL17" s="762"/>
      <c r="AM17" s="762"/>
      <c r="AN17" s="762"/>
      <c r="AO17" s="762"/>
      <c r="AP17" s="762"/>
      <c r="AS17" s="454"/>
      <c r="AT17" s="454"/>
      <c r="AU17" s="454"/>
      <c r="AV17" s="454"/>
      <c r="AW17" s="454"/>
      <c r="AX17" s="454"/>
      <c r="AY17" s="454"/>
    </row>
    <row r="18" spans="2:51" ht="21.6">
      <c r="B18" s="716">
        <v>44422</v>
      </c>
      <c r="C18" s="749">
        <v>21.64</v>
      </c>
      <c r="D18" s="750">
        <v>15.132</v>
      </c>
      <c r="E18" s="751">
        <v>8.9</v>
      </c>
      <c r="F18" s="749">
        <v>3.77</v>
      </c>
      <c r="G18" s="749">
        <f>SUM(Table2523467891011101213121412151615[[#This Row],[Jones Creek Target (Mbopd)]:[Egwa Target (Mbopd)]])</f>
        <v>49.442</v>
      </c>
      <c r="H18" s="752">
        <v>0</v>
      </c>
      <c r="I18" s="752">
        <v>9.3759999999999994</v>
      </c>
      <c r="J18" s="752">
        <v>0</v>
      </c>
      <c r="K18" s="752">
        <v>0</v>
      </c>
      <c r="L18" s="753">
        <f t="shared" si="0"/>
        <v>9.3759999999999994</v>
      </c>
      <c r="M18" s="721">
        <v>17.478000000000002</v>
      </c>
      <c r="N18" s="765">
        <f>Table2523467891011101213121412151615[[#This Row],[Jones Creek Target (Mbopd)]]-Table2523467891011101213121412151615[[#This Row],[Jones Creek (Mbopd)]]</f>
        <v>21.64</v>
      </c>
      <c r="O18" s="723">
        <f>Table2523467891011101213121412151615[[#This Row],[Odidi Target (Mbopd)]]-Table2523467891011101213121412151615[[#This Row],[Odidi (Mbopd)]]</f>
        <v>5.7560000000000002</v>
      </c>
      <c r="P18" s="721">
        <f>Table2523467891011101213121412151615[[#This Row],[Batan Target (Mbopd)]]-Table2523467891011101213121412151615[[#This Row],[Batan (Mbopd)]]</f>
        <v>8.9</v>
      </c>
      <c r="Q18" s="747">
        <f>Table2523467891011101213121412151615[[#This Row],[Egwa Target (Mbopd)]]-Table2523467891011101213121412151615[[#This Row],[Egwa (Mbopd)]]</f>
        <v>3.77</v>
      </c>
      <c r="R18" s="745">
        <v>0</v>
      </c>
      <c r="S18" s="723">
        <v>20.03</v>
      </c>
      <c r="T18" s="723">
        <v>0</v>
      </c>
      <c r="U18" s="747">
        <v>0</v>
      </c>
      <c r="V18" s="746">
        <v>0</v>
      </c>
      <c r="W18" s="723">
        <v>0</v>
      </c>
      <c r="X18" s="723">
        <v>0</v>
      </c>
      <c r="Y18" s="721">
        <v>0</v>
      </c>
      <c r="Z18" s="746">
        <f>Table2523467891011101213121412151615[[#This Row],[J/C Prod gas (MMscf)]]-Table2523467891011101213121412151615[[#This Row],[J/C Utilised gas (MMscf)]]</f>
        <v>0</v>
      </c>
      <c r="AA18" s="723">
        <f>Table2523467891011101213121412151615[[#This Row],[Odid Prod gas (MMscf)]]-Table2523467891011101213121412151615[[#This Row],[Gas Export (MMscf/d)]]-Table2523467891011101213121412151615[[#This Row],[Odid Utilised gas (MMscf)]]</f>
        <v>2.5519999999999996</v>
      </c>
      <c r="AB18" s="723">
        <f>Table2523467891011101213121412151615[[#This Row],[Batn Prod gas (MMscf)]]-Table2523467891011101213121412151615[[#This Row],[Batn Utilised gas (MMscf)]]</f>
        <v>0</v>
      </c>
      <c r="AC18" s="747">
        <f>Table2523467891011101213121412151615[[#This Row],[Egwa Prod gas (MMscf)]]</f>
        <v>0</v>
      </c>
      <c r="AD18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20.03</v>
      </c>
      <c r="AE18" s="723">
        <f>Table2523467891011101213121412151615[[#This Row],[Gas Export (MMscf/d)]]</f>
        <v>17.478000000000002</v>
      </c>
      <c r="AF18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18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2.5519999999999996</v>
      </c>
      <c r="AH18" s="142"/>
      <c r="AI18" s="729"/>
      <c r="AJ18" s="763"/>
      <c r="AK18" s="762"/>
      <c r="AL18" s="762"/>
      <c r="AM18" s="762"/>
      <c r="AN18" s="762"/>
      <c r="AO18" s="762"/>
      <c r="AP18" s="762"/>
      <c r="AS18" s="454"/>
      <c r="AT18" s="454"/>
      <c r="AU18" s="454"/>
      <c r="AV18" s="454"/>
      <c r="AW18" s="454"/>
      <c r="AX18" s="454"/>
      <c r="AY18" s="454"/>
    </row>
    <row r="19" spans="2:51" ht="21.6">
      <c r="B19" s="716">
        <v>44423</v>
      </c>
      <c r="C19" s="749">
        <v>21.64</v>
      </c>
      <c r="D19" s="750">
        <v>15.132</v>
      </c>
      <c r="E19" s="751">
        <v>8.9</v>
      </c>
      <c r="F19" s="749">
        <v>3.77</v>
      </c>
      <c r="G19" s="749">
        <f>SUM(Table2523467891011101213121412151615[[#This Row],[Jones Creek Target (Mbopd)]:[Egwa Target (Mbopd)]])</f>
        <v>49.442</v>
      </c>
      <c r="H19" s="754">
        <v>1.47</v>
      </c>
      <c r="I19" s="752">
        <v>6.4829999999999997</v>
      </c>
      <c r="J19" s="752">
        <v>0</v>
      </c>
      <c r="K19" s="752">
        <v>0</v>
      </c>
      <c r="L19" s="753">
        <f t="shared" si="0"/>
        <v>7.9529999999999994</v>
      </c>
      <c r="M19" s="721">
        <v>7.93</v>
      </c>
      <c r="N19" s="765">
        <f>Table2523467891011101213121412151615[[#This Row],[Jones Creek Target (Mbopd)]]-Table2523467891011101213121412151615[[#This Row],[Jones Creek (Mbopd)]]</f>
        <v>20.170000000000002</v>
      </c>
      <c r="O19" s="723">
        <f>Table2523467891011101213121412151615[[#This Row],[Odidi Target (Mbopd)]]-Table2523467891011101213121412151615[[#This Row],[Odidi (Mbopd)]]</f>
        <v>8.6490000000000009</v>
      </c>
      <c r="P19" s="721">
        <f>Table2523467891011101213121412151615[[#This Row],[Batan Target (Mbopd)]]-Table2523467891011101213121412151615[[#This Row],[Batan (Mbopd)]]</f>
        <v>8.9</v>
      </c>
      <c r="Q19" s="747">
        <f>Table2523467891011101213121412151615[[#This Row],[Egwa Target (Mbopd)]]-Table2523467891011101213121412151615[[#This Row],[Egwa (Mbopd)]]</f>
        <v>3.77</v>
      </c>
      <c r="R19" s="745">
        <v>1.76</v>
      </c>
      <c r="S19" s="723">
        <v>16.22</v>
      </c>
      <c r="T19" s="723">
        <v>0</v>
      </c>
      <c r="U19" s="747">
        <v>0</v>
      </c>
      <c r="V19" s="746">
        <v>0.54</v>
      </c>
      <c r="W19" s="723">
        <v>0</v>
      </c>
      <c r="X19" s="723">
        <v>0</v>
      </c>
      <c r="Y19" s="721">
        <v>0</v>
      </c>
      <c r="Z19" s="746">
        <f>Table2523467891011101213121412151615[[#This Row],[J/C Prod gas (MMscf)]]-Table2523467891011101213121412151615[[#This Row],[J/C Utilised gas (MMscf)]]</f>
        <v>1.22</v>
      </c>
      <c r="AA19" s="723">
        <f>Table2523467891011101213121412151615[[#This Row],[Odid Prod gas (MMscf)]]-Table2523467891011101213121412151615[[#This Row],[Gas Export (MMscf/d)]]-Table2523467891011101213121412151615[[#This Row],[Odid Utilised gas (MMscf)]]</f>
        <v>8.2899999999999991</v>
      </c>
      <c r="AB19" s="723">
        <f>Table2523467891011101213121412151615[[#This Row],[Batn Prod gas (MMscf)]]-Table2523467891011101213121412151615[[#This Row],[Batn Utilised gas (MMscf)]]</f>
        <v>0</v>
      </c>
      <c r="AC19" s="747">
        <f>Table2523467891011101213121412151615[[#This Row],[Egwa Prod gas (MMscf)]]</f>
        <v>0</v>
      </c>
      <c r="AD19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17.98</v>
      </c>
      <c r="AE19" s="723">
        <f>Table2523467891011101213121412151615[[#This Row],[Gas Export (MMscf/d)]]</f>
        <v>7.93</v>
      </c>
      <c r="AF19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0.54</v>
      </c>
      <c r="AG19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9.51</v>
      </c>
      <c r="AH19" s="142"/>
      <c r="AI19" s="729"/>
      <c r="AJ19" s="763"/>
      <c r="AK19" s="762"/>
      <c r="AL19" s="762"/>
      <c r="AM19" s="762"/>
      <c r="AN19" s="762"/>
      <c r="AO19" s="762"/>
      <c r="AP19" s="762"/>
      <c r="AS19" s="454"/>
      <c r="AT19" s="454"/>
      <c r="AU19" s="454"/>
      <c r="AV19" s="454"/>
      <c r="AW19" s="454"/>
      <c r="AX19" s="454"/>
      <c r="AY19" s="454"/>
    </row>
    <row r="20" spans="2:51" ht="21.6">
      <c r="B20" s="716">
        <v>44424</v>
      </c>
      <c r="C20" s="749">
        <v>21.64</v>
      </c>
      <c r="D20" s="750">
        <v>15.132</v>
      </c>
      <c r="E20" s="751">
        <v>8.9</v>
      </c>
      <c r="F20" s="749">
        <v>3.77</v>
      </c>
      <c r="G20" s="749">
        <f>SUM(Table2523467891011101213121412151615[[#This Row],[Jones Creek Target (Mbopd)]:[Egwa Target (Mbopd)]])</f>
        <v>49.442</v>
      </c>
      <c r="H20" s="754">
        <v>1.484</v>
      </c>
      <c r="I20" s="752">
        <v>9.8179999999999996</v>
      </c>
      <c r="J20" s="752">
        <v>0</v>
      </c>
      <c r="K20" s="752">
        <v>0</v>
      </c>
      <c r="L20" s="753">
        <f t="shared" si="0"/>
        <v>11.302</v>
      </c>
      <c r="M20" s="721">
        <v>0</v>
      </c>
      <c r="N20" s="765">
        <f>Table2523467891011101213121412151615[[#This Row],[Jones Creek Target (Mbopd)]]-Table2523467891011101213121412151615[[#This Row],[Jones Creek (Mbopd)]]</f>
        <v>20.155999999999999</v>
      </c>
      <c r="O20" s="723">
        <f>Table2523467891011101213121412151615[[#This Row],[Odidi Target (Mbopd)]]-Table2523467891011101213121412151615[[#This Row],[Odidi (Mbopd)]]</f>
        <v>5.3140000000000001</v>
      </c>
      <c r="P20" s="721">
        <f>Table2523467891011101213121412151615[[#This Row],[Batan Target (Mbopd)]]-Table2523467891011101213121412151615[[#This Row],[Batan (Mbopd)]]</f>
        <v>8.9</v>
      </c>
      <c r="Q20" s="747">
        <f>Table2523467891011101213121412151615[[#This Row],[Egwa Target (Mbopd)]]-Table2523467891011101213121412151615[[#This Row],[Egwa (Mbopd)]]</f>
        <v>3.77</v>
      </c>
      <c r="R20" s="745">
        <v>2.73</v>
      </c>
      <c r="S20" s="723">
        <v>22.96</v>
      </c>
      <c r="T20" s="723">
        <v>0</v>
      </c>
      <c r="U20" s="747">
        <v>0</v>
      </c>
      <c r="V20" s="746">
        <v>0.84</v>
      </c>
      <c r="W20" s="723">
        <v>0</v>
      </c>
      <c r="X20" s="723">
        <v>0</v>
      </c>
      <c r="Y20" s="721">
        <v>0</v>
      </c>
      <c r="Z20" s="746">
        <f>Table2523467891011101213121412151615[[#This Row],[J/C Prod gas (MMscf)]]-Table2523467891011101213121412151615[[#This Row],[J/C Utilised gas (MMscf)]]</f>
        <v>1.8900000000000001</v>
      </c>
      <c r="AA20" s="723">
        <f>Table2523467891011101213121412151615[[#This Row],[Odid Prod gas (MMscf)]]-Table2523467891011101213121412151615[[#This Row],[Gas Export (MMscf/d)]]-Table2523467891011101213121412151615[[#This Row],[Odid Utilised gas (MMscf)]]</f>
        <v>22.96</v>
      </c>
      <c r="AB20" s="723">
        <f>Table2523467891011101213121412151615[[#This Row],[Batn Prod gas (MMscf)]]-Table2523467891011101213121412151615[[#This Row],[Batn Utilised gas (MMscf)]]</f>
        <v>0</v>
      </c>
      <c r="AC20" s="747">
        <f>Table2523467891011101213121412151615[[#This Row],[Egwa Prod gas (MMscf)]]</f>
        <v>0</v>
      </c>
      <c r="AD20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25.69</v>
      </c>
      <c r="AE20" s="723">
        <f>Table2523467891011101213121412151615[[#This Row],[Gas Export (MMscf/d)]]</f>
        <v>0</v>
      </c>
      <c r="AF20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0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24.85</v>
      </c>
      <c r="AH20" s="142"/>
      <c r="AI20" s="729"/>
      <c r="AJ20" s="763"/>
      <c r="AK20" s="762"/>
      <c r="AL20" s="762"/>
      <c r="AM20" s="762"/>
      <c r="AN20" s="762"/>
      <c r="AO20" s="762"/>
      <c r="AP20" s="762"/>
      <c r="AS20" s="454"/>
      <c r="AT20" s="454"/>
      <c r="AU20" s="454"/>
      <c r="AV20" s="454"/>
      <c r="AW20" s="454"/>
      <c r="AX20" s="454"/>
      <c r="AY20" s="454"/>
    </row>
    <row r="21" spans="2:51" ht="21.6">
      <c r="B21" s="716">
        <v>44425</v>
      </c>
      <c r="C21" s="749">
        <v>21.64</v>
      </c>
      <c r="D21" s="750">
        <v>15.132</v>
      </c>
      <c r="E21" s="751">
        <v>8.9</v>
      </c>
      <c r="F21" s="749">
        <v>3.77</v>
      </c>
      <c r="G21" s="749">
        <f>SUM(Table2523467891011101213121412151615[[#This Row],[Jones Creek Target (Mbopd)]:[Egwa Target (Mbopd)]])</f>
        <v>49.442</v>
      </c>
      <c r="H21" s="752">
        <v>1.492</v>
      </c>
      <c r="I21" s="752">
        <v>9.7690000000000001</v>
      </c>
      <c r="J21" s="752">
        <v>0</v>
      </c>
      <c r="K21" s="752">
        <v>0</v>
      </c>
      <c r="L21" s="753">
        <f t="shared" si="0"/>
        <v>11.260999999999999</v>
      </c>
      <c r="M21" s="721">
        <v>0</v>
      </c>
      <c r="N21" s="765">
        <f>Table2523467891011101213121412151615[[#This Row],[Jones Creek Target (Mbopd)]]-Table2523467891011101213121412151615[[#This Row],[Jones Creek (Mbopd)]]</f>
        <v>20.148</v>
      </c>
      <c r="O21" s="723">
        <f>Table2523467891011101213121412151615[[#This Row],[Odidi Target (Mbopd)]]-Table2523467891011101213121412151615[[#This Row],[Odidi (Mbopd)]]</f>
        <v>5.3629999999999995</v>
      </c>
      <c r="P21" s="721">
        <f>Table2523467891011101213121412151615[[#This Row],[Batan Target (Mbopd)]]-Table2523467891011101213121412151615[[#This Row],[Batan (Mbopd)]]</f>
        <v>8.9</v>
      </c>
      <c r="Q21" s="747">
        <f>Table2523467891011101213121412151615[[#This Row],[Egwa Target (Mbopd)]]-Table2523467891011101213121412151615[[#This Row],[Egwa (Mbopd)]]</f>
        <v>3.77</v>
      </c>
      <c r="R21" s="745">
        <v>2.7675000000000001</v>
      </c>
      <c r="S21" s="723">
        <v>20.04</v>
      </c>
      <c r="T21" s="723">
        <v>0</v>
      </c>
      <c r="U21" s="747">
        <v>0</v>
      </c>
      <c r="V21" s="746">
        <v>0.84</v>
      </c>
      <c r="W21" s="723">
        <v>0</v>
      </c>
      <c r="X21" s="723">
        <v>0</v>
      </c>
      <c r="Y21" s="721">
        <v>0</v>
      </c>
      <c r="Z21" s="746">
        <f>Table2523467891011101213121412151615[[#This Row],[J/C Prod gas (MMscf)]]-Table2523467891011101213121412151615[[#This Row],[J/C Utilised gas (MMscf)]]</f>
        <v>1.9275000000000002</v>
      </c>
      <c r="AA21" s="723">
        <f>Table2523467891011101213121412151615[[#This Row],[Odid Prod gas (MMscf)]]-Table2523467891011101213121412151615[[#This Row],[Gas Export (MMscf/d)]]-Table2523467891011101213121412151615[[#This Row],[Odid Utilised gas (MMscf)]]</f>
        <v>20.04</v>
      </c>
      <c r="AB21" s="723">
        <f>Table2523467891011101213121412151615[[#This Row],[Batn Prod gas (MMscf)]]-Table2523467891011101213121412151615[[#This Row],[Batn Utilised gas (MMscf)]]</f>
        <v>0</v>
      </c>
      <c r="AC21" s="747">
        <f>Table2523467891011101213121412151615[[#This Row],[Egwa Prod gas (MMscf)]]</f>
        <v>0</v>
      </c>
      <c r="AD21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22.807499999999997</v>
      </c>
      <c r="AE21" s="723">
        <f>Table2523467891011101213121412151615[[#This Row],[Gas Export (MMscf/d)]]</f>
        <v>0</v>
      </c>
      <c r="AF21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1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21.967500000000001</v>
      </c>
      <c r="AH21" s="142"/>
      <c r="AI21" s="729"/>
      <c r="AJ21" s="763"/>
      <c r="AK21" s="762"/>
      <c r="AL21" s="762"/>
      <c r="AM21" s="762"/>
      <c r="AN21" s="762"/>
      <c r="AO21" s="762"/>
      <c r="AP21" s="762"/>
      <c r="AS21" s="454"/>
      <c r="AT21" s="454"/>
      <c r="AU21" s="454"/>
      <c r="AV21" s="454"/>
      <c r="AW21" s="454"/>
      <c r="AX21" s="454"/>
      <c r="AY21" s="454"/>
    </row>
    <row r="22" spans="2:51" ht="21.6">
      <c r="B22" s="716">
        <v>44426</v>
      </c>
      <c r="C22" s="749">
        <v>21.64</v>
      </c>
      <c r="D22" s="750">
        <v>15.132</v>
      </c>
      <c r="E22" s="751">
        <v>8.9</v>
      </c>
      <c r="F22" s="749">
        <v>3.77</v>
      </c>
      <c r="G22" s="749">
        <f>SUM(Table2523467891011101213121412151615[[#This Row],[Jones Creek Target (Mbopd)]:[Egwa Target (Mbopd)]])</f>
        <v>49.442</v>
      </c>
      <c r="H22" s="752">
        <v>2.577</v>
      </c>
      <c r="I22" s="752">
        <v>9.4779999999999998</v>
      </c>
      <c r="J22" s="752">
        <v>0</v>
      </c>
      <c r="K22" s="752">
        <v>0</v>
      </c>
      <c r="L22" s="753">
        <f t="shared" si="0"/>
        <v>12.055</v>
      </c>
      <c r="M22" s="721">
        <v>12.39</v>
      </c>
      <c r="N22" s="765">
        <f>Table2523467891011101213121412151615[[#This Row],[Jones Creek Target (Mbopd)]]-Table2523467891011101213121412151615[[#This Row],[Jones Creek (Mbopd)]]</f>
        <v>19.063000000000002</v>
      </c>
      <c r="O22" s="723">
        <f>Table2523467891011101213121412151615[[#This Row],[Odidi Target (Mbopd)]]-Table2523467891011101213121412151615[[#This Row],[Odidi (Mbopd)]]</f>
        <v>5.6539999999999999</v>
      </c>
      <c r="P22" s="721">
        <f>Table2523467891011101213121412151615[[#This Row],[Batan Target (Mbopd)]]-Table2523467891011101213121412151615[[#This Row],[Batan (Mbopd)]]</f>
        <v>8.9</v>
      </c>
      <c r="Q22" s="747">
        <f>Table2523467891011101213121412151615[[#This Row],[Egwa Target (Mbopd)]]-Table2523467891011101213121412151615[[#This Row],[Egwa (Mbopd)]]</f>
        <v>3.77</v>
      </c>
      <c r="R22" s="745">
        <v>3.3460000000000001</v>
      </c>
      <c r="S22" s="723">
        <v>23.31</v>
      </c>
      <c r="T22" s="723">
        <v>0</v>
      </c>
      <c r="U22" s="747">
        <v>0</v>
      </c>
      <c r="V22" s="746">
        <v>0.84</v>
      </c>
      <c r="W22" s="723">
        <v>0</v>
      </c>
      <c r="X22" s="723">
        <v>0</v>
      </c>
      <c r="Y22" s="721">
        <v>0</v>
      </c>
      <c r="Z22" s="746">
        <f>Table2523467891011101213121412151615[[#This Row],[J/C Prod gas (MMscf)]]-Table2523467891011101213121412151615[[#This Row],[J/C Utilised gas (MMscf)]]</f>
        <v>2.5060000000000002</v>
      </c>
      <c r="AA22" s="723">
        <f>Table2523467891011101213121412151615[[#This Row],[Odid Prod gas (MMscf)]]-Table2523467891011101213121412151615[[#This Row],[Gas Export (MMscf/d)]]-Table2523467891011101213121412151615[[#This Row],[Odid Utilised gas (MMscf)]]</f>
        <v>10.919999999999998</v>
      </c>
      <c r="AB22" s="723">
        <f>Table2523467891011101213121412151615[[#This Row],[Batn Prod gas (MMscf)]]-Table2523467891011101213121412151615[[#This Row],[Batn Utilised gas (MMscf)]]</f>
        <v>0</v>
      </c>
      <c r="AC22" s="747">
        <f>Table2523467891011101213121412151615[[#This Row],[Egwa Prod gas (MMscf)]]</f>
        <v>0</v>
      </c>
      <c r="AD22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26.655999999999999</v>
      </c>
      <c r="AE22" s="723">
        <f>Table2523467891011101213121412151615[[#This Row],[Gas Export (MMscf/d)]]</f>
        <v>12.39</v>
      </c>
      <c r="AF22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2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13.425999999999998</v>
      </c>
      <c r="AH22" s="142"/>
      <c r="AI22" s="729"/>
      <c r="AJ22" s="763"/>
      <c r="AK22" s="762"/>
      <c r="AL22" s="762"/>
      <c r="AM22" s="762"/>
      <c r="AN22" s="762"/>
      <c r="AO22" s="762"/>
      <c r="AP22" s="762"/>
      <c r="AS22" s="454"/>
      <c r="AT22" s="454"/>
      <c r="AU22" s="454"/>
      <c r="AV22" s="454"/>
      <c r="AW22" s="454"/>
      <c r="AX22" s="454"/>
      <c r="AY22" s="454"/>
    </row>
    <row r="23" spans="2:51" ht="21.6">
      <c r="B23" s="716">
        <v>44427</v>
      </c>
      <c r="C23" s="749">
        <v>21.64</v>
      </c>
      <c r="D23" s="750">
        <v>15.132</v>
      </c>
      <c r="E23" s="751">
        <v>8.9</v>
      </c>
      <c r="F23" s="749">
        <v>3.77</v>
      </c>
      <c r="G23" s="749">
        <f>SUM(Table2523467891011101213121412151615[[#This Row],[Jones Creek Target (Mbopd)]:[Egwa Target (Mbopd)]])</f>
        <v>49.442</v>
      </c>
      <c r="H23" s="752">
        <v>4.4710000000000001</v>
      </c>
      <c r="I23" s="752">
        <v>11.881</v>
      </c>
      <c r="J23" s="752">
        <v>0</v>
      </c>
      <c r="K23" s="752">
        <v>0</v>
      </c>
      <c r="L23" s="753">
        <f t="shared" si="0"/>
        <v>16.352</v>
      </c>
      <c r="M23" s="721">
        <v>21.126000000000001</v>
      </c>
      <c r="N23" s="765">
        <f>Table2523467891011101213121412151615[[#This Row],[Jones Creek Target (Mbopd)]]-Table2523467891011101213121412151615[[#This Row],[Jones Creek (Mbopd)]]</f>
        <v>17.169</v>
      </c>
      <c r="O23" s="723">
        <f>Table2523467891011101213121412151615[[#This Row],[Odidi Target (Mbopd)]]-Table2523467891011101213121412151615[[#This Row],[Odidi (Mbopd)]]</f>
        <v>3.2509999999999994</v>
      </c>
      <c r="P23" s="721">
        <f>Table2523467891011101213121412151615[[#This Row],[Batan Target (Mbopd)]]-Table2523467891011101213121412151615[[#This Row],[Batan (Mbopd)]]</f>
        <v>8.9</v>
      </c>
      <c r="Q23" s="747">
        <f>Table2523467891011101213121412151615[[#This Row],[Egwa Target (Mbopd)]]-Table2523467891011101213121412151615[[#This Row],[Egwa (Mbopd)]]</f>
        <v>3.77</v>
      </c>
      <c r="R23" s="745">
        <v>3.4649999999999999</v>
      </c>
      <c r="S23" s="723">
        <v>28.63</v>
      </c>
      <c r="T23" s="723">
        <v>0</v>
      </c>
      <c r="U23" s="747">
        <v>0</v>
      </c>
      <c r="V23" s="746">
        <v>0.84</v>
      </c>
      <c r="W23" s="723">
        <v>0</v>
      </c>
      <c r="X23" s="723">
        <v>0</v>
      </c>
      <c r="Y23" s="721">
        <v>0</v>
      </c>
      <c r="Z23" s="746">
        <f>Table2523467891011101213121412151615[[#This Row],[J/C Prod gas (MMscf)]]-Table2523467891011101213121412151615[[#This Row],[J/C Utilised gas (MMscf)]]</f>
        <v>2.625</v>
      </c>
      <c r="AA23" s="723">
        <f>Table2523467891011101213121412151615[[#This Row],[Odid Prod gas (MMscf)]]-Table2523467891011101213121412151615[[#This Row],[Gas Export (MMscf/d)]]-Table2523467891011101213121412151615[[#This Row],[Odid Utilised gas (MMscf)]]</f>
        <v>7.5039999999999978</v>
      </c>
      <c r="AB23" s="723">
        <f>Table2523467891011101213121412151615[[#This Row],[Batn Prod gas (MMscf)]]-Table2523467891011101213121412151615[[#This Row],[Batn Utilised gas (MMscf)]]</f>
        <v>0</v>
      </c>
      <c r="AC23" s="747">
        <f>Table2523467891011101213121412151615[[#This Row],[Egwa Prod gas (MMscf)]]</f>
        <v>0</v>
      </c>
      <c r="AD23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32.094999999999999</v>
      </c>
      <c r="AE23" s="723">
        <f>Table2523467891011101213121412151615[[#This Row],[Gas Export (MMscf/d)]]</f>
        <v>21.126000000000001</v>
      </c>
      <c r="AF23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3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10.128999999999998</v>
      </c>
      <c r="AH23" s="142"/>
      <c r="AI23" s="729"/>
      <c r="AJ23" s="763"/>
      <c r="AK23" s="762"/>
      <c r="AL23" s="762"/>
      <c r="AM23" s="762"/>
      <c r="AN23" s="762"/>
      <c r="AO23" s="762"/>
      <c r="AP23" s="762"/>
      <c r="AS23" s="454"/>
      <c r="AT23" s="454"/>
      <c r="AU23" s="454"/>
      <c r="AV23" s="454"/>
      <c r="AW23" s="454"/>
      <c r="AX23" s="454"/>
      <c r="AY23" s="454"/>
    </row>
    <row r="24" spans="2:51" ht="21.6">
      <c r="B24" s="716">
        <v>44428</v>
      </c>
      <c r="C24" s="749">
        <v>21.64</v>
      </c>
      <c r="D24" s="750">
        <v>15.132</v>
      </c>
      <c r="E24" s="751">
        <v>8.9</v>
      </c>
      <c r="F24" s="749">
        <v>3.77</v>
      </c>
      <c r="G24" s="749">
        <f>SUM(Table2523467891011101213121412151615[[#This Row],[Jones Creek Target (Mbopd)]:[Egwa Target (Mbopd)]])</f>
        <v>49.442</v>
      </c>
      <c r="H24" s="752">
        <v>3.766</v>
      </c>
      <c r="I24" s="752">
        <v>14.368</v>
      </c>
      <c r="J24" s="752">
        <v>0</v>
      </c>
      <c r="K24" s="752">
        <v>0</v>
      </c>
      <c r="L24" s="753">
        <f t="shared" si="0"/>
        <v>18.134</v>
      </c>
      <c r="M24" s="721">
        <v>23.408999999999999</v>
      </c>
      <c r="N24" s="765">
        <f>Table2523467891011101213121412151615[[#This Row],[Jones Creek Target (Mbopd)]]-Table2523467891011101213121412151615[[#This Row],[Jones Creek (Mbopd)]]</f>
        <v>17.874000000000002</v>
      </c>
      <c r="O24" s="723">
        <f>Table2523467891011101213121412151615[[#This Row],[Odidi Target (Mbopd)]]-Table2523467891011101213121412151615[[#This Row],[Odidi (Mbopd)]]</f>
        <v>0.76399999999999935</v>
      </c>
      <c r="P24" s="721">
        <f>Table2523467891011101213121412151615[[#This Row],[Batan Target (Mbopd)]]-Table2523467891011101213121412151615[[#This Row],[Batan (Mbopd)]]</f>
        <v>8.9</v>
      </c>
      <c r="Q24" s="747">
        <f>Table2523467891011101213121412151615[[#This Row],[Egwa Target (Mbopd)]]-Table2523467891011101213121412151615[[#This Row],[Egwa (Mbopd)]]</f>
        <v>3.77</v>
      </c>
      <c r="R24" s="745">
        <v>3.4647999999999999</v>
      </c>
      <c r="S24" s="723">
        <v>30.44</v>
      </c>
      <c r="T24" s="723">
        <v>0</v>
      </c>
      <c r="U24" s="747">
        <v>0</v>
      </c>
      <c r="V24" s="746">
        <v>0.84</v>
      </c>
      <c r="W24" s="723">
        <v>0</v>
      </c>
      <c r="X24" s="723">
        <v>0</v>
      </c>
      <c r="Y24" s="721">
        <v>0</v>
      </c>
      <c r="Z24" s="746">
        <f>Table2523467891011101213121412151615[[#This Row],[J/C Prod gas (MMscf)]]-Table2523467891011101213121412151615[[#This Row],[J/C Utilised gas (MMscf)]]</f>
        <v>2.6248</v>
      </c>
      <c r="AA24" s="723">
        <f>Table2523467891011101213121412151615[[#This Row],[Odid Prod gas (MMscf)]]-Table2523467891011101213121412151615[[#This Row],[Gas Export (MMscf/d)]]-Table2523467891011101213121412151615[[#This Row],[Odid Utilised gas (MMscf)]]</f>
        <v>7.0310000000000024</v>
      </c>
      <c r="AB24" s="723">
        <f>Table2523467891011101213121412151615[[#This Row],[Batn Prod gas (MMscf)]]-Table2523467891011101213121412151615[[#This Row],[Batn Utilised gas (MMscf)]]</f>
        <v>0</v>
      </c>
      <c r="AC24" s="747">
        <f>Table2523467891011101213121412151615[[#This Row],[Egwa Prod gas (MMscf)]]</f>
        <v>0</v>
      </c>
      <c r="AD24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33.904800000000002</v>
      </c>
      <c r="AE24" s="723">
        <f>Table2523467891011101213121412151615[[#This Row],[Gas Export (MMscf/d)]]</f>
        <v>23.408999999999999</v>
      </c>
      <c r="AF24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4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9.6558000000000028</v>
      </c>
      <c r="AH24" s="142"/>
      <c r="AI24" s="729"/>
      <c r="AJ24" s="763"/>
      <c r="AK24" s="762"/>
      <c r="AL24" s="762"/>
      <c r="AM24" s="762"/>
      <c r="AN24" s="762"/>
      <c r="AO24" s="762"/>
      <c r="AP24" s="762"/>
      <c r="AS24" s="454"/>
      <c r="AT24" s="454"/>
      <c r="AU24" s="454"/>
      <c r="AV24" s="454"/>
      <c r="AW24" s="454"/>
      <c r="AX24" s="454"/>
      <c r="AY24" s="454"/>
    </row>
    <row r="25" spans="2:51" ht="21.6">
      <c r="B25" s="716">
        <v>44429</v>
      </c>
      <c r="C25" s="749">
        <v>21.64</v>
      </c>
      <c r="D25" s="750">
        <v>15.132</v>
      </c>
      <c r="E25" s="751">
        <v>8.9</v>
      </c>
      <c r="F25" s="749">
        <v>3.77</v>
      </c>
      <c r="G25" s="749">
        <f>SUM(Table2523467891011101213121412151615[[#This Row],[Jones Creek Target (Mbopd)]:[Egwa Target (Mbopd)]])</f>
        <v>49.442</v>
      </c>
      <c r="H25" s="752">
        <v>3.903</v>
      </c>
      <c r="I25" s="752">
        <v>12.567</v>
      </c>
      <c r="J25" s="752">
        <v>0</v>
      </c>
      <c r="K25" s="752">
        <v>0</v>
      </c>
      <c r="L25" s="753">
        <f t="shared" si="0"/>
        <v>16.47</v>
      </c>
      <c r="M25" s="721">
        <v>24.824000000000002</v>
      </c>
      <c r="N25" s="765">
        <f>Table2523467891011101213121412151615[[#This Row],[Jones Creek Target (Mbopd)]]-Table2523467891011101213121412151615[[#This Row],[Jones Creek (Mbopd)]]</f>
        <v>17.737000000000002</v>
      </c>
      <c r="O25" s="723">
        <f>Table2523467891011101213121412151615[[#This Row],[Odidi Target (Mbopd)]]-Table2523467891011101213121412151615[[#This Row],[Odidi (Mbopd)]]</f>
        <v>2.5649999999999995</v>
      </c>
      <c r="P25" s="721">
        <f>Table2523467891011101213121412151615[[#This Row],[Batan Target (Mbopd)]]-Table2523467891011101213121412151615[[#This Row],[Batan (Mbopd)]]</f>
        <v>8.9</v>
      </c>
      <c r="Q25" s="747">
        <f>Table2523467891011101213121412151615[[#This Row],[Egwa Target (Mbopd)]]-Table2523467891011101213121412151615[[#This Row],[Egwa (Mbopd)]]</f>
        <v>3.77</v>
      </c>
      <c r="R25" s="745">
        <v>3.4647999999999999</v>
      </c>
      <c r="S25" s="723">
        <v>31.78</v>
      </c>
      <c r="T25" s="723">
        <v>0</v>
      </c>
      <c r="U25" s="747">
        <v>0</v>
      </c>
      <c r="V25" s="746">
        <v>0.84</v>
      </c>
      <c r="W25" s="723">
        <v>0</v>
      </c>
      <c r="X25" s="723">
        <v>0</v>
      </c>
      <c r="Y25" s="721">
        <v>0</v>
      </c>
      <c r="Z25" s="746">
        <f>Table2523467891011101213121412151615[[#This Row],[J/C Prod gas (MMscf)]]-Table2523467891011101213121412151615[[#This Row],[J/C Utilised gas (MMscf)]]</f>
        <v>2.6248</v>
      </c>
      <c r="AA25" s="723">
        <f>Table2523467891011101213121412151615[[#This Row],[Odid Prod gas (MMscf)]]-Table2523467891011101213121412151615[[#This Row],[Gas Export (MMscf/d)]]-Table2523467891011101213121412151615[[#This Row],[Odid Utilised gas (MMscf)]]</f>
        <v>6.9559999999999995</v>
      </c>
      <c r="AB25" s="723">
        <f>Table2523467891011101213121412151615[[#This Row],[Batn Prod gas (MMscf)]]-Table2523467891011101213121412151615[[#This Row],[Batn Utilised gas (MMscf)]]</f>
        <v>0</v>
      </c>
      <c r="AC25" s="747">
        <f>Table2523467891011101213121412151615[[#This Row],[Egwa Prod gas (MMscf)]]</f>
        <v>0</v>
      </c>
      <c r="AD25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35.244799999999998</v>
      </c>
      <c r="AE25" s="723">
        <f>Table2523467891011101213121412151615[[#This Row],[Gas Export (MMscf/d)]]</f>
        <v>24.824000000000002</v>
      </c>
      <c r="AF25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5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9.5808</v>
      </c>
      <c r="AH25" s="142"/>
      <c r="AI25" s="729"/>
      <c r="AJ25" s="763"/>
      <c r="AK25" s="762"/>
      <c r="AL25" s="762"/>
      <c r="AM25" s="762"/>
      <c r="AN25" s="762"/>
      <c r="AO25" s="762"/>
      <c r="AP25" s="762"/>
      <c r="AS25" s="454"/>
      <c r="AT25" s="454"/>
      <c r="AU25" s="454"/>
      <c r="AV25" s="454"/>
      <c r="AW25" s="454"/>
      <c r="AX25" s="454"/>
      <c r="AY25" s="454"/>
    </row>
    <row r="26" spans="2:51" ht="21.6">
      <c r="B26" s="716">
        <v>44430</v>
      </c>
      <c r="C26" s="749">
        <v>21.64</v>
      </c>
      <c r="D26" s="750">
        <v>15.132</v>
      </c>
      <c r="E26" s="751">
        <v>8.9</v>
      </c>
      <c r="F26" s="749">
        <v>3.77</v>
      </c>
      <c r="G26" s="749">
        <f>SUM(Table2523467891011101213121412151615[[#This Row],[Jones Creek Target (Mbopd)]:[Egwa Target (Mbopd)]])</f>
        <v>49.442</v>
      </c>
      <c r="H26" s="752">
        <v>6.14</v>
      </c>
      <c r="I26" s="752">
        <v>12.074</v>
      </c>
      <c r="J26" s="752">
        <v>0</v>
      </c>
      <c r="K26" s="752">
        <v>1.8580000000000001</v>
      </c>
      <c r="L26" s="753">
        <f t="shared" si="0"/>
        <v>20.071999999999999</v>
      </c>
      <c r="M26" s="721">
        <v>23.795999999999999</v>
      </c>
      <c r="N26" s="765">
        <f>Table2523467891011101213121412151615[[#This Row],[Jones Creek Target (Mbopd)]]-Table2523467891011101213121412151615[[#This Row],[Jones Creek (Mbopd)]]</f>
        <v>15.5</v>
      </c>
      <c r="O26" s="723">
        <f>Table2523467891011101213121412151615[[#This Row],[Odidi Target (Mbopd)]]-Table2523467891011101213121412151615[[#This Row],[Odidi (Mbopd)]]</f>
        <v>3.0579999999999998</v>
      </c>
      <c r="P26" s="721">
        <f>Table2523467891011101213121412151615[[#This Row],[Batan Target (Mbopd)]]-Table2523467891011101213121412151615[[#This Row],[Batan (Mbopd)]]</f>
        <v>8.9</v>
      </c>
      <c r="Q26" s="747">
        <f>Table2523467891011101213121412151615[[#This Row],[Egwa Target (Mbopd)]]-Table2523467891011101213121412151615[[#This Row],[Egwa (Mbopd)]]</f>
        <v>1.9119999999999999</v>
      </c>
      <c r="R26" s="745">
        <v>3.46</v>
      </c>
      <c r="S26" s="723">
        <v>32.33</v>
      </c>
      <c r="T26" s="723">
        <v>0</v>
      </c>
      <c r="U26" s="747">
        <v>0.64</v>
      </c>
      <c r="V26" s="746">
        <v>0.84</v>
      </c>
      <c r="W26" s="723">
        <v>0</v>
      </c>
      <c r="X26" s="723">
        <v>0</v>
      </c>
      <c r="Y26" s="721">
        <v>0</v>
      </c>
      <c r="Z26" s="746">
        <f>Table2523467891011101213121412151615[[#This Row],[J/C Prod gas (MMscf)]]-Table2523467891011101213121412151615[[#This Row],[J/C Utilised gas (MMscf)]]</f>
        <v>2.62</v>
      </c>
      <c r="AA26" s="723">
        <f>Table2523467891011101213121412151615[[#This Row],[Odid Prod gas (MMscf)]]-Table2523467891011101213121412151615[[#This Row],[Gas Export (MMscf/d)]]-Table2523467891011101213121412151615[[#This Row],[Odid Utilised gas (MMscf)]]</f>
        <v>8.5339999999999989</v>
      </c>
      <c r="AB26" s="723">
        <f>Table2523467891011101213121412151615[[#This Row],[Batn Prod gas (MMscf)]]-Table2523467891011101213121412151615[[#This Row],[Batn Utilised gas (MMscf)]]</f>
        <v>0</v>
      </c>
      <c r="AC26" s="747">
        <f>Table2523467891011101213121412151615[[#This Row],[Egwa Prod gas (MMscf)]]</f>
        <v>0.64</v>
      </c>
      <c r="AD26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36.43</v>
      </c>
      <c r="AE26" s="723">
        <f>Table2523467891011101213121412151615[[#This Row],[Gas Export (MMscf/d)]]</f>
        <v>23.795999999999999</v>
      </c>
      <c r="AF26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6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11.794</v>
      </c>
      <c r="AH26" s="142"/>
      <c r="AI26" s="729"/>
      <c r="AJ26" s="763"/>
      <c r="AK26" s="762"/>
      <c r="AL26" s="762"/>
      <c r="AM26" s="762"/>
      <c r="AN26" s="762"/>
      <c r="AO26" s="762"/>
      <c r="AP26" s="762"/>
      <c r="AS26" s="454"/>
      <c r="AT26" s="454"/>
      <c r="AU26" s="454"/>
      <c r="AV26" s="454"/>
      <c r="AW26" s="454"/>
      <c r="AX26" s="454"/>
      <c r="AY26" s="454"/>
    </row>
    <row r="27" spans="2:51" ht="21.6">
      <c r="B27" s="716">
        <v>44431</v>
      </c>
      <c r="C27" s="749">
        <v>21.64</v>
      </c>
      <c r="D27" s="750">
        <v>15.132</v>
      </c>
      <c r="E27" s="751">
        <v>8.9</v>
      </c>
      <c r="F27" s="749">
        <v>3.77</v>
      </c>
      <c r="G27" s="749">
        <f>SUM(Table2523467891011101213121412151615[[#This Row],[Jones Creek Target (Mbopd)]:[Egwa Target (Mbopd)]])</f>
        <v>49.442</v>
      </c>
      <c r="H27" s="752">
        <v>12.417</v>
      </c>
      <c r="I27" s="752">
        <v>11.515000000000001</v>
      </c>
      <c r="J27" s="752">
        <v>0</v>
      </c>
      <c r="K27" s="752">
        <v>3.081</v>
      </c>
      <c r="L27" s="753">
        <f t="shared" si="0"/>
        <v>27.013000000000002</v>
      </c>
      <c r="M27" s="721">
        <v>24.216000000000001</v>
      </c>
      <c r="N27" s="765">
        <f>Table2523467891011101213121412151615[[#This Row],[Jones Creek Target (Mbopd)]]-Table2523467891011101213121412151615[[#This Row],[Jones Creek (Mbopd)]]</f>
        <v>9.2230000000000008</v>
      </c>
      <c r="O27" s="723">
        <f>Table2523467891011101213121412151615[[#This Row],[Odidi Target (Mbopd)]]-Table2523467891011101213121412151615[[#This Row],[Odidi (Mbopd)]]</f>
        <v>3.6169999999999991</v>
      </c>
      <c r="P27" s="721">
        <f>Table2523467891011101213121412151615[[#This Row],[Batan Target (Mbopd)]]-Table2523467891011101213121412151615[[#This Row],[Batan (Mbopd)]]</f>
        <v>8.9</v>
      </c>
      <c r="Q27" s="747">
        <f>Table2523467891011101213121412151615[[#This Row],[Egwa Target (Mbopd)]]-Table2523467891011101213121412151615[[#This Row],[Egwa (Mbopd)]]</f>
        <v>0.68900000000000006</v>
      </c>
      <c r="R27" s="745">
        <v>6.1417999999999999</v>
      </c>
      <c r="S27" s="723">
        <v>32.33</v>
      </c>
      <c r="T27" s="723">
        <v>0</v>
      </c>
      <c r="U27" s="747">
        <v>0.999</v>
      </c>
      <c r="V27" s="746">
        <v>0.84</v>
      </c>
      <c r="W27" s="723">
        <v>0</v>
      </c>
      <c r="X27" s="723">
        <v>0</v>
      </c>
      <c r="Y27" s="721">
        <v>0</v>
      </c>
      <c r="Z27" s="746">
        <f>Table2523467891011101213121412151615[[#This Row],[J/C Prod gas (MMscf)]]-Table2523467891011101213121412151615[[#This Row],[J/C Utilised gas (MMscf)]]</f>
        <v>5.3018000000000001</v>
      </c>
      <c r="AA27" s="723">
        <f>Table2523467891011101213121412151615[[#This Row],[Odid Prod gas (MMscf)]]-Table2523467891011101213121412151615[[#This Row],[Gas Export (MMscf/d)]]-Table2523467891011101213121412151615[[#This Row],[Odid Utilised gas (MMscf)]]</f>
        <v>8.1139999999999972</v>
      </c>
      <c r="AB27" s="723">
        <f>Table2523467891011101213121412151615[[#This Row],[Batn Prod gas (MMscf)]]-Table2523467891011101213121412151615[[#This Row],[Batn Utilised gas (MMscf)]]</f>
        <v>0</v>
      </c>
      <c r="AC27" s="747">
        <f>Table2523467891011101213121412151615[[#This Row],[Egwa Prod gas (MMscf)]]</f>
        <v>0.999</v>
      </c>
      <c r="AD27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39.470800000000004</v>
      </c>
      <c r="AE27" s="723">
        <f>Table2523467891011101213121412151615[[#This Row],[Gas Export (MMscf/d)]]</f>
        <v>24.216000000000001</v>
      </c>
      <c r="AF27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7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14.414799999999998</v>
      </c>
      <c r="AH27" s="142"/>
      <c r="AI27" s="729"/>
      <c r="AJ27" s="763"/>
      <c r="AK27" s="762"/>
      <c r="AL27" s="762"/>
      <c r="AM27" s="762"/>
      <c r="AN27" s="762"/>
      <c r="AO27" s="762"/>
      <c r="AP27" s="762"/>
      <c r="AS27" s="454"/>
      <c r="AT27" s="454"/>
      <c r="AU27" s="454"/>
      <c r="AV27" s="454"/>
      <c r="AW27" s="454"/>
      <c r="AX27" s="454"/>
      <c r="AY27" s="454"/>
    </row>
    <row r="28" spans="2:51" ht="21.6">
      <c r="B28" s="716">
        <v>44432</v>
      </c>
      <c r="C28" s="749">
        <v>21.64</v>
      </c>
      <c r="D28" s="750">
        <v>15.132</v>
      </c>
      <c r="E28" s="751">
        <v>8.9</v>
      </c>
      <c r="F28" s="749">
        <v>3.77</v>
      </c>
      <c r="G28" s="749">
        <f>SUM(Table2523467891011101213121412151615[[#This Row],[Jones Creek Target (Mbopd)]:[Egwa Target (Mbopd)]])</f>
        <v>49.442</v>
      </c>
      <c r="H28" s="752">
        <v>20.559000000000001</v>
      </c>
      <c r="I28" s="752">
        <v>11.912000000000001</v>
      </c>
      <c r="J28" s="752">
        <v>0</v>
      </c>
      <c r="K28" s="752">
        <v>3.2559999999999998</v>
      </c>
      <c r="L28" s="753">
        <f t="shared" si="0"/>
        <v>35.727000000000004</v>
      </c>
      <c r="M28" s="721">
        <v>13.625999999999999</v>
      </c>
      <c r="N28" s="765">
        <f>Table2523467891011101213121412151615[[#This Row],[Jones Creek Target (Mbopd)]]-Table2523467891011101213121412151615[[#This Row],[Jones Creek (Mbopd)]]</f>
        <v>1.0809999999999995</v>
      </c>
      <c r="O28" s="723">
        <f>Table2523467891011101213121412151615[[#This Row],[Odidi Target (Mbopd)]]-Table2523467891011101213121412151615[[#This Row],[Odidi (Mbopd)]]</f>
        <v>3.2199999999999989</v>
      </c>
      <c r="P28" s="721">
        <f>Table2523467891011101213121412151615[[#This Row],[Batan Target (Mbopd)]]-Table2523467891011101213121412151615[[#This Row],[Batan (Mbopd)]]</f>
        <v>8.9</v>
      </c>
      <c r="Q28" s="747">
        <f>Table2523467891011101213121412151615[[#This Row],[Egwa Target (Mbopd)]]-Table2523467891011101213121412151615[[#This Row],[Egwa (Mbopd)]]</f>
        <v>0.51400000000000023</v>
      </c>
      <c r="R28" s="745">
        <v>10.080500000000001</v>
      </c>
      <c r="S28" s="723">
        <v>32.33</v>
      </c>
      <c r="T28" s="723">
        <v>0</v>
      </c>
      <c r="U28" s="747">
        <v>1.071</v>
      </c>
      <c r="V28" s="746">
        <v>0.84</v>
      </c>
      <c r="W28" s="723">
        <v>0</v>
      </c>
      <c r="X28" s="723">
        <v>0</v>
      </c>
      <c r="Y28" s="721">
        <v>0</v>
      </c>
      <c r="Z28" s="746">
        <f>Table2523467891011101213121412151615[[#This Row],[J/C Prod gas (MMscf)]]-Table2523467891011101213121412151615[[#This Row],[J/C Utilised gas (MMscf)]]</f>
        <v>9.2405000000000008</v>
      </c>
      <c r="AA28" s="723">
        <f>Table2523467891011101213121412151615[[#This Row],[Odid Prod gas (MMscf)]]-Table2523467891011101213121412151615[[#This Row],[Gas Export (MMscf/d)]]-Table2523467891011101213121412151615[[#This Row],[Odid Utilised gas (MMscf)]]</f>
        <v>18.704000000000001</v>
      </c>
      <c r="AB28" s="723">
        <f>Table2523467891011101213121412151615[[#This Row],[Batn Prod gas (MMscf)]]-Table2523467891011101213121412151615[[#This Row],[Batn Utilised gas (MMscf)]]</f>
        <v>0</v>
      </c>
      <c r="AC28" s="747">
        <f>Table2523467891011101213121412151615[[#This Row],[Egwa Prod gas (MMscf)]]</f>
        <v>1.071</v>
      </c>
      <c r="AD28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43.481499999999997</v>
      </c>
      <c r="AE28" s="723">
        <f>Table2523467891011101213121412151615[[#This Row],[Gas Export (MMscf/d)]]</f>
        <v>13.625999999999999</v>
      </c>
      <c r="AF28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8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29.015500000000003</v>
      </c>
      <c r="AH28" s="142"/>
      <c r="AI28" s="729"/>
      <c r="AJ28" s="763"/>
      <c r="AK28" s="762"/>
      <c r="AL28" s="762"/>
      <c r="AM28" s="762"/>
      <c r="AN28" s="762"/>
      <c r="AO28" s="762"/>
      <c r="AP28" s="762"/>
      <c r="AS28" s="454"/>
      <c r="AT28" s="454"/>
      <c r="AU28" s="454"/>
      <c r="AV28" s="454"/>
      <c r="AW28" s="454"/>
      <c r="AX28" s="454"/>
      <c r="AY28" s="454"/>
    </row>
    <row r="29" spans="2:51" ht="21.6">
      <c r="B29" s="716">
        <v>44433</v>
      </c>
      <c r="C29" s="749">
        <v>21.64</v>
      </c>
      <c r="D29" s="750">
        <v>15.132</v>
      </c>
      <c r="E29" s="751">
        <v>8.9</v>
      </c>
      <c r="F29" s="749">
        <v>3.77</v>
      </c>
      <c r="G29" s="749">
        <f>SUM(Table2523467891011101213121412151615[[#This Row],[Jones Creek Target (Mbopd)]:[Egwa Target (Mbopd)]])</f>
        <v>49.442</v>
      </c>
      <c r="H29" s="752">
        <v>20.57</v>
      </c>
      <c r="I29" s="752">
        <v>9.3629999999999995</v>
      </c>
      <c r="J29" s="752">
        <v>0</v>
      </c>
      <c r="K29" s="752">
        <v>3.3140000000000001</v>
      </c>
      <c r="L29" s="753">
        <f t="shared" si="0"/>
        <v>33.247</v>
      </c>
      <c r="M29" s="721">
        <v>21.006</v>
      </c>
      <c r="N29" s="765">
        <f>Table2523467891011101213121412151615[[#This Row],[Jones Creek Target (Mbopd)]]-Table2523467891011101213121412151615[[#This Row],[Jones Creek (Mbopd)]]</f>
        <v>1.0700000000000003</v>
      </c>
      <c r="O29" s="723">
        <f>Table2523467891011101213121412151615[[#This Row],[Odidi Target (Mbopd)]]-Table2523467891011101213121412151615[[#This Row],[Odidi (Mbopd)]]</f>
        <v>5.7690000000000001</v>
      </c>
      <c r="P29" s="721">
        <f>Table2523467891011101213121412151615[[#This Row],[Batan Target (Mbopd)]]-Table2523467891011101213121412151615[[#This Row],[Batan (Mbopd)]]</f>
        <v>8.9</v>
      </c>
      <c r="Q29" s="747">
        <f>Table2523467891011101213121412151615[[#This Row],[Egwa Target (Mbopd)]]-Table2523467891011101213121412151615[[#This Row],[Egwa (Mbopd)]]</f>
        <v>0.45599999999999996</v>
      </c>
      <c r="R29" s="745">
        <v>10.5823</v>
      </c>
      <c r="S29" s="723">
        <v>32.33</v>
      </c>
      <c r="T29" s="723">
        <v>0</v>
      </c>
      <c r="U29" s="747">
        <v>1.2170000000000001</v>
      </c>
      <c r="V29" s="746">
        <v>0.84</v>
      </c>
      <c r="W29" s="723">
        <v>0</v>
      </c>
      <c r="X29" s="723">
        <v>0</v>
      </c>
      <c r="Y29" s="721">
        <v>0</v>
      </c>
      <c r="Z29" s="746">
        <f>Table2523467891011101213121412151615[[#This Row],[J/C Prod gas (MMscf)]]-Table2523467891011101213121412151615[[#This Row],[J/C Utilised gas (MMscf)]]</f>
        <v>9.7423000000000002</v>
      </c>
      <c r="AA29" s="723">
        <f>Table2523467891011101213121412151615[[#This Row],[Odid Prod gas (MMscf)]]-Table2523467891011101213121412151615[[#This Row],[Gas Export (MMscf/d)]]-Table2523467891011101213121412151615[[#This Row],[Odid Utilised gas (MMscf)]]</f>
        <v>11.323999999999998</v>
      </c>
      <c r="AB29" s="723">
        <f>Table2523467891011101213121412151615[[#This Row],[Batn Prod gas (MMscf)]]-Table2523467891011101213121412151615[[#This Row],[Batn Utilised gas (MMscf)]]</f>
        <v>0</v>
      </c>
      <c r="AC29" s="747">
        <f>Table2523467891011101213121412151615[[#This Row],[Egwa Prod gas (MMscf)]]</f>
        <v>1.2170000000000001</v>
      </c>
      <c r="AD29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44.129300000000001</v>
      </c>
      <c r="AE29" s="723">
        <f>Table2523467891011101213121412151615[[#This Row],[Gas Export (MMscf/d)]]</f>
        <v>21.006</v>
      </c>
      <c r="AF29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29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22.283299999999997</v>
      </c>
      <c r="AH29" s="142"/>
      <c r="AI29" s="729"/>
      <c r="AJ29" s="763"/>
      <c r="AK29" s="762"/>
      <c r="AL29" s="762"/>
      <c r="AM29" s="762"/>
      <c r="AN29" s="762"/>
      <c r="AO29" s="762"/>
      <c r="AP29" s="762"/>
      <c r="AS29" s="454"/>
      <c r="AT29" s="454"/>
      <c r="AU29" s="454"/>
      <c r="AV29" s="454"/>
      <c r="AW29" s="454"/>
      <c r="AX29" s="454"/>
      <c r="AY29" s="454"/>
    </row>
    <row r="30" spans="2:51" ht="21.6">
      <c r="B30" s="716">
        <v>44434</v>
      </c>
      <c r="C30" s="749">
        <v>21.64</v>
      </c>
      <c r="D30" s="750">
        <v>15.132</v>
      </c>
      <c r="E30" s="751">
        <v>8.9</v>
      </c>
      <c r="F30" s="749">
        <v>3.77</v>
      </c>
      <c r="G30" s="749">
        <f>SUM(Table2523467891011101213121412151615[[#This Row],[Jones Creek Target (Mbopd)]:[Egwa Target (Mbopd)]])</f>
        <v>49.442</v>
      </c>
      <c r="H30" s="752">
        <v>18.649000000000001</v>
      </c>
      <c r="I30" s="752">
        <v>9.1579999999999995</v>
      </c>
      <c r="J30" s="752">
        <v>0</v>
      </c>
      <c r="K30" s="752">
        <v>3.3769999999999998</v>
      </c>
      <c r="L30" s="753">
        <f t="shared" si="0"/>
        <v>31.184000000000001</v>
      </c>
      <c r="M30" s="721">
        <v>20.96</v>
      </c>
      <c r="N30" s="765">
        <f>Table2523467891011101213121412151615[[#This Row],[Jones Creek Target (Mbopd)]]-Table2523467891011101213121412151615[[#This Row],[Jones Creek (Mbopd)]]</f>
        <v>2.9909999999999997</v>
      </c>
      <c r="O30" s="723">
        <f>Table2523467891011101213121412151615[[#This Row],[Odidi Target (Mbopd)]]-Table2523467891011101213121412151615[[#This Row],[Odidi (Mbopd)]]</f>
        <v>5.9740000000000002</v>
      </c>
      <c r="P30" s="721">
        <f>Table2523467891011101213121412151615[[#This Row],[Batan Target (Mbopd)]]-Table2523467891011101213121412151615[[#This Row],[Batan (Mbopd)]]</f>
        <v>8.9</v>
      </c>
      <c r="Q30" s="747">
        <f>Table2523467891011101213121412151615[[#This Row],[Egwa Target (Mbopd)]]-Table2523467891011101213121412151615[[#This Row],[Egwa (Mbopd)]]</f>
        <v>0.39300000000000024</v>
      </c>
      <c r="R30" s="745">
        <v>10.62</v>
      </c>
      <c r="S30" s="723">
        <v>32.86</v>
      </c>
      <c r="T30" s="723">
        <v>0</v>
      </c>
      <c r="U30" s="747">
        <v>1.393</v>
      </c>
      <c r="V30" s="746">
        <v>0.84</v>
      </c>
      <c r="W30" s="723">
        <v>0</v>
      </c>
      <c r="X30" s="723">
        <v>0</v>
      </c>
      <c r="Y30" s="721">
        <v>0</v>
      </c>
      <c r="Z30" s="746">
        <f>Table2523467891011101213121412151615[[#This Row],[J/C Prod gas (MMscf)]]-Table2523467891011101213121412151615[[#This Row],[J/C Utilised gas (MMscf)]]</f>
        <v>9.7799999999999994</v>
      </c>
      <c r="AA30" s="723">
        <f>Table2523467891011101213121412151615[[#This Row],[Odid Prod gas (MMscf)]]-Table2523467891011101213121412151615[[#This Row],[Gas Export (MMscf/d)]]-Table2523467891011101213121412151615[[#This Row],[Odid Utilised gas (MMscf)]]</f>
        <v>11.899999999999999</v>
      </c>
      <c r="AB30" s="723">
        <f>Table2523467891011101213121412151615[[#This Row],[Batn Prod gas (MMscf)]]-Table2523467891011101213121412151615[[#This Row],[Batn Utilised gas (MMscf)]]</f>
        <v>0</v>
      </c>
      <c r="AC30" s="747">
        <f>Table2523467891011101213121412151615[[#This Row],[Egwa Prod gas (MMscf)]]</f>
        <v>1.393</v>
      </c>
      <c r="AD30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44.872999999999998</v>
      </c>
      <c r="AE30" s="723">
        <f>Table2523467891011101213121412151615[[#This Row],[Gas Export (MMscf/d)]]</f>
        <v>20.96</v>
      </c>
      <c r="AF30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0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23.073</v>
      </c>
      <c r="AH30" s="142"/>
      <c r="AI30" s="729"/>
      <c r="AJ30" s="763"/>
      <c r="AK30" s="762"/>
      <c r="AL30" s="762"/>
      <c r="AM30" s="762"/>
      <c r="AN30" s="762"/>
      <c r="AO30" s="762"/>
      <c r="AP30" s="762"/>
      <c r="AS30" s="454"/>
      <c r="AT30" s="454"/>
      <c r="AU30" s="454"/>
      <c r="AV30" s="454"/>
      <c r="AW30" s="454"/>
      <c r="AX30" s="454"/>
      <c r="AY30" s="454"/>
    </row>
    <row r="31" spans="2:51" ht="21.6">
      <c r="B31" s="716">
        <v>44435</v>
      </c>
      <c r="C31" s="749">
        <v>21.64</v>
      </c>
      <c r="D31" s="750">
        <v>15.132</v>
      </c>
      <c r="E31" s="751">
        <v>8.9</v>
      </c>
      <c r="F31" s="749">
        <v>3.77</v>
      </c>
      <c r="G31" s="749">
        <f>SUM(Table2523467891011101213121412151615[[#This Row],[Jones Creek Target (Mbopd)]:[Egwa Target (Mbopd)]])</f>
        <v>49.442</v>
      </c>
      <c r="H31" s="752">
        <v>19.286999999999999</v>
      </c>
      <c r="I31" s="752">
        <v>10.804</v>
      </c>
      <c r="J31" s="752">
        <v>0</v>
      </c>
      <c r="K31" s="752">
        <v>3.3639999999999999</v>
      </c>
      <c r="L31" s="753">
        <f t="shared" si="0"/>
        <v>33.454999999999998</v>
      </c>
      <c r="M31" s="721">
        <v>23.689</v>
      </c>
      <c r="N31" s="765">
        <f>Table2523467891011101213121412151615[[#This Row],[Jones Creek Target (Mbopd)]]-Table2523467891011101213121412151615[[#This Row],[Jones Creek (Mbopd)]]</f>
        <v>2.3530000000000015</v>
      </c>
      <c r="O31" s="723">
        <f>Table2523467891011101213121412151615[[#This Row],[Odidi Target (Mbopd)]]-Table2523467891011101213121412151615[[#This Row],[Odidi (Mbopd)]]</f>
        <v>4.3279999999999994</v>
      </c>
      <c r="P31" s="721">
        <f>Table2523467891011101213121412151615[[#This Row],[Batan Target (Mbopd)]]-Table2523467891011101213121412151615[[#This Row],[Batan (Mbopd)]]</f>
        <v>8.9</v>
      </c>
      <c r="Q31" s="747">
        <f>Table2523467891011101213121412151615[[#This Row],[Egwa Target (Mbopd)]]-Table2523467891011101213121412151615[[#This Row],[Egwa (Mbopd)]]</f>
        <v>0.40600000000000014</v>
      </c>
      <c r="R31" s="745">
        <v>10.432</v>
      </c>
      <c r="S31" s="723">
        <v>33.340000000000003</v>
      </c>
      <c r="T31" s="723">
        <v>0</v>
      </c>
      <c r="U31" s="747">
        <v>1.522</v>
      </c>
      <c r="V31" s="746">
        <v>0.84</v>
      </c>
      <c r="W31" s="723">
        <v>0</v>
      </c>
      <c r="X31" s="723">
        <v>0</v>
      </c>
      <c r="Y31" s="721">
        <v>0</v>
      </c>
      <c r="Z31" s="746">
        <f>Table2523467891011101213121412151615[[#This Row],[J/C Prod gas (MMscf)]]-Table2523467891011101213121412151615[[#This Row],[J/C Utilised gas (MMscf)]]</f>
        <v>9.5920000000000005</v>
      </c>
      <c r="AA31" s="723">
        <f>Table2523467891011101213121412151615[[#This Row],[Odid Prod gas (MMscf)]]-Table2523467891011101213121412151615[[#This Row],[Gas Export (MMscf/d)]]-Table2523467891011101213121412151615[[#This Row],[Odid Utilised gas (MMscf)]]</f>
        <v>9.6510000000000034</v>
      </c>
      <c r="AB31" s="723">
        <f>Table2523467891011101213121412151615[[#This Row],[Batn Prod gas (MMscf)]]-Table2523467891011101213121412151615[[#This Row],[Batn Utilised gas (MMscf)]]</f>
        <v>0</v>
      </c>
      <c r="AC31" s="747">
        <f>Table2523467891011101213121412151615[[#This Row],[Egwa Prod gas (MMscf)]]</f>
        <v>1.522</v>
      </c>
      <c r="AD31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45.294000000000004</v>
      </c>
      <c r="AE31" s="723">
        <f>Table2523467891011101213121412151615[[#This Row],[Gas Export (MMscf/d)]]</f>
        <v>23.689</v>
      </c>
      <c r="AF31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1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20.765000000000004</v>
      </c>
      <c r="AH31" s="142"/>
      <c r="AI31" s="729"/>
      <c r="AJ31" s="763"/>
      <c r="AK31" s="762"/>
      <c r="AL31" s="762"/>
      <c r="AM31" s="762"/>
      <c r="AN31" s="762"/>
      <c r="AO31" s="762"/>
      <c r="AP31" s="762"/>
      <c r="AS31" s="454"/>
      <c r="AT31" s="454"/>
      <c r="AU31" s="454"/>
      <c r="AV31" s="454"/>
      <c r="AW31" s="454"/>
      <c r="AX31" s="454"/>
      <c r="AY31" s="454"/>
    </row>
    <row r="32" spans="2:51" ht="21.6">
      <c r="B32" s="716">
        <v>44436</v>
      </c>
      <c r="C32" s="749">
        <v>21.64</v>
      </c>
      <c r="D32" s="750">
        <v>15.132</v>
      </c>
      <c r="E32" s="751">
        <v>8.9</v>
      </c>
      <c r="F32" s="749">
        <v>3.77</v>
      </c>
      <c r="G32" s="749">
        <f>SUM(Table2523467891011101213121412151615[[#This Row],[Jones Creek Target (Mbopd)]:[Egwa Target (Mbopd)]])</f>
        <v>49.442</v>
      </c>
      <c r="H32" s="752">
        <v>18.39</v>
      </c>
      <c r="I32" s="752">
        <v>9.218</v>
      </c>
      <c r="J32" s="752">
        <v>0</v>
      </c>
      <c r="K32" s="752">
        <v>3.3959999999999999</v>
      </c>
      <c r="L32" s="753">
        <f t="shared" si="0"/>
        <v>31.004000000000001</v>
      </c>
      <c r="M32" s="721">
        <v>17.14</v>
      </c>
      <c r="N32" s="765">
        <f>Table2523467891011101213121412151615[[#This Row],[Jones Creek Target (Mbopd)]]-Table2523467891011101213121412151615[[#This Row],[Jones Creek (Mbopd)]]</f>
        <v>3.25</v>
      </c>
      <c r="O32" s="723">
        <f>Table2523467891011101213121412151615[[#This Row],[Odidi Target (Mbopd)]]-Table2523467891011101213121412151615[[#This Row],[Odidi (Mbopd)]]</f>
        <v>5.9139999999999997</v>
      </c>
      <c r="P32" s="721">
        <f>Table2523467891011101213121412151615[[#This Row],[Batan Target (Mbopd)]]-Table2523467891011101213121412151615[[#This Row],[Batan (Mbopd)]]</f>
        <v>8.9</v>
      </c>
      <c r="Q32" s="747">
        <f>Table2523467891011101213121412151615[[#This Row],[Egwa Target (Mbopd)]]-Table2523467891011101213121412151615[[#This Row],[Egwa (Mbopd)]]</f>
        <v>0.37400000000000011</v>
      </c>
      <c r="R32" s="745">
        <v>10.220000000000001</v>
      </c>
      <c r="S32" s="723">
        <v>33.409999999999997</v>
      </c>
      <c r="T32" s="723">
        <v>0</v>
      </c>
      <c r="U32" s="747">
        <v>1.65</v>
      </c>
      <c r="V32" s="746">
        <v>0.84</v>
      </c>
      <c r="W32" s="723">
        <v>0</v>
      </c>
      <c r="X32" s="723">
        <v>0</v>
      </c>
      <c r="Y32" s="721">
        <v>0</v>
      </c>
      <c r="Z32" s="746">
        <f>Table2523467891011101213121412151615[[#This Row],[J/C Prod gas (MMscf)]]-Table2523467891011101213121412151615[[#This Row],[J/C Utilised gas (MMscf)]]</f>
        <v>9.3800000000000008</v>
      </c>
      <c r="AA32" s="723">
        <f>Table2523467891011101213121412151615[[#This Row],[Odid Prod gas (MMscf)]]-Table2523467891011101213121412151615[[#This Row],[Gas Export (MMscf/d)]]-Table2523467891011101213121412151615[[#This Row],[Odid Utilised gas (MMscf)]]</f>
        <v>16.269999999999996</v>
      </c>
      <c r="AB32" s="723">
        <f>Table2523467891011101213121412151615[[#This Row],[Batn Prod gas (MMscf)]]-Table2523467891011101213121412151615[[#This Row],[Batn Utilised gas (MMscf)]]</f>
        <v>0</v>
      </c>
      <c r="AC32" s="747">
        <f>Table2523467891011101213121412151615[[#This Row],[Egwa Prod gas (MMscf)]]</f>
        <v>1.65</v>
      </c>
      <c r="AD32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45.279999999999994</v>
      </c>
      <c r="AE32" s="723">
        <f>Table2523467891011101213121412151615[[#This Row],[Gas Export (MMscf/d)]]</f>
        <v>17.14</v>
      </c>
      <c r="AF32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2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27.299999999999997</v>
      </c>
      <c r="AH32" s="142"/>
      <c r="AI32" s="729"/>
      <c r="AJ32" s="763"/>
      <c r="AK32" s="762"/>
      <c r="AL32" s="762"/>
      <c r="AM32" s="762"/>
      <c r="AN32" s="762"/>
      <c r="AO32" s="762"/>
      <c r="AP32" s="762"/>
      <c r="AS32" s="454"/>
      <c r="AT32" s="454"/>
      <c r="AU32" s="454"/>
      <c r="AV32" s="454"/>
      <c r="AW32" s="454"/>
      <c r="AX32" s="454"/>
      <c r="AY32" s="454"/>
    </row>
    <row r="33" spans="2:51" ht="21.6">
      <c r="B33" s="716">
        <v>44437</v>
      </c>
      <c r="C33" s="749">
        <v>21.64</v>
      </c>
      <c r="D33" s="750">
        <v>15.132</v>
      </c>
      <c r="E33" s="751">
        <v>8.9</v>
      </c>
      <c r="F33" s="749">
        <v>3.77</v>
      </c>
      <c r="G33" s="749">
        <f>SUM(Table2523467891011101213121412151615[[#This Row],[Jones Creek Target (Mbopd)]:[Egwa Target (Mbopd)]])</f>
        <v>49.442</v>
      </c>
      <c r="H33" s="752">
        <v>17.707000000000001</v>
      </c>
      <c r="I33" s="752">
        <v>10.52</v>
      </c>
      <c r="J33" s="752">
        <v>0</v>
      </c>
      <c r="K33" s="752">
        <v>0.76500000000000001</v>
      </c>
      <c r="L33" s="753">
        <f t="shared" si="0"/>
        <v>28.992000000000001</v>
      </c>
      <c r="M33" s="721">
        <v>19.181999999999999</v>
      </c>
      <c r="N33" s="765">
        <f>Table2523467891011101213121412151615[[#This Row],[Jones Creek Target (Mbopd)]]-Table2523467891011101213121412151615[[#This Row],[Jones Creek (Mbopd)]]</f>
        <v>3.9329999999999998</v>
      </c>
      <c r="O33" s="723">
        <f>Table2523467891011101213121412151615[[#This Row],[Odidi Target (Mbopd)]]-Table2523467891011101213121412151615[[#This Row],[Odidi (Mbopd)]]</f>
        <v>4.6120000000000001</v>
      </c>
      <c r="P33" s="721">
        <f>Table2523467891011101213121412151615[[#This Row],[Batan Target (Mbopd)]]-Table2523467891011101213121412151615[[#This Row],[Batan (Mbopd)]]</f>
        <v>8.9</v>
      </c>
      <c r="Q33" s="747">
        <f>Table2523467891011101213121412151615[[#This Row],[Egwa Target (Mbopd)]]-Table2523467891011101213121412151615[[#This Row],[Egwa (Mbopd)]]</f>
        <v>3.0049999999999999</v>
      </c>
      <c r="R33" s="745">
        <v>10.220000000000001</v>
      </c>
      <c r="S33" s="723">
        <v>33.409999999999997</v>
      </c>
      <c r="T33" s="723">
        <v>0</v>
      </c>
      <c r="U33" s="747">
        <v>0.4</v>
      </c>
      <c r="V33" s="746">
        <v>0.84</v>
      </c>
      <c r="W33" s="723">
        <v>0</v>
      </c>
      <c r="X33" s="723">
        <v>0</v>
      </c>
      <c r="Y33" s="721">
        <v>0</v>
      </c>
      <c r="Z33" s="746">
        <f>Table2523467891011101213121412151615[[#This Row],[J/C Prod gas (MMscf)]]-Table2523467891011101213121412151615[[#This Row],[J/C Utilised gas (MMscf)]]</f>
        <v>9.3800000000000008</v>
      </c>
      <c r="AA33" s="723">
        <f>Table2523467891011101213121412151615[[#This Row],[Odid Prod gas (MMscf)]]-Table2523467891011101213121412151615[[#This Row],[Gas Export (MMscf/d)]]-Table2523467891011101213121412151615[[#This Row],[Odid Utilised gas (MMscf)]]</f>
        <v>14.227999999999998</v>
      </c>
      <c r="AB33" s="723">
        <f>Table2523467891011101213121412151615[[#This Row],[Batn Prod gas (MMscf)]]-Table2523467891011101213121412151615[[#This Row],[Batn Utilised gas (MMscf)]]</f>
        <v>0</v>
      </c>
      <c r="AC33" s="747">
        <f>Table2523467891011101213121412151615[[#This Row],[Egwa Prod gas (MMscf)]]</f>
        <v>0.4</v>
      </c>
      <c r="AD33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44.029999999999994</v>
      </c>
      <c r="AE33" s="723">
        <f>Table2523467891011101213121412151615[[#This Row],[Gas Export (MMscf/d)]]</f>
        <v>19.181999999999999</v>
      </c>
      <c r="AF33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3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24.007999999999999</v>
      </c>
      <c r="AH33" s="142"/>
      <c r="AI33" s="729"/>
      <c r="AJ33" s="763"/>
      <c r="AK33" s="762"/>
      <c r="AL33" s="762"/>
      <c r="AM33" s="762"/>
      <c r="AN33" s="762"/>
      <c r="AO33" s="762"/>
      <c r="AP33" s="762"/>
      <c r="AS33" s="454"/>
      <c r="AT33" s="454"/>
      <c r="AU33" s="454"/>
      <c r="AV33" s="454"/>
      <c r="AW33" s="454"/>
      <c r="AX33" s="454"/>
      <c r="AY33" s="454"/>
    </row>
    <row r="34" spans="2:51" ht="21.6">
      <c r="B34" s="716">
        <v>44438</v>
      </c>
      <c r="C34" s="749">
        <v>21.64</v>
      </c>
      <c r="D34" s="750">
        <v>15.132</v>
      </c>
      <c r="E34" s="751">
        <v>8.9</v>
      </c>
      <c r="F34" s="749">
        <v>3.77</v>
      </c>
      <c r="G34" s="749">
        <f>SUM(Table2523467891011101213121412151615[[#This Row],[Jones Creek Target (Mbopd)]:[Egwa Target (Mbopd)]])</f>
        <v>49.442</v>
      </c>
      <c r="H34" s="752">
        <v>16.503</v>
      </c>
      <c r="I34" s="752">
        <v>9.0609999999999999</v>
      </c>
      <c r="J34" s="752">
        <v>0</v>
      </c>
      <c r="K34" s="752">
        <v>0</v>
      </c>
      <c r="L34" s="753">
        <f t="shared" si="0"/>
        <v>25.564</v>
      </c>
      <c r="M34" s="721">
        <v>24.218</v>
      </c>
      <c r="N34" s="765">
        <f>Table2523467891011101213121412151615[[#This Row],[Jones Creek Target (Mbopd)]]-Table2523467891011101213121412151615[[#This Row],[Jones Creek (Mbopd)]]</f>
        <v>5.1370000000000005</v>
      </c>
      <c r="O34" s="723">
        <f>Table2523467891011101213121412151615[[#This Row],[Odidi Target (Mbopd)]]-Table2523467891011101213121412151615[[#This Row],[Odidi (Mbopd)]]</f>
        <v>6.0709999999999997</v>
      </c>
      <c r="P34" s="721">
        <f>Table2523467891011101213121412151615[[#This Row],[Batan Target (Mbopd)]]-Table2523467891011101213121412151615[[#This Row],[Batan (Mbopd)]]</f>
        <v>8.9</v>
      </c>
      <c r="Q34" s="747">
        <f>Table2523467891011101213121412151615[[#This Row],[Egwa Target (Mbopd)]]-Table2523467891011101213121412151615[[#This Row],[Egwa (Mbopd)]]</f>
        <v>3.77</v>
      </c>
      <c r="R34" s="745">
        <v>10.220000000000001</v>
      </c>
      <c r="S34" s="723">
        <v>33.409999999999997</v>
      </c>
      <c r="T34" s="723">
        <v>0</v>
      </c>
      <c r="U34" s="747">
        <v>0</v>
      </c>
      <c r="V34" s="746">
        <v>0.84</v>
      </c>
      <c r="W34" s="723">
        <v>0</v>
      </c>
      <c r="X34" s="723">
        <v>0</v>
      </c>
      <c r="Y34" s="721">
        <v>0</v>
      </c>
      <c r="Z34" s="746">
        <f>Table2523467891011101213121412151615[[#This Row],[J/C Prod gas (MMscf)]]-Table2523467891011101213121412151615[[#This Row],[J/C Utilised gas (MMscf)]]</f>
        <v>9.3800000000000008</v>
      </c>
      <c r="AA34" s="723">
        <f>Table2523467891011101213121412151615[[#This Row],[Odid Prod gas (MMscf)]]-Table2523467891011101213121412151615[[#This Row],[Gas Export (MMscf/d)]]-Table2523467891011101213121412151615[[#This Row],[Odid Utilised gas (MMscf)]]</f>
        <v>9.1919999999999966</v>
      </c>
      <c r="AB34" s="723">
        <f>Table2523467891011101213121412151615[[#This Row],[Batn Prod gas (MMscf)]]-Table2523467891011101213121412151615[[#This Row],[Batn Utilised gas (MMscf)]]</f>
        <v>0</v>
      </c>
      <c r="AC34" s="747">
        <f>Table2523467891011101213121412151615[[#This Row],[Egwa Prod gas (MMscf)]]</f>
        <v>0</v>
      </c>
      <c r="AD34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43.629999999999995</v>
      </c>
      <c r="AE34" s="723">
        <f>Table2523467891011101213121412151615[[#This Row],[Gas Export (MMscf/d)]]</f>
        <v>24.218</v>
      </c>
      <c r="AF34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4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18.571999999999996</v>
      </c>
      <c r="AH34" s="142"/>
      <c r="AI34" s="729"/>
      <c r="AJ34" s="763"/>
      <c r="AK34" s="762"/>
      <c r="AL34" s="762"/>
      <c r="AM34" s="762"/>
      <c r="AN34" s="762"/>
      <c r="AO34" s="762"/>
      <c r="AP34" s="762"/>
      <c r="AS34" s="454"/>
      <c r="AT34" s="454"/>
      <c r="AU34" s="454"/>
      <c r="AV34" s="454"/>
      <c r="AW34" s="454"/>
      <c r="AX34" s="454"/>
      <c r="AY34" s="454"/>
    </row>
    <row r="35" spans="2:51" ht="21.6">
      <c r="B35" s="716">
        <v>44439</v>
      </c>
      <c r="C35" s="749">
        <v>21.64</v>
      </c>
      <c r="D35" s="750">
        <v>15.132</v>
      </c>
      <c r="E35" s="751">
        <v>8.9</v>
      </c>
      <c r="F35" s="749">
        <v>3.77</v>
      </c>
      <c r="G35" s="749">
        <f>SUM(Table2523467891011101213121412151615[[#This Row],[Jones Creek Target (Mbopd)]:[Egwa Target (Mbopd)]])</f>
        <v>49.442</v>
      </c>
      <c r="H35" s="752">
        <v>15.32</v>
      </c>
      <c r="I35" s="752">
        <v>9.0830000000000002</v>
      </c>
      <c r="J35" s="752">
        <v>0</v>
      </c>
      <c r="K35" s="752">
        <v>0</v>
      </c>
      <c r="L35" s="753">
        <f t="shared" si="0"/>
        <v>24.402999999999999</v>
      </c>
      <c r="M35" s="721">
        <v>20.852</v>
      </c>
      <c r="N35" s="765">
        <f>Table2523467891011101213121412151615[[#This Row],[Jones Creek Target (Mbopd)]]-Table2523467891011101213121412151615[[#This Row],[Jones Creek (Mbopd)]]</f>
        <v>6.32</v>
      </c>
      <c r="O35" s="723">
        <f>Table2523467891011101213121412151615[[#This Row],[Odidi Target (Mbopd)]]-Table2523467891011101213121412151615[[#This Row],[Odidi (Mbopd)]]</f>
        <v>6.0489999999999995</v>
      </c>
      <c r="P35" s="721">
        <f>Table2523467891011101213121412151615[[#This Row],[Batan Target (Mbopd)]]-Table2523467891011101213121412151615[[#This Row],[Batan (Mbopd)]]</f>
        <v>8.9</v>
      </c>
      <c r="Q35" s="747">
        <f>Table2523467891011101213121412151615[[#This Row],[Egwa Target (Mbopd)]]-Table2523467891011101213121412151615[[#This Row],[Egwa (Mbopd)]]</f>
        <v>3.77</v>
      </c>
      <c r="R35" s="745">
        <v>5.976</v>
      </c>
      <c r="S35" s="723">
        <v>30.99</v>
      </c>
      <c r="T35" s="723">
        <v>0</v>
      </c>
      <c r="U35" s="747">
        <v>0</v>
      </c>
      <c r="V35" s="746">
        <v>0.84</v>
      </c>
      <c r="W35" s="723">
        <v>0</v>
      </c>
      <c r="X35" s="723">
        <v>0</v>
      </c>
      <c r="Y35" s="721">
        <v>0</v>
      </c>
      <c r="Z35" s="746">
        <f>Table2523467891011101213121412151615[[#This Row],[J/C Prod gas (MMscf)]]-Table2523467891011101213121412151615[[#This Row],[J/C Utilised gas (MMscf)]]</f>
        <v>5.1360000000000001</v>
      </c>
      <c r="AA35" s="723">
        <f>Table2523467891011101213121412151615[[#This Row],[Odid Prod gas (MMscf)]]-Table2523467891011101213121412151615[[#This Row],[Gas Export (MMscf/d)]]-Table2523467891011101213121412151615[[#This Row],[Odid Utilised gas (MMscf)]]</f>
        <v>10.137999999999998</v>
      </c>
      <c r="AB35" s="723">
        <f>Table2523467891011101213121412151615[[#This Row],[Batn Prod gas (MMscf)]]-Table2523467891011101213121412151615[[#This Row],[Batn Utilised gas (MMscf)]]</f>
        <v>0</v>
      </c>
      <c r="AC35" s="747">
        <f>Table2523467891011101213121412151615[[#This Row],[Egwa Prod gas (MMscf)]]</f>
        <v>0</v>
      </c>
      <c r="AD35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36.966000000000001</v>
      </c>
      <c r="AE35" s="723">
        <f>Table2523467891011101213121412151615[[#This Row],[Gas Export (MMscf/d)]]</f>
        <v>20.852</v>
      </c>
      <c r="AF35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5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15.273999999999997</v>
      </c>
      <c r="AH35" s="142"/>
      <c r="AI35" s="729"/>
      <c r="AJ35" s="763"/>
      <c r="AK35" s="762"/>
      <c r="AL35" s="762"/>
      <c r="AM35" s="762"/>
      <c r="AN35" s="762"/>
      <c r="AO35" s="762"/>
      <c r="AP35" s="762"/>
      <c r="AS35" s="454"/>
      <c r="AT35" s="454"/>
      <c r="AU35" s="454"/>
      <c r="AV35" s="454"/>
      <c r="AW35" s="454"/>
      <c r="AX35" s="454"/>
      <c r="AY35" s="454"/>
    </row>
    <row r="36" spans="2:51" ht="21.6">
      <c r="B36" s="716">
        <v>44440</v>
      </c>
      <c r="C36" s="749">
        <v>21.64</v>
      </c>
      <c r="D36" s="750">
        <v>15.132</v>
      </c>
      <c r="E36" s="751">
        <v>8.9</v>
      </c>
      <c r="F36" s="749">
        <v>3.77</v>
      </c>
      <c r="G36" s="749">
        <f>SUM(Table2523467891011101213121412151615[[#This Row],[Jones Creek Target (Mbopd)]:[Egwa Target (Mbopd)]])</f>
        <v>49.442</v>
      </c>
      <c r="H36" s="752">
        <v>17.64</v>
      </c>
      <c r="I36" s="752">
        <v>11.118</v>
      </c>
      <c r="J36" s="752">
        <v>0</v>
      </c>
      <c r="K36" s="752">
        <v>1.706</v>
      </c>
      <c r="L36" s="753">
        <f t="shared" si="0"/>
        <v>30.464000000000002</v>
      </c>
      <c r="M36" s="721">
        <v>11.715</v>
      </c>
      <c r="N36" s="765">
        <f>Table2523467891011101213121412151615[[#This Row],[Jones Creek Target (Mbopd)]]-Table2523467891011101213121412151615[[#This Row],[Jones Creek (Mbopd)]]</f>
        <v>4</v>
      </c>
      <c r="O36" s="723">
        <f>Table2523467891011101213121412151615[[#This Row],[Odidi Target (Mbopd)]]-Table2523467891011101213121412151615[[#This Row],[Odidi (Mbopd)]]</f>
        <v>4.0139999999999993</v>
      </c>
      <c r="P36" s="721">
        <f>Table2523467891011101213121412151615[[#This Row],[Batan Target (Mbopd)]]-Table2523467891011101213121412151615[[#This Row],[Batan (Mbopd)]]</f>
        <v>8.9</v>
      </c>
      <c r="Q36" s="747">
        <f>Table2523467891011101213121412151615[[#This Row],[Egwa Target (Mbopd)]]-Table2523467891011101213121412151615[[#This Row],[Egwa (Mbopd)]]</f>
        <v>2.0640000000000001</v>
      </c>
      <c r="R36" s="745">
        <v>5.6349999999999998</v>
      </c>
      <c r="S36" s="723">
        <v>31.62</v>
      </c>
      <c r="T36" s="723">
        <v>0</v>
      </c>
      <c r="U36" s="747">
        <v>0.629</v>
      </c>
      <c r="V36" s="746">
        <v>0.84</v>
      </c>
      <c r="W36" s="723">
        <v>0</v>
      </c>
      <c r="X36" s="723">
        <v>0</v>
      </c>
      <c r="Y36" s="721">
        <v>0</v>
      </c>
      <c r="Z36" s="746">
        <f>Table2523467891011101213121412151615[[#This Row],[J/C Prod gas (MMscf)]]-Table2523467891011101213121412151615[[#This Row],[J/C Utilised gas (MMscf)]]</f>
        <v>4.7949999999999999</v>
      </c>
      <c r="AA36" s="723">
        <f>Table2523467891011101213121412151615[[#This Row],[Odid Prod gas (MMscf)]]-Table2523467891011101213121412151615[[#This Row],[Gas Export (MMscf/d)]]-Table2523467891011101213121412151615[[#This Row],[Odid Utilised gas (MMscf)]]</f>
        <v>19.905000000000001</v>
      </c>
      <c r="AB36" s="723">
        <f>Table2523467891011101213121412151615[[#This Row],[Batn Prod gas (MMscf)]]-Table2523467891011101213121412151615[[#This Row],[Batn Utilised gas (MMscf)]]</f>
        <v>0</v>
      </c>
      <c r="AC36" s="747">
        <f>Table2523467891011101213121412151615[[#This Row],[Egwa Prod gas (MMscf)]]</f>
        <v>0.629</v>
      </c>
      <c r="AD36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37.884</v>
      </c>
      <c r="AE36" s="723">
        <f>Table2523467891011101213121412151615[[#This Row],[Gas Export (MMscf/d)]]</f>
        <v>11.715</v>
      </c>
      <c r="AF36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6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25.329000000000001</v>
      </c>
      <c r="AH36" s="142"/>
    </row>
    <row r="37" spans="2:51" ht="21.6">
      <c r="B37" s="716">
        <v>44441</v>
      </c>
      <c r="C37" s="749">
        <v>21.64</v>
      </c>
      <c r="D37" s="750">
        <v>15.132</v>
      </c>
      <c r="E37" s="751">
        <v>8.9</v>
      </c>
      <c r="F37" s="749">
        <v>3.77</v>
      </c>
      <c r="G37" s="749">
        <f>SUM(Table2523467891011101213121412151615[[#This Row],[Jones Creek Target (Mbopd)]:[Egwa Target (Mbopd)]])</f>
        <v>49.442</v>
      </c>
      <c r="H37" s="752">
        <v>16.927</v>
      </c>
      <c r="I37" s="752">
        <v>12.335000000000001</v>
      </c>
      <c r="J37" s="752">
        <v>0</v>
      </c>
      <c r="K37" s="752">
        <v>3.4009999999999998</v>
      </c>
      <c r="L37" s="753">
        <f t="shared" si="0"/>
        <v>32.662999999999997</v>
      </c>
      <c r="M37" s="721">
        <v>19.495999999999999</v>
      </c>
      <c r="N37" s="765">
        <f>Table2523467891011101213121412151615[[#This Row],[Jones Creek Target (Mbopd)]]-Table2523467891011101213121412151615[[#This Row],[Jones Creek (Mbopd)]]</f>
        <v>4.713000000000001</v>
      </c>
      <c r="O37" s="723">
        <f>Table2523467891011101213121412151615[[#This Row],[Odidi Target (Mbopd)]]-Table2523467891011101213121412151615[[#This Row],[Odidi (Mbopd)]]</f>
        <v>2.7969999999999988</v>
      </c>
      <c r="P37" s="721">
        <f>Table2523467891011101213121412151615[[#This Row],[Batan Target (Mbopd)]]-Table2523467891011101213121412151615[[#This Row],[Batan (Mbopd)]]</f>
        <v>8.9</v>
      </c>
      <c r="Q37" s="747">
        <f>Table2523467891011101213121412151615[[#This Row],[Egwa Target (Mbopd)]]-Table2523467891011101213121412151615[[#This Row],[Egwa (Mbopd)]]</f>
        <v>0.36900000000000022</v>
      </c>
      <c r="R37" s="745">
        <v>5.7519999999999998</v>
      </c>
      <c r="S37" s="723">
        <v>29.17</v>
      </c>
      <c r="T37" s="723">
        <v>0</v>
      </c>
      <c r="U37" s="747">
        <v>1.3819999999999999</v>
      </c>
      <c r="V37" s="746">
        <v>0.84</v>
      </c>
      <c r="W37" s="723">
        <v>0</v>
      </c>
      <c r="X37" s="723">
        <v>0</v>
      </c>
      <c r="Y37" s="721">
        <v>0</v>
      </c>
      <c r="Z37" s="746">
        <f>Table2523467891011101213121412151615[[#This Row],[J/C Prod gas (MMscf)]]-Table2523467891011101213121412151615[[#This Row],[J/C Utilised gas (MMscf)]]</f>
        <v>4.9119999999999999</v>
      </c>
      <c r="AA37" s="723">
        <f>Table2523467891011101213121412151615[[#This Row],[Odid Prod gas (MMscf)]]-Table2523467891011101213121412151615[[#This Row],[Gas Export (MMscf/d)]]-Table2523467891011101213121412151615[[#This Row],[Odid Utilised gas (MMscf)]]</f>
        <v>9.674000000000003</v>
      </c>
      <c r="AB37" s="723">
        <f>Table2523467891011101213121412151615[[#This Row],[Batn Prod gas (MMscf)]]-Table2523467891011101213121412151615[[#This Row],[Batn Utilised gas (MMscf)]]</f>
        <v>0</v>
      </c>
      <c r="AC37" s="747">
        <f>Table2523467891011101213121412151615[[#This Row],[Egwa Prod gas (MMscf)]]</f>
        <v>1.3819999999999999</v>
      </c>
      <c r="AD37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36.304000000000002</v>
      </c>
      <c r="AE37" s="723">
        <f>Table2523467891011101213121412151615[[#This Row],[Gas Export (MMscf/d)]]</f>
        <v>19.495999999999999</v>
      </c>
      <c r="AF37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7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15.968000000000004</v>
      </c>
      <c r="AH37" s="142"/>
    </row>
    <row r="38" spans="2:51" ht="21.6">
      <c r="B38" s="716">
        <v>44442</v>
      </c>
      <c r="C38" s="749">
        <v>21.64</v>
      </c>
      <c r="D38" s="750">
        <v>15.132</v>
      </c>
      <c r="E38" s="751">
        <v>8.9</v>
      </c>
      <c r="F38" s="749">
        <v>3.77</v>
      </c>
      <c r="G38" s="749">
        <f>SUM(Table2523467891011101213121412151615[[#This Row],[Jones Creek Target (Mbopd)]:[Egwa Target (Mbopd)]])</f>
        <v>49.442</v>
      </c>
      <c r="H38" s="752">
        <v>18.664000000000001</v>
      </c>
      <c r="I38" s="752">
        <v>12.654</v>
      </c>
      <c r="J38" s="752">
        <v>0</v>
      </c>
      <c r="K38" s="754">
        <v>3.4489999999999998</v>
      </c>
      <c r="L38" s="753">
        <f t="shared" si="0"/>
        <v>34.767000000000003</v>
      </c>
      <c r="M38" s="721">
        <v>18.04</v>
      </c>
      <c r="N38" s="765">
        <f>Table2523467891011101213121412151615[[#This Row],[Jones Creek Target (Mbopd)]]-Table2523467891011101213121412151615[[#This Row],[Jones Creek (Mbopd)]]</f>
        <v>2.9759999999999991</v>
      </c>
      <c r="O38" s="723">
        <f>Table2523467891011101213121412151615[[#This Row],[Odidi Target (Mbopd)]]-Table2523467891011101213121412151615[[#This Row],[Odidi (Mbopd)]]</f>
        <v>2.4779999999999998</v>
      </c>
      <c r="P38" s="721">
        <f>Table2523467891011101213121412151615[[#This Row],[Batan Target (Mbopd)]]-Table2523467891011101213121412151615[[#This Row],[Batan (Mbopd)]]</f>
        <v>8.9</v>
      </c>
      <c r="Q38" s="747">
        <f>Table2523467891011101213121412151615[[#This Row],[Egwa Target (Mbopd)]]-Table2523467891011101213121412151615[[#This Row],[Egwa (Mbopd)]]</f>
        <v>0.32100000000000017</v>
      </c>
      <c r="R38" s="745">
        <v>5.8220000000000001</v>
      </c>
      <c r="S38" s="723">
        <v>29.07</v>
      </c>
      <c r="T38" s="723">
        <v>0</v>
      </c>
      <c r="U38" s="747">
        <v>1.53</v>
      </c>
      <c r="V38" s="746">
        <v>0.84</v>
      </c>
      <c r="W38" s="723">
        <v>0</v>
      </c>
      <c r="X38" s="723">
        <v>0</v>
      </c>
      <c r="Y38" s="721">
        <v>0</v>
      </c>
      <c r="Z38" s="746">
        <f>Table2523467891011101213121412151615[[#This Row],[J/C Prod gas (MMscf)]]-Table2523467891011101213121412151615[[#This Row],[J/C Utilised gas (MMscf)]]</f>
        <v>4.9820000000000002</v>
      </c>
      <c r="AA38" s="723">
        <f>Table2523467891011101213121412151615[[#This Row],[Odid Prod gas (MMscf)]]-Table2523467891011101213121412151615[[#This Row],[Gas Export (MMscf/d)]]-Table2523467891011101213121412151615[[#This Row],[Odid Utilised gas (MMscf)]]</f>
        <v>11.030000000000001</v>
      </c>
      <c r="AB38" s="723">
        <f>Table2523467891011101213121412151615[[#This Row],[Batn Prod gas (MMscf)]]-Table2523467891011101213121412151615[[#This Row],[Batn Utilised gas (MMscf)]]</f>
        <v>0</v>
      </c>
      <c r="AC38" s="747">
        <f>Table2523467891011101213121412151615[[#This Row],[Egwa Prod gas (MMscf)]]</f>
        <v>1.53</v>
      </c>
      <c r="AD38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36.422000000000004</v>
      </c>
      <c r="AE38" s="723">
        <f>Table2523467891011101213121412151615[[#This Row],[Gas Export (MMscf/d)]]</f>
        <v>18.04</v>
      </c>
      <c r="AF38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8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17.542000000000002</v>
      </c>
      <c r="AH38" s="142"/>
    </row>
    <row r="39" spans="2:51" ht="21.6">
      <c r="B39" s="716">
        <v>44443</v>
      </c>
      <c r="C39" s="749">
        <v>21.64</v>
      </c>
      <c r="D39" s="750">
        <v>15.132</v>
      </c>
      <c r="E39" s="751">
        <v>8.9</v>
      </c>
      <c r="F39" s="749">
        <v>3.77</v>
      </c>
      <c r="G39" s="749">
        <f>SUM(Table2523467891011101213121412151615[[#This Row],[Jones Creek Target (Mbopd)]:[Egwa Target (Mbopd)]])</f>
        <v>49.442</v>
      </c>
      <c r="H39" s="752">
        <v>18.562000000000001</v>
      </c>
      <c r="I39" s="752">
        <v>12.061999999999999</v>
      </c>
      <c r="J39" s="752">
        <v>0</v>
      </c>
      <c r="K39" s="752">
        <v>3.47</v>
      </c>
      <c r="L39" s="753">
        <f t="shared" si="0"/>
        <v>34.094000000000001</v>
      </c>
      <c r="M39" s="721">
        <v>16.739999999999998</v>
      </c>
      <c r="N39" s="765">
        <f>Table2523467891011101213121412151615[[#This Row],[Jones Creek Target (Mbopd)]]-Table2523467891011101213121412151615[[#This Row],[Jones Creek (Mbopd)]]</f>
        <v>3.0779999999999994</v>
      </c>
      <c r="O39" s="723">
        <f>Table2523467891011101213121412151615[[#This Row],[Odidi Target (Mbopd)]]-Table2523467891011101213121412151615[[#This Row],[Odidi (Mbopd)]]</f>
        <v>3.0700000000000003</v>
      </c>
      <c r="P39" s="721">
        <f>Table2523467891011101213121412151615[[#This Row],[Batan Target (Mbopd)]]-Table2523467891011101213121412151615[[#This Row],[Batan (Mbopd)]]</f>
        <v>8.9</v>
      </c>
      <c r="Q39" s="747">
        <f>Table2523467891011101213121412151615[[#This Row],[Egwa Target (Mbopd)]]-Table2523467891011101213121412151615[[#This Row],[Egwa (Mbopd)]]</f>
        <v>0.29999999999999982</v>
      </c>
      <c r="R39" s="745">
        <v>5.84</v>
      </c>
      <c r="S39" s="723">
        <v>29.07</v>
      </c>
      <c r="T39" s="723">
        <v>0</v>
      </c>
      <c r="U39" s="747">
        <v>1.66</v>
      </c>
      <c r="V39" s="746">
        <v>0.84</v>
      </c>
      <c r="W39" s="723">
        <v>0</v>
      </c>
      <c r="X39" s="723">
        <v>0</v>
      </c>
      <c r="Y39" s="721">
        <v>0</v>
      </c>
      <c r="Z39" s="746">
        <f>Table2523467891011101213121412151615[[#This Row],[J/C Prod gas (MMscf)]]-Table2523467891011101213121412151615[[#This Row],[J/C Utilised gas (MMscf)]]</f>
        <v>5</v>
      </c>
      <c r="AA39" s="723">
        <f>Table2523467891011101213121412151615[[#This Row],[Odid Prod gas (MMscf)]]-Table2523467891011101213121412151615[[#This Row],[Gas Export (MMscf/d)]]-Table2523467891011101213121412151615[[#This Row],[Odid Utilised gas (MMscf)]]</f>
        <v>12.330000000000002</v>
      </c>
      <c r="AB39" s="723">
        <f>Table2523467891011101213121412151615[[#This Row],[Batn Prod gas (MMscf)]]-Table2523467891011101213121412151615[[#This Row],[Batn Utilised gas (MMscf)]]</f>
        <v>0</v>
      </c>
      <c r="AC39" s="747">
        <f>Table2523467891011101213121412151615[[#This Row],[Egwa Prod gas (MMscf)]]</f>
        <v>1.66</v>
      </c>
      <c r="AD39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36.569999999999993</v>
      </c>
      <c r="AE39" s="723">
        <f>Table2523467891011101213121412151615[[#This Row],[Gas Export (MMscf/d)]]</f>
        <v>16.739999999999998</v>
      </c>
      <c r="AF39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39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18.990000000000002</v>
      </c>
      <c r="AH39" s="142"/>
    </row>
    <row r="40" spans="2:51" ht="21.6">
      <c r="B40" s="716">
        <v>44444</v>
      </c>
      <c r="C40" s="749">
        <v>21.64</v>
      </c>
      <c r="D40" s="750">
        <v>15.132</v>
      </c>
      <c r="E40" s="751">
        <v>8.9</v>
      </c>
      <c r="F40" s="749">
        <v>3.77</v>
      </c>
      <c r="G40" s="749">
        <f>SUM(Table2523467891011101213121412151615[[#This Row],[Jones Creek Target (Mbopd)]:[Egwa Target (Mbopd)]])</f>
        <v>49.442</v>
      </c>
      <c r="H40" s="754">
        <v>17.914000000000001</v>
      </c>
      <c r="I40" s="752">
        <v>11.691000000000001</v>
      </c>
      <c r="J40" s="752">
        <v>0</v>
      </c>
      <c r="K40" s="754">
        <v>3.52</v>
      </c>
      <c r="L40" s="753">
        <f t="shared" si="0"/>
        <v>33.125000000000007</v>
      </c>
      <c r="M40" s="721">
        <v>7.2389999999999999</v>
      </c>
      <c r="N40" s="765">
        <f>Table2523467891011101213121412151615[[#This Row],[Jones Creek Target (Mbopd)]]-Table2523467891011101213121412151615[[#This Row],[Jones Creek (Mbopd)]]</f>
        <v>3.7259999999999991</v>
      </c>
      <c r="O40" s="723">
        <f>Table2523467891011101213121412151615[[#This Row],[Odidi Target (Mbopd)]]-Table2523467891011101213121412151615[[#This Row],[Odidi (Mbopd)]]</f>
        <v>3.4409999999999989</v>
      </c>
      <c r="P40" s="721">
        <f>Table2523467891011101213121412151615[[#This Row],[Batan Target (Mbopd)]]-Table2523467891011101213121412151615[[#This Row],[Batan (Mbopd)]]</f>
        <v>8.9</v>
      </c>
      <c r="Q40" s="747">
        <f>Table2523467891011101213121412151615[[#This Row],[Egwa Target (Mbopd)]]-Table2523467891011101213121412151615[[#This Row],[Egwa (Mbopd)]]</f>
        <v>0.25</v>
      </c>
      <c r="R40" s="745">
        <v>5.84</v>
      </c>
      <c r="S40" s="723">
        <v>29.07</v>
      </c>
      <c r="T40" s="723">
        <v>0</v>
      </c>
      <c r="U40" s="747">
        <v>1.75</v>
      </c>
      <c r="V40" s="746">
        <v>0.84</v>
      </c>
      <c r="W40" s="723">
        <v>0</v>
      </c>
      <c r="X40" s="723">
        <v>0</v>
      </c>
      <c r="Y40" s="721">
        <v>0</v>
      </c>
      <c r="Z40" s="746">
        <f>Table2523467891011101213121412151615[[#This Row],[J/C Prod gas (MMscf)]]-Table2523467891011101213121412151615[[#This Row],[J/C Utilised gas (MMscf)]]</f>
        <v>5</v>
      </c>
      <c r="AA40" s="723">
        <f>Table2523467891011101213121412151615[[#This Row],[Odid Prod gas (MMscf)]]-Table2523467891011101213121412151615[[#This Row],[Gas Export (MMscf/d)]]-Table2523467891011101213121412151615[[#This Row],[Odid Utilised gas (MMscf)]]</f>
        <v>21.831</v>
      </c>
      <c r="AB40" s="723">
        <f>Table2523467891011101213121412151615[[#This Row],[Batn Prod gas (MMscf)]]-Table2523467891011101213121412151615[[#This Row],[Batn Utilised gas (MMscf)]]</f>
        <v>0</v>
      </c>
      <c r="AC40" s="747">
        <f>Table2523467891011101213121412151615[[#This Row],[Egwa Prod gas (MMscf)]]</f>
        <v>1.75</v>
      </c>
      <c r="AD40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36.659999999999997</v>
      </c>
      <c r="AE40" s="723">
        <f>Table2523467891011101213121412151615[[#This Row],[Gas Export (MMscf/d)]]</f>
        <v>7.2389999999999999</v>
      </c>
      <c r="AF40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0.84</v>
      </c>
      <c r="AG40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28.581</v>
      </c>
      <c r="AH40" s="142"/>
    </row>
    <row r="41" spans="2:51" ht="21.6">
      <c r="B41" s="716">
        <v>44445</v>
      </c>
      <c r="C41" s="749">
        <v>21.64</v>
      </c>
      <c r="D41" s="750">
        <v>15.132</v>
      </c>
      <c r="E41" s="751">
        <v>8.9</v>
      </c>
      <c r="F41" s="749">
        <v>3.77</v>
      </c>
      <c r="G41" s="749">
        <f>SUM(Table2523467891011101213121412151615[[#This Row],[Jones Creek Target (Mbopd)]:[Egwa Target (Mbopd)]])</f>
        <v>49.442</v>
      </c>
      <c r="H41" s="754">
        <v>1.512</v>
      </c>
      <c r="I41" s="754">
        <v>0.97099999999999997</v>
      </c>
      <c r="J41" s="754">
        <v>0</v>
      </c>
      <c r="K41" s="754">
        <v>0.36299999999999999</v>
      </c>
      <c r="L41" s="753">
        <f t="shared" si="0"/>
        <v>2.8460000000000001</v>
      </c>
      <c r="M41" s="721">
        <v>0</v>
      </c>
      <c r="N41" s="765">
        <f>Table2523467891011101213121412151615[[#This Row],[Jones Creek Target (Mbopd)]]-Table2523467891011101213121412151615[[#This Row],[Jones Creek (Mbopd)]]</f>
        <v>20.128</v>
      </c>
      <c r="O41" s="723">
        <f>Table2523467891011101213121412151615[[#This Row],[Odidi Target (Mbopd)]]-Table2523467891011101213121412151615[[#This Row],[Odidi (Mbopd)]]</f>
        <v>14.161</v>
      </c>
      <c r="P41" s="721">
        <f>Table2523467891011101213121412151615[[#This Row],[Batan Target (Mbopd)]]-Table2523467891011101213121412151615[[#This Row],[Batan (Mbopd)]]</f>
        <v>8.9</v>
      </c>
      <c r="Q41" s="747">
        <f>Table2523467891011101213121412151615[[#This Row],[Egwa Target (Mbopd)]]-Table2523467891011101213121412151615[[#This Row],[Egwa (Mbopd)]]</f>
        <v>3.407</v>
      </c>
      <c r="R41" s="745">
        <v>0</v>
      </c>
      <c r="S41" s="723">
        <v>0</v>
      </c>
      <c r="T41" s="723">
        <v>0</v>
      </c>
      <c r="U41" s="747">
        <v>0.19</v>
      </c>
      <c r="V41" s="746">
        <v>0</v>
      </c>
      <c r="W41" s="723">
        <v>0</v>
      </c>
      <c r="X41" s="723">
        <v>0</v>
      </c>
      <c r="Y41" s="721">
        <v>0</v>
      </c>
      <c r="Z41" s="746">
        <f>Table2523467891011101213121412151615[[#This Row],[J/C Prod gas (MMscf)]]-Table2523467891011101213121412151615[[#This Row],[J/C Utilised gas (MMscf)]]</f>
        <v>0</v>
      </c>
      <c r="AA41" s="723">
        <f>Table2523467891011101213121412151615[[#This Row],[Odid Prod gas (MMscf)]]-Table2523467891011101213121412151615[[#This Row],[Gas Export (MMscf/d)]]-Table2523467891011101213121412151615[[#This Row],[Odid Utilised gas (MMscf)]]</f>
        <v>0</v>
      </c>
      <c r="AB41" s="723">
        <f>Table2523467891011101213121412151615[[#This Row],[Batn Prod gas (MMscf)]]-Table2523467891011101213121412151615[[#This Row],[Batn Utilised gas (MMscf)]]</f>
        <v>0</v>
      </c>
      <c r="AC41" s="747">
        <f>Table2523467891011101213121412151615[[#This Row],[Egwa Prod gas (MMscf)]]</f>
        <v>0.19</v>
      </c>
      <c r="AD41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0.19</v>
      </c>
      <c r="AE41" s="723">
        <f>Table2523467891011101213121412151615[[#This Row],[Gas Export (MMscf/d)]]</f>
        <v>0</v>
      </c>
      <c r="AF41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41" s="747">
        <f>Table2523467891011101213121412151615[[#This Row],[Egwa Flared Gas (MMscf/d)]]+Table2523467891011101213121412151615[[#This Row],[ Batan Flared Gas (MMscf/d)]]+Table2523467891011101213121412151615[[#This Row],[ Odidi Flared Gas (MMscf/d)]]+Table2523467891011101213121412151615[[#This Row],[ J/C Flared Gas (MMscf/d)]]</f>
        <v>0.19</v>
      </c>
      <c r="AH41" s="142"/>
    </row>
    <row r="42" spans="2:51" ht="21.6">
      <c r="B42" s="716">
        <v>44446</v>
      </c>
      <c r="C42" s="749">
        <v>21.64</v>
      </c>
      <c r="D42" s="750">
        <v>15.132</v>
      </c>
      <c r="E42" s="751">
        <v>8.9</v>
      </c>
      <c r="F42" s="749">
        <v>3.77</v>
      </c>
      <c r="G42" s="749">
        <f>SUM(Table2523467891011101213121412151615[[#This Row],[Jones Creek Target (Mbopd)]:[Egwa Target (Mbopd)]])</f>
        <v>49.442</v>
      </c>
      <c r="H42" s="754"/>
      <c r="I42" s="754"/>
      <c r="J42" s="754"/>
      <c r="K42" s="754"/>
      <c r="L42" s="753"/>
      <c r="M42" s="721"/>
      <c r="N42" s="746"/>
      <c r="O42" s="723"/>
      <c r="P42" s="721"/>
      <c r="Q42" s="747"/>
      <c r="R42" s="745"/>
      <c r="S42" s="723"/>
      <c r="T42" s="723"/>
      <c r="U42" s="747"/>
      <c r="V42" s="746"/>
      <c r="W42" s="723"/>
      <c r="X42" s="723"/>
      <c r="Y42" s="721"/>
      <c r="Z42" s="746"/>
      <c r="AA42" s="723"/>
      <c r="AB42" s="723"/>
      <c r="AC42" s="747"/>
      <c r="AD42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0</v>
      </c>
      <c r="AE42" s="723"/>
      <c r="AF42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42" s="747"/>
      <c r="AH42" s="142"/>
      <c r="AI42" s="730"/>
    </row>
    <row r="43" spans="2:51" ht="21.6">
      <c r="B43" s="716">
        <v>44447</v>
      </c>
      <c r="C43" s="717"/>
      <c r="D43" s="718"/>
      <c r="E43" s="719"/>
      <c r="F43" s="717"/>
      <c r="G43" s="717">
        <f>SUM(Table2523467891011101213121412151615[[#This Row],[Jones Creek Target (Mbopd)]:[Egwa Target (Mbopd)]])</f>
        <v>0</v>
      </c>
      <c r="H43" s="781"/>
      <c r="I43" s="781"/>
      <c r="J43" s="781"/>
      <c r="K43" s="723"/>
      <c r="L43" s="753"/>
      <c r="M43" s="721"/>
      <c r="N43" s="746"/>
      <c r="O43" s="723"/>
      <c r="P43" s="721"/>
      <c r="Q43" s="747"/>
      <c r="R43" s="745"/>
      <c r="S43" s="723"/>
      <c r="T43" s="723"/>
      <c r="U43" s="747"/>
      <c r="V43" s="746"/>
      <c r="W43" s="723"/>
      <c r="X43" s="723"/>
      <c r="Y43" s="721"/>
      <c r="Z43" s="746"/>
      <c r="AA43" s="723"/>
      <c r="AB43" s="723"/>
      <c r="AC43" s="747"/>
      <c r="AD43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0</v>
      </c>
      <c r="AE43" s="723"/>
      <c r="AF43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43" s="747"/>
      <c r="AH43" s="142"/>
    </row>
    <row r="44" spans="2:51" ht="21.6">
      <c r="B44" s="716">
        <v>44448</v>
      </c>
      <c r="C44" s="717"/>
      <c r="D44" s="718"/>
      <c r="E44" s="719"/>
      <c r="F44" s="717"/>
      <c r="G44" s="717">
        <f>SUM(Table2523467891011101213121412151615[[#This Row],[Jones Creek Target (Mbopd)]:[Egwa Target (Mbopd)]])</f>
        <v>0</v>
      </c>
      <c r="H44" s="720"/>
      <c r="I44" s="720"/>
      <c r="J44" s="720"/>
      <c r="K44" s="722"/>
      <c r="L44" s="753"/>
      <c r="M44" s="721"/>
      <c r="N44" s="719"/>
      <c r="O44" s="722"/>
      <c r="P44" s="743"/>
      <c r="Q44" s="755"/>
      <c r="R44" s="745"/>
      <c r="S44" s="723"/>
      <c r="T44" s="723"/>
      <c r="U44" s="747"/>
      <c r="V44" s="746"/>
      <c r="W44" s="723"/>
      <c r="X44" s="723"/>
      <c r="Y44" s="721"/>
      <c r="Z44" s="746"/>
      <c r="AA44" s="723"/>
      <c r="AB44" s="723"/>
      <c r="AC44" s="747"/>
      <c r="AD44" s="745">
        <f>Table2523467891011101213121412151615[[#This Row],[J/C Prod gas (MMscf)]]+Table2523467891011101213121412151615[[#This Row],[Odid Prod gas (MMscf)]]+Table2523467891011101213121412151615[[#This Row],[Batn Prod gas (MMscf)]]+Table2523467891011101213121412151615[[#This Row],[Egwa Prod gas (MMscf)]]</f>
        <v>0</v>
      </c>
      <c r="AE44" s="723"/>
      <c r="AF44" s="723">
        <f>Table2523467891011101213121412151615[[#This Row],[J/C Utilised gas (MMscf)]]+Table2523467891011101213121412151615[[#This Row],[Odid Utilised gas (MMscf)]]+Table2523467891011101213121412151615[[#This Row],[Batn Utilised gas (MMscf)]]+Table2523467891011101213121412151615[[#This Row],[Egwa Utilised gas (MMscf)]]</f>
        <v>0</v>
      </c>
      <c r="AG44" s="747"/>
      <c r="AH44" s="142"/>
    </row>
    <row r="46" spans="2:51" ht="19.899999999999999" thickBot="1"/>
    <row r="47" spans="2:51" ht="33.950000000000003" customHeight="1" thickBot="1">
      <c r="B47" s="1345" t="s">
        <v>149</v>
      </c>
      <c r="C47" s="1346"/>
      <c r="D47" s="1346"/>
      <c r="E47" s="1346"/>
      <c r="F47" s="1346"/>
      <c r="G47" s="1346"/>
      <c r="H47" s="1346"/>
      <c r="I47" s="1346"/>
      <c r="J47" s="1346"/>
      <c r="K47" s="1346"/>
      <c r="L47" s="1346"/>
      <c r="M47" s="1346"/>
      <c r="N47" s="1346"/>
      <c r="O47" s="1346"/>
      <c r="P47" s="1346"/>
      <c r="Q47" s="1347"/>
      <c r="R47" s="683"/>
      <c r="S47" s="683"/>
      <c r="T47" s="683"/>
      <c r="U47" s="683"/>
      <c r="V47" s="683"/>
      <c r="W47" s="683"/>
      <c r="X47" s="683"/>
      <c r="Y47" s="683"/>
      <c r="Z47" s="683"/>
      <c r="AA47" s="683"/>
      <c r="AB47" s="683"/>
      <c r="AC47" s="683"/>
      <c r="AD47" s="683"/>
      <c r="AE47" s="683"/>
      <c r="AF47" s="683"/>
      <c r="AI47" s="142"/>
      <c r="AJ47" s="731"/>
    </row>
    <row r="48" spans="2:51" ht="41.45" customHeight="1">
      <c r="B48" s="655" t="s">
        <v>22</v>
      </c>
      <c r="C48" s="651" t="s">
        <v>358</v>
      </c>
      <c r="D48" s="1334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7"/>
      <c r="N48" s="1307"/>
      <c r="O48" s="1307"/>
      <c r="P48" s="1307"/>
      <c r="Q48" s="1308"/>
      <c r="R48" s="683"/>
      <c r="S48" s="683"/>
      <c r="T48" s="683"/>
      <c r="U48" s="683"/>
      <c r="V48" s="683"/>
      <c r="W48" s="683"/>
      <c r="X48" s="683"/>
      <c r="Y48" s="683"/>
      <c r="Z48" s="683"/>
      <c r="AA48" s="683"/>
      <c r="AB48" s="683"/>
      <c r="AC48" s="683"/>
      <c r="AD48" s="683"/>
      <c r="AE48" s="683"/>
      <c r="AF48" s="683"/>
      <c r="AI48" s="242"/>
      <c r="AJ48" s="732"/>
    </row>
    <row r="49" spans="2:36" ht="30.75" customHeight="1">
      <c r="B49" s="656" t="s">
        <v>17</v>
      </c>
      <c r="C49" s="652">
        <v>2.98</v>
      </c>
      <c r="D49" s="1335" t="s">
        <v>455</v>
      </c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10"/>
      <c r="R49" s="684"/>
      <c r="S49" s="684"/>
      <c r="T49" s="684"/>
      <c r="U49" s="684"/>
      <c r="V49" s="684"/>
      <c r="W49" s="684"/>
      <c r="X49" s="684"/>
      <c r="Y49" s="684"/>
      <c r="Z49" s="684"/>
      <c r="AA49" s="684"/>
      <c r="AB49" s="684"/>
      <c r="AC49" s="684"/>
      <c r="AD49" s="684"/>
      <c r="AE49" s="684"/>
      <c r="AF49" s="684"/>
      <c r="AI49" s="242"/>
      <c r="AJ49" s="732"/>
    </row>
    <row r="50" spans="2:36" ht="36" customHeight="1">
      <c r="B50" s="656" t="s">
        <v>19</v>
      </c>
      <c r="C50" s="652">
        <v>2.48</v>
      </c>
      <c r="D50" s="1336" t="s">
        <v>456</v>
      </c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6"/>
      <c r="R50" s="685"/>
      <c r="S50" s="685"/>
      <c r="T50" s="685"/>
      <c r="U50" s="685"/>
      <c r="V50" s="685"/>
      <c r="W50" s="685"/>
      <c r="X50" s="685"/>
      <c r="Y50" s="685"/>
      <c r="Z50" s="685"/>
      <c r="AA50" s="685"/>
      <c r="AB50" s="685"/>
      <c r="AC50" s="685"/>
      <c r="AD50" s="685"/>
      <c r="AE50" s="685"/>
      <c r="AF50" s="685"/>
      <c r="AI50" s="142"/>
    </row>
    <row r="51" spans="2:36" ht="21.6">
      <c r="B51" s="656" t="s">
        <v>16</v>
      </c>
      <c r="C51" s="652">
        <v>8.9</v>
      </c>
      <c r="D51" s="1336" t="s">
        <v>457</v>
      </c>
      <c r="E51" s="1285"/>
      <c r="F51" s="1285"/>
      <c r="G51" s="1285"/>
      <c r="H51" s="1285"/>
      <c r="I51" s="1285"/>
      <c r="J51" s="1285"/>
      <c r="K51" s="1285"/>
      <c r="L51" s="1285"/>
      <c r="M51" s="1285"/>
      <c r="N51" s="1285"/>
      <c r="O51" s="1285"/>
      <c r="P51" s="1285"/>
      <c r="Q51" s="1286"/>
      <c r="R51" s="685"/>
      <c r="S51" s="685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I51" s="242"/>
      <c r="AJ51" s="733"/>
    </row>
    <row r="52" spans="2:36" ht="22.15" thickBot="1">
      <c r="B52" s="657" t="s">
        <v>18</v>
      </c>
      <c r="C52" s="653">
        <v>0.32</v>
      </c>
      <c r="D52" s="1328" t="s">
        <v>362</v>
      </c>
      <c r="E52" s="1329"/>
      <c r="F52" s="1329"/>
      <c r="G52" s="1329"/>
      <c r="H52" s="1329"/>
      <c r="I52" s="1329"/>
      <c r="J52" s="1329"/>
      <c r="K52" s="1329"/>
      <c r="L52" s="1329"/>
      <c r="M52" s="1329"/>
      <c r="N52" s="1329"/>
      <c r="O52" s="1329"/>
      <c r="P52" s="1329"/>
      <c r="Q52" s="1330"/>
      <c r="R52" s="685"/>
      <c r="S52" s="685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I52" s="242"/>
      <c r="AJ52" s="732"/>
    </row>
    <row r="53" spans="2:36" ht="22.15" thickBot="1">
      <c r="B53" s="658" t="s">
        <v>187</v>
      </c>
      <c r="C53" s="654">
        <f>SUM(C49:C52)</f>
        <v>14.68</v>
      </c>
      <c r="D53" s="1331" t="s">
        <v>458</v>
      </c>
      <c r="E53" s="1332"/>
      <c r="F53" s="1332"/>
      <c r="G53" s="1332"/>
      <c r="H53" s="1332"/>
      <c r="I53" s="1332"/>
      <c r="J53" s="1332"/>
      <c r="K53" s="1332"/>
      <c r="L53" s="1332"/>
      <c r="M53" s="1332"/>
      <c r="N53" s="1332"/>
      <c r="O53" s="1332"/>
      <c r="P53" s="1332"/>
      <c r="Q53" s="1333"/>
      <c r="R53" s="684"/>
      <c r="S53" s="684"/>
      <c r="T53" s="684"/>
      <c r="U53" s="684"/>
      <c r="V53" s="684"/>
      <c r="W53" s="684"/>
      <c r="X53" s="684"/>
      <c r="Y53" s="684"/>
      <c r="Z53" s="684"/>
      <c r="AA53" s="684"/>
      <c r="AB53" s="684"/>
      <c r="AC53" s="684"/>
      <c r="AD53" s="684"/>
      <c r="AE53" s="684"/>
      <c r="AF53" s="684"/>
      <c r="AG53" s="790"/>
      <c r="AH53" s="734"/>
    </row>
    <row r="56" spans="2:36" ht="24.6">
      <c r="D56" s="778">
        <f>2.89+4.45+5.11</f>
        <v>12.45</v>
      </c>
      <c r="F56" s="735"/>
      <c r="G56" s="735">
        <f>20.7-18.649</f>
        <v>2.0509999999999984</v>
      </c>
      <c r="I56" s="142">
        <f>5.47+0.347</f>
        <v>5.8170000000000002</v>
      </c>
    </row>
    <row r="57" spans="2:36" ht="35.450000000000003" customHeight="1">
      <c r="C57" s="736"/>
      <c r="H57" s="737"/>
      <c r="I57" s="737"/>
      <c r="J57" s="737"/>
    </row>
    <row r="58" spans="2:36" ht="24.75" customHeight="1">
      <c r="D58" s="735"/>
      <c r="H58" s="738"/>
      <c r="I58" s="738"/>
      <c r="J58" s="738"/>
    </row>
    <row r="59" spans="2:36" ht="20.25" customHeight="1">
      <c r="G59" s="142"/>
      <c r="H59" s="142"/>
      <c r="I59" s="794"/>
      <c r="J59" s="142"/>
      <c r="K59" s="142"/>
      <c r="M59" s="142"/>
      <c r="N59" s="142"/>
      <c r="V59" s="142"/>
      <c r="W59" s="142"/>
      <c r="X59" s="142"/>
      <c r="Y59" s="142"/>
      <c r="AE59" s="142"/>
      <c r="AF59" s="142"/>
    </row>
    <row r="60" spans="2:36" ht="21.6">
      <c r="C60" s="739"/>
      <c r="G60" s="734"/>
      <c r="H60" s="142"/>
      <c r="I60" s="142"/>
      <c r="J60" s="142"/>
      <c r="K60" s="142"/>
      <c r="M60" s="142"/>
      <c r="N60" s="142"/>
      <c r="V60" s="142"/>
      <c r="W60" s="142"/>
      <c r="X60" s="142"/>
      <c r="Y60" s="142"/>
      <c r="AE60" s="142"/>
      <c r="AF60" s="142"/>
    </row>
    <row r="61" spans="2:36" ht="21.6">
      <c r="C61" s="741"/>
      <c r="D61" s="741"/>
      <c r="F61" s="741"/>
      <c r="G61" s="793"/>
      <c r="H61" s="142"/>
      <c r="I61" s="142"/>
      <c r="J61" s="142"/>
      <c r="K61" s="142"/>
      <c r="M61" s="142"/>
      <c r="N61" s="142"/>
      <c r="V61" s="142"/>
      <c r="W61" s="142"/>
      <c r="X61" s="142"/>
      <c r="Y61" s="142"/>
      <c r="AE61" s="142"/>
      <c r="AF61" s="142"/>
    </row>
    <row r="62" spans="2:36">
      <c r="C62" s="741"/>
      <c r="D62" s="741"/>
      <c r="F62" s="741"/>
      <c r="G62" s="741"/>
    </row>
    <row r="63" spans="2:36">
      <c r="C63" s="741"/>
      <c r="D63" s="741"/>
      <c r="F63" s="741"/>
      <c r="G63" s="741">
        <v>2.8</v>
      </c>
    </row>
    <row r="64" spans="2:36">
      <c r="C64" s="741"/>
      <c r="D64" s="741"/>
      <c r="F64" s="741"/>
      <c r="G64" s="741"/>
    </row>
    <row r="84" spans="36:36" ht="24.6">
      <c r="AJ84" s="735"/>
    </row>
  </sheetData>
  <mergeCells count="8">
    <mergeCell ref="D52:Q52"/>
    <mergeCell ref="D53:Q53"/>
    <mergeCell ref="AL3:AP3"/>
    <mergeCell ref="B47:Q47"/>
    <mergeCell ref="D48:Q48"/>
    <mergeCell ref="D49:Q49"/>
    <mergeCell ref="D50:Q50"/>
    <mergeCell ref="D51:Q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:AC999"/>
  <sheetViews>
    <sheetView zoomScale="90" zoomScaleNormal="90" workbookViewId="0">
      <selection activeCell="B7" sqref="B7:K7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9.21875" style="580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7.6640625" style="580" customWidth="1"/>
    <col min="12" max="12" width="11.21875" style="580" bestFit="1" customWidth="1"/>
    <col min="13" max="13" width="9.21875" style="580"/>
    <col min="14" max="14" width="10.109375" style="580" bestFit="1" customWidth="1"/>
    <col min="15" max="16384" width="9.21875" style="580"/>
  </cols>
  <sheetData>
    <row r="1" spans="2:29" ht="22.9" thickBot="1">
      <c r="B1"/>
      <c r="C1" s="1226" t="s">
        <v>413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 thickBo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18" customHeight="1" thickBot="1">
      <c r="B3"/>
      <c r="C3" s="1252" t="s">
        <v>414</v>
      </c>
      <c r="D3" s="1291"/>
      <c r="E3" s="1291"/>
      <c r="F3" s="1291"/>
      <c r="G3" s="1291"/>
      <c r="H3" s="1291"/>
      <c r="I3" s="1291"/>
      <c r="J3" s="1291"/>
      <c r="K3" s="1292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40.15" thickBot="1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 ht="19.899999999999999" thickBot="1">
      <c r="B5" s="808">
        <v>1</v>
      </c>
      <c r="C5" s="809" t="s">
        <v>41</v>
      </c>
      <c r="D5" s="810" t="s">
        <v>42</v>
      </c>
      <c r="E5" s="811">
        <v>28</v>
      </c>
      <c r="F5" s="812">
        <v>1706</v>
      </c>
      <c r="G5" s="812">
        <v>580</v>
      </c>
      <c r="H5" s="812">
        <v>66</v>
      </c>
      <c r="I5" s="812">
        <v>995</v>
      </c>
      <c r="J5" s="812">
        <v>494</v>
      </c>
      <c r="K5" s="813" t="s">
        <v>235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 ht="19.899999999999999" thickBot="1">
      <c r="B6" s="814">
        <v>2</v>
      </c>
      <c r="C6" s="815" t="s">
        <v>43</v>
      </c>
      <c r="D6" s="219" t="s">
        <v>44</v>
      </c>
      <c r="E6" s="220">
        <v>28</v>
      </c>
      <c r="F6" s="221">
        <v>1132</v>
      </c>
      <c r="G6" s="278">
        <v>566</v>
      </c>
      <c r="H6" s="221">
        <v>50</v>
      </c>
      <c r="I6" s="221">
        <v>607</v>
      </c>
      <c r="J6" s="221">
        <v>147</v>
      </c>
      <c r="K6" s="816" t="s">
        <v>235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 ht="19.899999999999999" thickBot="1">
      <c r="B7" s="814">
        <v>3</v>
      </c>
      <c r="C7" s="815" t="s">
        <v>45</v>
      </c>
      <c r="D7" s="219" t="s">
        <v>44</v>
      </c>
      <c r="E7" s="220">
        <v>32</v>
      </c>
      <c r="F7" s="221">
        <v>2221</v>
      </c>
      <c r="G7" s="278">
        <v>1044</v>
      </c>
      <c r="H7" s="221">
        <v>53</v>
      </c>
      <c r="I7" s="221">
        <v>669</v>
      </c>
      <c r="J7" s="221">
        <v>249</v>
      </c>
      <c r="K7" s="816" t="s">
        <v>235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 ht="19.899999999999999" thickBot="1">
      <c r="B8" s="817">
        <v>4</v>
      </c>
      <c r="C8" s="818" t="s">
        <v>46</v>
      </c>
      <c r="D8" s="192" t="s">
        <v>47</v>
      </c>
      <c r="E8" s="193">
        <v>40</v>
      </c>
      <c r="F8" s="194">
        <v>1753</v>
      </c>
      <c r="G8" s="188">
        <v>1157</v>
      </c>
      <c r="H8" s="194">
        <v>34</v>
      </c>
      <c r="I8" s="194">
        <v>323</v>
      </c>
      <c r="J8" s="194">
        <v>129</v>
      </c>
      <c r="K8" s="81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 ht="21" customHeight="1" thickBot="1">
      <c r="B9" s="817">
        <v>5</v>
      </c>
      <c r="C9" s="818" t="s">
        <v>48</v>
      </c>
      <c r="D9" s="192" t="s">
        <v>47</v>
      </c>
      <c r="E9" s="193" t="s">
        <v>49</v>
      </c>
      <c r="F9" s="194">
        <v>1538</v>
      </c>
      <c r="G9" s="188">
        <v>1000</v>
      </c>
      <c r="H9" s="194">
        <v>35</v>
      </c>
      <c r="I9" s="194">
        <v>310</v>
      </c>
      <c r="J9" s="194">
        <v>163</v>
      </c>
      <c r="K9" s="81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 ht="19.899999999999999" thickBot="1">
      <c r="B10" s="814">
        <v>6</v>
      </c>
      <c r="C10" s="815" t="s">
        <v>373</v>
      </c>
      <c r="D10" s="219" t="s">
        <v>47</v>
      </c>
      <c r="E10" s="220">
        <v>24</v>
      </c>
      <c r="F10" s="221"/>
      <c r="G10" s="278"/>
      <c r="H10" s="221"/>
      <c r="I10" s="221"/>
      <c r="J10" s="221"/>
      <c r="K10" s="816" t="s">
        <v>402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 ht="19.899999999999999" thickBot="1">
      <c r="B11" s="814">
        <v>7</v>
      </c>
      <c r="C11" s="815" t="s">
        <v>50</v>
      </c>
      <c r="D11" s="219" t="s">
        <v>47</v>
      </c>
      <c r="E11" s="220" t="s">
        <v>51</v>
      </c>
      <c r="F11" s="221">
        <v>1480</v>
      </c>
      <c r="G11" s="278">
        <v>444</v>
      </c>
      <c r="H11" s="221">
        <v>70</v>
      </c>
      <c r="I11" s="221">
        <v>762</v>
      </c>
      <c r="J11" s="221">
        <v>173</v>
      </c>
      <c r="K11" s="816" t="s">
        <v>235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 ht="19.899999999999999" thickBot="1">
      <c r="B12" s="814">
        <v>8</v>
      </c>
      <c r="C12" s="815" t="s">
        <v>52</v>
      </c>
      <c r="D12" s="219" t="s">
        <v>47</v>
      </c>
      <c r="E12" s="220">
        <v>40</v>
      </c>
      <c r="F12" s="221">
        <v>1652</v>
      </c>
      <c r="G12" s="278">
        <v>760</v>
      </c>
      <c r="H12" s="221">
        <v>54</v>
      </c>
      <c r="I12" s="221">
        <v>447</v>
      </c>
      <c r="J12" s="221">
        <v>159</v>
      </c>
      <c r="K12" s="816" t="s">
        <v>235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 ht="19.899999999999999" thickBot="1">
      <c r="B13" s="814">
        <v>9</v>
      </c>
      <c r="C13" s="815" t="s">
        <v>53</v>
      </c>
      <c r="D13" s="219" t="s">
        <v>47</v>
      </c>
      <c r="E13" s="220">
        <v>28</v>
      </c>
      <c r="F13" s="221">
        <v>1410</v>
      </c>
      <c r="G13" s="278">
        <v>663</v>
      </c>
      <c r="H13" s="221">
        <v>53.33</v>
      </c>
      <c r="I13" s="221">
        <v>430</v>
      </c>
      <c r="J13" s="221">
        <v>342</v>
      </c>
      <c r="K13" s="698" t="s">
        <v>235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 ht="19.899999999999999" thickBot="1">
      <c r="B14" s="814">
        <v>10</v>
      </c>
      <c r="C14" s="815" t="s">
        <v>54</v>
      </c>
      <c r="D14" s="219" t="s">
        <v>47</v>
      </c>
      <c r="E14" s="220" t="s">
        <v>55</v>
      </c>
      <c r="F14" s="221">
        <v>1633</v>
      </c>
      <c r="G14" s="278">
        <v>784</v>
      </c>
      <c r="H14" s="221">
        <v>52</v>
      </c>
      <c r="I14" s="221">
        <v>492</v>
      </c>
      <c r="J14" s="221">
        <v>377</v>
      </c>
      <c r="K14" s="698" t="s">
        <v>415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19.899999999999999" thickBot="1">
      <c r="B15" s="820">
        <v>11</v>
      </c>
      <c r="C15" s="818" t="s">
        <v>56</v>
      </c>
      <c r="D15" s="192" t="s">
        <v>47</v>
      </c>
      <c r="E15" s="193">
        <v>44</v>
      </c>
      <c r="F15" s="194">
        <v>3857</v>
      </c>
      <c r="G15" s="188">
        <v>1620</v>
      </c>
      <c r="H15" s="194">
        <v>58</v>
      </c>
      <c r="I15" s="194">
        <v>329</v>
      </c>
      <c r="J15" s="194">
        <v>352</v>
      </c>
      <c r="K15" s="821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 ht="19.899999999999999" thickBot="1">
      <c r="B16" s="822">
        <v>12</v>
      </c>
      <c r="C16" s="823" t="s">
        <v>57</v>
      </c>
      <c r="D16" s="824" t="s">
        <v>47</v>
      </c>
      <c r="E16" s="825">
        <v>28</v>
      </c>
      <c r="F16" s="826">
        <v>1706</v>
      </c>
      <c r="G16" s="827">
        <v>273</v>
      </c>
      <c r="H16" s="826">
        <v>84</v>
      </c>
      <c r="I16" s="826">
        <v>377</v>
      </c>
      <c r="J16" s="826">
        <v>305</v>
      </c>
      <c r="K16" s="828" t="s">
        <v>235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 ht="19.899999999999999" thickBot="1">
      <c r="B17"/>
      <c r="C17" s="204"/>
      <c r="D17" s="205"/>
      <c r="E17" s="205"/>
      <c r="F17" s="224">
        <f>SUM(F5:F16)</f>
        <v>20088</v>
      </c>
      <c r="G17" s="224">
        <f>SUM(G5:G16)</f>
        <v>8891</v>
      </c>
      <c r="H17" s="207"/>
      <c r="I17" s="408"/>
      <c r="J17" s="207"/>
      <c r="K17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 ht="19.899999999999999" thickBot="1">
      <c r="B18"/>
      <c r="C18"/>
      <c r="D18" s="1253"/>
      <c r="E18" s="1253"/>
      <c r="F18" s="1"/>
      <c r="G18" s="208">
        <f>ROUNDUP(G17,-1)</f>
        <v>8900</v>
      </c>
      <c r="H18" s="373"/>
      <c r="I18" s="418"/>
      <c r="J18" s="699"/>
      <c r="K18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 ht="19.5" customHeight="1" thickBot="1">
      <c r="B19"/>
      <c r="C19"/>
      <c r="D19" s="1"/>
      <c r="E19" s="1"/>
      <c r="F19" s="1"/>
      <c r="G19" s="1"/>
      <c r="H19" s="1"/>
      <c r="I19"/>
      <c r="J19" s="1"/>
      <c r="K19"/>
      <c r="L19" s="579">
        <f>27450+5500</f>
        <v>32950</v>
      </c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19.899999999999999" thickBot="1">
      <c r="B20"/>
      <c r="C20"/>
      <c r="D20" s="1"/>
      <c r="E20" s="1"/>
      <c r="F20" s="1"/>
      <c r="G20" s="1"/>
      <c r="H20" s="1"/>
      <c r="I20" s="1"/>
      <c r="J20" s="1"/>
      <c r="K20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26.25" customHeight="1" thickBot="1">
      <c r="B21" s="303"/>
      <c r="C21" s="1252" t="s">
        <v>416</v>
      </c>
      <c r="D21" s="1291"/>
      <c r="E21" s="1291"/>
      <c r="F21" s="1291"/>
      <c r="G21" s="1291"/>
      <c r="H21" s="1291"/>
      <c r="I21" s="1291"/>
      <c r="J21" s="1291"/>
      <c r="K21" s="1292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ht="40.15" thickBot="1">
      <c r="B22" s="829" t="s">
        <v>156</v>
      </c>
      <c r="C22" s="830" t="s">
        <v>31</v>
      </c>
      <c r="D22" s="803" t="s">
        <v>32</v>
      </c>
      <c r="E22" s="803" t="s">
        <v>33</v>
      </c>
      <c r="F22" s="803" t="s">
        <v>34</v>
      </c>
      <c r="G22" s="803" t="s">
        <v>35</v>
      </c>
      <c r="H22" s="803" t="s">
        <v>37</v>
      </c>
      <c r="I22" s="803" t="s">
        <v>38</v>
      </c>
      <c r="J22" s="803" t="s">
        <v>39</v>
      </c>
      <c r="K22" s="803" t="s">
        <v>40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</row>
    <row r="23" spans="2:29" ht="19.899999999999999" thickBot="1">
      <c r="B23" s="798">
        <v>1</v>
      </c>
      <c r="C23" s="799" t="s">
        <v>417</v>
      </c>
      <c r="D23" s="799" t="s">
        <v>418</v>
      </c>
      <c r="E23" s="800">
        <v>24</v>
      </c>
      <c r="F23" s="801">
        <v>547</v>
      </c>
      <c r="G23" s="802">
        <v>241</v>
      </c>
      <c r="H23" s="802">
        <v>56</v>
      </c>
      <c r="I23" s="802">
        <v>1724</v>
      </c>
      <c r="J23" s="802">
        <v>600</v>
      </c>
      <c r="K23" s="782" t="s">
        <v>235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19.899999999999999" thickBot="1">
      <c r="B24" s="831">
        <v>2</v>
      </c>
      <c r="C24" s="832" t="s">
        <v>376</v>
      </c>
      <c r="D24" s="832" t="s">
        <v>89</v>
      </c>
      <c r="E24" s="833">
        <v>24</v>
      </c>
      <c r="F24" s="834">
        <v>1203</v>
      </c>
      <c r="G24" s="835">
        <v>412</v>
      </c>
      <c r="H24" s="835">
        <v>56</v>
      </c>
      <c r="I24" s="835">
        <v>340</v>
      </c>
      <c r="J24" s="835">
        <v>600</v>
      </c>
      <c r="K24" s="836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 ht="19.899999999999999" thickBot="1">
      <c r="B25" s="831">
        <v>3</v>
      </c>
      <c r="C25" s="837" t="s">
        <v>61</v>
      </c>
      <c r="D25" s="837" t="s">
        <v>62</v>
      </c>
      <c r="E25" s="838">
        <v>28</v>
      </c>
      <c r="F25" s="834">
        <v>888</v>
      </c>
      <c r="G25" s="835">
        <v>355</v>
      </c>
      <c r="H25" s="835">
        <v>56</v>
      </c>
      <c r="I25" s="835">
        <v>782</v>
      </c>
      <c r="J25" s="835">
        <v>370</v>
      </c>
      <c r="K25" s="836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 ht="19.899999999999999" thickBot="1">
      <c r="B26" s="831">
        <v>4</v>
      </c>
      <c r="C26" s="837" t="s">
        <v>64</v>
      </c>
      <c r="D26" s="837" t="s">
        <v>65</v>
      </c>
      <c r="E26" s="838">
        <v>32</v>
      </c>
      <c r="F26" s="834">
        <v>2161</v>
      </c>
      <c r="G26" s="835">
        <v>1404</v>
      </c>
      <c r="H26" s="835">
        <v>33</v>
      </c>
      <c r="I26" s="835">
        <v>430</v>
      </c>
      <c r="J26" s="835">
        <v>400</v>
      </c>
      <c r="K26" s="836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 ht="19.899999999999999" thickBot="1">
      <c r="B27" s="783">
        <v>5</v>
      </c>
      <c r="C27" s="784" t="s">
        <v>69</v>
      </c>
      <c r="D27" s="784" t="s">
        <v>70</v>
      </c>
      <c r="E27" s="785">
        <v>24</v>
      </c>
      <c r="F27" s="786">
        <v>963</v>
      </c>
      <c r="G27" s="787">
        <v>347</v>
      </c>
      <c r="H27" s="787">
        <v>65</v>
      </c>
      <c r="I27" s="787">
        <v>2411</v>
      </c>
      <c r="J27" s="787">
        <v>750</v>
      </c>
      <c r="K27" s="782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19.899999999999999" thickBot="1">
      <c r="B28" s="783">
        <v>6</v>
      </c>
      <c r="C28" s="784" t="s">
        <v>71</v>
      </c>
      <c r="D28" s="784" t="s">
        <v>72</v>
      </c>
      <c r="E28" s="785">
        <v>28</v>
      </c>
      <c r="F28" s="786">
        <v>859</v>
      </c>
      <c r="G28" s="787">
        <v>326</v>
      </c>
      <c r="H28" s="787">
        <v>67</v>
      </c>
      <c r="I28" s="787">
        <v>3000</v>
      </c>
      <c r="J28" s="787">
        <v>750</v>
      </c>
      <c r="K28" s="777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19.899999999999999" thickBot="1">
      <c r="B29" s="783">
        <v>7</v>
      </c>
      <c r="C29" s="784" t="s">
        <v>73</v>
      </c>
      <c r="D29" s="784" t="s">
        <v>72</v>
      </c>
      <c r="E29" s="785">
        <v>44</v>
      </c>
      <c r="F29" s="786">
        <v>1099</v>
      </c>
      <c r="G29" s="787">
        <v>659</v>
      </c>
      <c r="H29" s="787">
        <v>23</v>
      </c>
      <c r="I29" s="787">
        <v>3206</v>
      </c>
      <c r="J29" s="787">
        <v>480</v>
      </c>
      <c r="K29" s="791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ht="19.899999999999999" thickBot="1">
      <c r="B30" s="831">
        <v>8</v>
      </c>
      <c r="C30" s="837" t="s">
        <v>74</v>
      </c>
      <c r="D30" s="837" t="s">
        <v>75</v>
      </c>
      <c r="E30" s="838">
        <v>36</v>
      </c>
      <c r="F30" s="834">
        <v>3196</v>
      </c>
      <c r="G30" s="835">
        <v>1406</v>
      </c>
      <c r="H30" s="835">
        <v>55</v>
      </c>
      <c r="I30" s="835">
        <v>1306</v>
      </c>
      <c r="J30" s="835">
        <v>850</v>
      </c>
      <c r="K30" s="836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</row>
    <row r="31" spans="2:29" ht="19.899999999999999" thickBot="1">
      <c r="B31" s="831">
        <v>9</v>
      </c>
      <c r="C31" s="837" t="s">
        <v>76</v>
      </c>
      <c r="D31" s="837" t="s">
        <v>77</v>
      </c>
      <c r="E31" s="838">
        <v>20</v>
      </c>
      <c r="F31" s="834">
        <v>717</v>
      </c>
      <c r="G31" s="835">
        <v>323</v>
      </c>
      <c r="H31" s="835">
        <v>56</v>
      </c>
      <c r="I31" s="835">
        <v>264</v>
      </c>
      <c r="J31" s="835">
        <v>180</v>
      </c>
      <c r="K31" s="836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</row>
    <row r="32" spans="2:29" ht="19.899999999999999" thickBot="1">
      <c r="B32" s="783">
        <v>10</v>
      </c>
      <c r="C32" s="784" t="s">
        <v>78</v>
      </c>
      <c r="D32" s="784" t="s">
        <v>79</v>
      </c>
      <c r="E32" s="785">
        <v>52</v>
      </c>
      <c r="F32" s="786">
        <v>1046</v>
      </c>
      <c r="G32" s="787">
        <v>1025</v>
      </c>
      <c r="H32" s="787">
        <v>1</v>
      </c>
      <c r="I32" s="787">
        <v>553</v>
      </c>
      <c r="J32" s="787">
        <v>200</v>
      </c>
      <c r="K32" s="788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</row>
    <row r="33" spans="2:29" s="647" customFormat="1" ht="19.899999999999999" thickBot="1">
      <c r="B33" s="783">
        <v>11</v>
      </c>
      <c r="C33" s="784" t="s">
        <v>80</v>
      </c>
      <c r="D33" s="784" t="s">
        <v>81</v>
      </c>
      <c r="E33" s="785">
        <v>32</v>
      </c>
      <c r="F33" s="786">
        <v>1639</v>
      </c>
      <c r="G33" s="787">
        <v>492</v>
      </c>
      <c r="H33" s="787">
        <v>70</v>
      </c>
      <c r="I33" s="787">
        <v>1849</v>
      </c>
      <c r="J33" s="787">
        <v>435</v>
      </c>
      <c r="K33" s="788"/>
      <c r="L33" s="646"/>
      <c r="M33" s="646"/>
      <c r="N33" s="646"/>
      <c r="O33" s="646"/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</row>
    <row r="34" spans="2:29" ht="19.899999999999999" thickBot="1">
      <c r="B34" s="831">
        <v>12</v>
      </c>
      <c r="C34" s="837" t="s">
        <v>82</v>
      </c>
      <c r="D34" s="837" t="s">
        <v>65</v>
      </c>
      <c r="E34" s="838">
        <v>28</v>
      </c>
      <c r="F34" s="834">
        <v>1023</v>
      </c>
      <c r="G34" s="835">
        <v>1003</v>
      </c>
      <c r="H34" s="835">
        <v>15</v>
      </c>
      <c r="I34" s="835">
        <v>587</v>
      </c>
      <c r="J34" s="835">
        <v>400</v>
      </c>
      <c r="K34" s="836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</row>
    <row r="35" spans="2:29" s="647" customFormat="1" ht="19.899999999999999" thickBot="1">
      <c r="B35" s="783">
        <v>13</v>
      </c>
      <c r="C35" s="784" t="s">
        <v>379</v>
      </c>
      <c r="D35" s="784" t="s">
        <v>380</v>
      </c>
      <c r="E35" s="785">
        <v>20</v>
      </c>
      <c r="F35" s="786">
        <v>758</v>
      </c>
      <c r="G35" s="787">
        <v>286</v>
      </c>
      <c r="H35" s="787">
        <v>63</v>
      </c>
      <c r="I35" s="787">
        <v>2273</v>
      </c>
      <c r="J35" s="787">
        <v>762</v>
      </c>
      <c r="K35" s="788"/>
      <c r="L35" s="646"/>
      <c r="M35" s="646"/>
      <c r="N35" s="646"/>
      <c r="O35" s="646"/>
      <c r="P35" s="646"/>
      <c r="Q35" s="646"/>
      <c r="R35" s="646"/>
      <c r="S35" s="646"/>
      <c r="T35" s="646"/>
      <c r="U35" s="646"/>
      <c r="V35" s="646"/>
      <c r="W35" s="646"/>
      <c r="X35" s="646"/>
      <c r="Y35" s="646"/>
      <c r="Z35" s="646"/>
      <c r="AA35" s="646"/>
      <c r="AB35" s="646"/>
      <c r="AC35" s="646"/>
    </row>
    <row r="36" spans="2:29" ht="19.899999999999999" thickBot="1">
      <c r="B36" s="772">
        <v>14</v>
      </c>
      <c r="C36" s="773" t="s">
        <v>351</v>
      </c>
      <c r="D36" s="773" t="s">
        <v>352</v>
      </c>
      <c r="E36" s="774">
        <v>24</v>
      </c>
      <c r="F36" s="775">
        <v>750</v>
      </c>
      <c r="G36" s="776">
        <v>300</v>
      </c>
      <c r="H36" s="776">
        <v>60</v>
      </c>
      <c r="I36" s="776" t="s">
        <v>164</v>
      </c>
      <c r="J36" s="776">
        <v>1000</v>
      </c>
      <c r="K36" s="782" t="s">
        <v>235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</row>
    <row r="37" spans="2:29" s="647" customFormat="1" ht="19.899999999999999" thickBot="1">
      <c r="B37" s="783">
        <v>15</v>
      </c>
      <c r="C37" s="784" t="s">
        <v>83</v>
      </c>
      <c r="D37" s="784" t="s">
        <v>84</v>
      </c>
      <c r="E37" s="785">
        <v>44</v>
      </c>
      <c r="F37" s="786">
        <v>3273</v>
      </c>
      <c r="G37" s="787">
        <v>1047</v>
      </c>
      <c r="H37" s="787">
        <v>64</v>
      </c>
      <c r="I37" s="787">
        <v>4131</v>
      </c>
      <c r="J37" s="787">
        <v>1150</v>
      </c>
      <c r="K37" s="788"/>
      <c r="L37" s="780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</row>
    <row r="38" spans="2:29" ht="19.899999999999999" thickBot="1">
      <c r="B38" s="783">
        <v>16</v>
      </c>
      <c r="C38" s="784" t="s">
        <v>85</v>
      </c>
      <c r="D38" s="784" t="s">
        <v>72</v>
      </c>
      <c r="E38" s="785">
        <v>32</v>
      </c>
      <c r="F38" s="786">
        <v>1427</v>
      </c>
      <c r="G38" s="787">
        <v>899</v>
      </c>
      <c r="H38" s="787">
        <v>37</v>
      </c>
      <c r="I38" s="787">
        <v>1058</v>
      </c>
      <c r="J38" s="787">
        <v>522</v>
      </c>
      <c r="K38" s="788"/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</row>
    <row r="39" spans="2:29" s="647" customFormat="1" ht="19.899999999999999" thickBot="1">
      <c r="B39" s="831">
        <v>17</v>
      </c>
      <c r="C39" s="837" t="s">
        <v>86</v>
      </c>
      <c r="D39" s="837" t="s">
        <v>87</v>
      </c>
      <c r="E39" s="838">
        <v>28</v>
      </c>
      <c r="F39" s="834">
        <v>901</v>
      </c>
      <c r="G39" s="835">
        <v>405</v>
      </c>
      <c r="H39" s="835">
        <v>55</v>
      </c>
      <c r="I39" s="835">
        <v>5513</v>
      </c>
      <c r="J39" s="835">
        <v>1450</v>
      </c>
      <c r="K39" s="836"/>
      <c r="L39" s="646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</row>
    <row r="40" spans="2:29" ht="19.899999999999999" thickBot="1">
      <c r="B40" s="783">
        <v>18</v>
      </c>
      <c r="C40" s="784" t="s">
        <v>88</v>
      </c>
      <c r="D40" s="784" t="s">
        <v>89</v>
      </c>
      <c r="E40" s="785">
        <v>28</v>
      </c>
      <c r="F40" s="786">
        <v>1172</v>
      </c>
      <c r="G40" s="787">
        <v>527</v>
      </c>
      <c r="H40" s="787">
        <v>55</v>
      </c>
      <c r="I40" s="787">
        <v>2051</v>
      </c>
      <c r="J40" s="787">
        <v>522</v>
      </c>
      <c r="K40" s="788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</row>
    <row r="41" spans="2:29" s="647" customFormat="1" ht="19.899999999999999" thickBot="1">
      <c r="B41" s="783">
        <v>19</v>
      </c>
      <c r="C41" s="784" t="s">
        <v>90</v>
      </c>
      <c r="D41" s="784" t="s">
        <v>84</v>
      </c>
      <c r="E41" s="785">
        <v>48</v>
      </c>
      <c r="F41" s="786">
        <v>547</v>
      </c>
      <c r="G41" s="787">
        <v>509</v>
      </c>
      <c r="H41" s="787">
        <v>7</v>
      </c>
      <c r="I41" s="787">
        <v>6498</v>
      </c>
      <c r="J41" s="787">
        <v>550</v>
      </c>
      <c r="K41" s="788"/>
      <c r="L41" s="646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ht="19.899999999999999" thickBot="1">
      <c r="B42" s="772">
        <v>20</v>
      </c>
      <c r="C42" s="773" t="s">
        <v>91</v>
      </c>
      <c r="D42" s="773" t="s">
        <v>89</v>
      </c>
      <c r="E42" s="774">
        <v>36</v>
      </c>
      <c r="F42" s="775">
        <v>497</v>
      </c>
      <c r="G42" s="776">
        <v>496</v>
      </c>
      <c r="H42" s="776">
        <v>0</v>
      </c>
      <c r="I42" s="776">
        <v>1297</v>
      </c>
      <c r="J42" s="776">
        <v>200</v>
      </c>
      <c r="K42" s="782" t="s">
        <v>235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</row>
    <row r="43" spans="2:29" ht="19.899999999999999" thickBot="1">
      <c r="B43" s="772">
        <v>21</v>
      </c>
      <c r="C43" s="773" t="s">
        <v>92</v>
      </c>
      <c r="D43" s="773" t="s">
        <v>93</v>
      </c>
      <c r="E43" s="774">
        <v>24</v>
      </c>
      <c r="F43" s="775">
        <v>651</v>
      </c>
      <c r="G43" s="776">
        <v>378</v>
      </c>
      <c r="H43" s="776">
        <v>38</v>
      </c>
      <c r="I43" s="776">
        <v>373</v>
      </c>
      <c r="J43" s="776">
        <v>180</v>
      </c>
      <c r="K43" s="782" t="s">
        <v>235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</row>
    <row r="44" spans="2:29" ht="19.899999999999999" thickBot="1">
      <c r="B44" s="772">
        <v>22</v>
      </c>
      <c r="C44" s="773" t="s">
        <v>94</v>
      </c>
      <c r="D44" s="773" t="s">
        <v>67</v>
      </c>
      <c r="E44" s="774">
        <v>24</v>
      </c>
      <c r="F44" s="775">
        <v>1600</v>
      </c>
      <c r="G44" s="776">
        <v>912</v>
      </c>
      <c r="H44" s="776">
        <v>41</v>
      </c>
      <c r="I44" s="776">
        <v>258</v>
      </c>
      <c r="J44" s="776">
        <v>370</v>
      </c>
      <c r="K44" s="782" t="s">
        <v>235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</row>
    <row r="45" spans="2:29" ht="19.899999999999999" thickBot="1">
      <c r="B45" s="783">
        <v>23</v>
      </c>
      <c r="C45" s="784" t="s">
        <v>95</v>
      </c>
      <c r="D45" s="784" t="s">
        <v>65</v>
      </c>
      <c r="E45" s="792">
        <v>20</v>
      </c>
      <c r="F45" s="786">
        <v>576</v>
      </c>
      <c r="G45" s="787">
        <v>426</v>
      </c>
      <c r="H45" s="787">
        <v>51</v>
      </c>
      <c r="I45" s="787">
        <v>415</v>
      </c>
      <c r="J45" s="787">
        <v>300</v>
      </c>
      <c r="K45" s="791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</row>
    <row r="46" spans="2:29" ht="19.899999999999999" thickBot="1">
      <c r="B46" s="756">
        <v>24</v>
      </c>
      <c r="C46" s="757" t="s">
        <v>96</v>
      </c>
      <c r="D46" s="757" t="s">
        <v>67</v>
      </c>
      <c r="E46" s="758">
        <v>36</v>
      </c>
      <c r="F46" s="759">
        <v>2120</v>
      </c>
      <c r="G46" s="760">
        <v>954</v>
      </c>
      <c r="H46" s="760">
        <v>53</v>
      </c>
      <c r="I46" s="760">
        <v>450</v>
      </c>
      <c r="J46" s="760">
        <v>400</v>
      </c>
      <c r="K46" s="788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.75" customHeight="1" thickBot="1">
      <c r="B47" s="839"/>
      <c r="C47" s="700"/>
      <c r="D47" s="701"/>
      <c r="E47" s="701"/>
      <c r="F47" s="224">
        <f>SUM(F24:F46)</f>
        <v>29066</v>
      </c>
      <c r="G47" s="224">
        <f>SUM(G23:G46)</f>
        <v>15132</v>
      </c>
      <c r="H47" s="840"/>
      <c r="I47" s="841"/>
      <c r="J47" s="840"/>
      <c r="K47" s="83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" customHeight="1" thickBot="1">
      <c r="B48" s="839"/>
      <c r="C48" s="1343"/>
      <c r="D48" s="1343"/>
      <c r="E48" s="1343"/>
      <c r="F48" s="842"/>
      <c r="G48" s="208">
        <f>ROUNDUP(G47,-1)</f>
        <v>15140</v>
      </c>
      <c r="H48" s="842"/>
      <c r="I48" s="843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8.75" customHeight="1" thickBot="1">
      <c r="B49" s="839"/>
      <c r="C49" s="839"/>
      <c r="D49" s="842"/>
      <c r="E49" s="842"/>
      <c r="F49" s="842"/>
      <c r="G49"/>
      <c r="H49" s="842"/>
      <c r="I49" s="842"/>
      <c r="J49" s="839"/>
      <c r="K49" s="83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5" customHeight="1" thickBot="1">
      <c r="B50" s="844"/>
      <c r="C50" s="844"/>
      <c r="D50" s="844"/>
      <c r="E50" s="844"/>
      <c r="F50" s="844"/>
      <c r="G50" s="844"/>
      <c r="H50" s="844"/>
      <c r="I50" s="844"/>
      <c r="J50" s="844"/>
      <c r="K50" s="845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19.899999999999999" thickBot="1">
      <c r="B51" s="844"/>
      <c r="C51" s="844"/>
      <c r="D51" s="844"/>
      <c r="E51" s="844"/>
      <c r="F51" s="844"/>
      <c r="G51" s="844"/>
      <c r="H51" s="844"/>
      <c r="I51" s="844"/>
      <c r="J51" s="844"/>
      <c r="K51" s="845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19.899999999999999" thickBot="1">
      <c r="B52" s="844"/>
      <c r="C52" s="1252" t="s">
        <v>419</v>
      </c>
      <c r="D52" s="1291"/>
      <c r="E52" s="1291"/>
      <c r="F52" s="1291"/>
      <c r="G52" s="1291"/>
      <c r="H52" s="1291"/>
      <c r="I52" s="1291"/>
      <c r="J52" s="1291"/>
      <c r="K52" s="1292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40.15" thickBot="1">
      <c r="B53" s="179" t="s">
        <v>156</v>
      </c>
      <c r="C53" s="179" t="s">
        <v>31</v>
      </c>
      <c r="D53" s="180" t="s">
        <v>32</v>
      </c>
      <c r="E53" s="180" t="s">
        <v>33</v>
      </c>
      <c r="F53" s="180" t="s">
        <v>34</v>
      </c>
      <c r="G53" s="180" t="s">
        <v>35</v>
      </c>
      <c r="H53" s="180" t="s">
        <v>37</v>
      </c>
      <c r="I53" s="182" t="s">
        <v>38</v>
      </c>
      <c r="J53" s="182" t="s">
        <v>39</v>
      </c>
      <c r="K53" s="183" t="s">
        <v>40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</row>
    <row r="54" spans="2:29" ht="19.899999999999999" thickBot="1">
      <c r="B54" s="210">
        <v>1</v>
      </c>
      <c r="C54" s="216" t="s">
        <v>98</v>
      </c>
      <c r="D54" s="192" t="s">
        <v>99</v>
      </c>
      <c r="E54" s="193">
        <v>36</v>
      </c>
      <c r="F54" s="194">
        <f>((100/(100-H54))*G54)</f>
        <v>2403.2258064516127</v>
      </c>
      <c r="G54" s="194">
        <v>1490</v>
      </c>
      <c r="H54" s="194">
        <v>38</v>
      </c>
      <c r="I54" s="193">
        <v>439</v>
      </c>
      <c r="J54" s="193">
        <v>330</v>
      </c>
      <c r="K54" s="846"/>
      <c r="L54" s="621"/>
      <c r="M54" s="621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8.75" customHeight="1" thickBot="1">
      <c r="B55" s="210">
        <v>2</v>
      </c>
      <c r="C55" s="216" t="s">
        <v>100</v>
      </c>
      <c r="D55" s="192" t="s">
        <v>101</v>
      </c>
      <c r="E55" s="193">
        <v>36</v>
      </c>
      <c r="F55" s="194">
        <v>968</v>
      </c>
      <c r="G55" s="194">
        <v>968</v>
      </c>
      <c r="H55" s="194">
        <v>0</v>
      </c>
      <c r="I55" s="193">
        <v>345</v>
      </c>
      <c r="J55" s="193">
        <v>120</v>
      </c>
      <c r="K55" s="846"/>
      <c r="L55" s="602"/>
      <c r="M55" s="602"/>
      <c r="N55" s="602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 ht="15" customHeight="1" thickBot="1">
      <c r="B56" s="210">
        <v>3</v>
      </c>
      <c r="C56" s="216" t="s">
        <v>104</v>
      </c>
      <c r="D56" s="192" t="s">
        <v>99</v>
      </c>
      <c r="E56" s="193">
        <v>24</v>
      </c>
      <c r="F56" s="194">
        <f>((100/(100-H56))*G56)</f>
        <v>1108.1081081081081</v>
      </c>
      <c r="G56" s="194">
        <v>410</v>
      </c>
      <c r="H56" s="194">
        <v>63</v>
      </c>
      <c r="I56" s="193">
        <v>373</v>
      </c>
      <c r="J56" s="193">
        <v>220</v>
      </c>
      <c r="K56" s="846"/>
      <c r="L56" s="621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 ht="19.899999999999999" thickBot="1">
      <c r="B57" s="210">
        <v>4</v>
      </c>
      <c r="C57" s="216" t="s">
        <v>106</v>
      </c>
      <c r="D57" s="192" t="s">
        <v>103</v>
      </c>
      <c r="E57" s="193">
        <v>28</v>
      </c>
      <c r="F57" s="194">
        <v>778</v>
      </c>
      <c r="G57" s="194">
        <v>630</v>
      </c>
      <c r="H57" s="194">
        <v>19</v>
      </c>
      <c r="I57" s="193">
        <v>959</v>
      </c>
      <c r="J57" s="193">
        <v>370</v>
      </c>
      <c r="K57" s="846"/>
      <c r="L57" s="621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5" customHeight="1" thickBot="1">
      <c r="B58" s="210">
        <v>6</v>
      </c>
      <c r="C58" s="216" t="s">
        <v>109</v>
      </c>
      <c r="D58" s="192" t="s">
        <v>110</v>
      </c>
      <c r="E58" s="193">
        <v>28</v>
      </c>
      <c r="F58" s="194">
        <v>1096</v>
      </c>
      <c r="G58" s="194">
        <v>526</v>
      </c>
      <c r="H58" s="194">
        <v>52</v>
      </c>
      <c r="I58" s="193">
        <v>308</v>
      </c>
      <c r="J58" s="193">
        <v>240</v>
      </c>
      <c r="K58" s="846"/>
      <c r="L58" s="621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 ht="19.899999999999999" thickBot="1">
      <c r="B59" s="210">
        <v>7</v>
      </c>
      <c r="C59" s="216" t="s">
        <v>111</v>
      </c>
      <c r="D59" s="192" t="s">
        <v>99</v>
      </c>
      <c r="E59" s="193">
        <v>36</v>
      </c>
      <c r="F59" s="194">
        <v>2705</v>
      </c>
      <c r="G59" s="194">
        <v>1271</v>
      </c>
      <c r="H59" s="194">
        <v>53</v>
      </c>
      <c r="I59" s="193">
        <v>439</v>
      </c>
      <c r="J59" s="193">
        <v>370</v>
      </c>
      <c r="K59" s="846"/>
      <c r="L59" s="621"/>
      <c r="M59" s="621"/>
      <c r="N59" s="621"/>
      <c r="O59" s="621"/>
      <c r="P59" s="621"/>
      <c r="Q59" s="621"/>
      <c r="R59" s="621"/>
      <c r="S59" s="621"/>
      <c r="T59" s="62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 ht="19.899999999999999" thickBot="1">
      <c r="B60" s="210">
        <v>8</v>
      </c>
      <c r="C60" s="216" t="s">
        <v>112</v>
      </c>
      <c r="D60" s="192" t="s">
        <v>103</v>
      </c>
      <c r="E60" s="193">
        <v>56</v>
      </c>
      <c r="F60" s="194">
        <v>5814</v>
      </c>
      <c r="G60" s="194">
        <v>5814</v>
      </c>
      <c r="H60" s="194">
        <v>0</v>
      </c>
      <c r="I60" s="193">
        <v>439</v>
      </c>
      <c r="J60" s="193">
        <v>602</v>
      </c>
      <c r="K60" s="846"/>
      <c r="L60" s="621"/>
      <c r="M60" s="621"/>
      <c r="N60" s="680"/>
      <c r="O60" s="680"/>
      <c r="P60" s="680"/>
      <c r="Q60" s="680"/>
      <c r="R60" s="680"/>
      <c r="S60" s="680"/>
      <c r="T60" s="680"/>
      <c r="U60" s="680"/>
      <c r="V60" s="680"/>
      <c r="W60" s="680"/>
      <c r="X60" s="680"/>
      <c r="Y60" s="680"/>
      <c r="Z60" s="680"/>
      <c r="AA60" s="680"/>
      <c r="AB60" s="621"/>
      <c r="AC60" s="621"/>
    </row>
    <row r="61" spans="2:29" ht="19.899999999999999" thickBot="1">
      <c r="B61" s="210">
        <v>9</v>
      </c>
      <c r="C61" s="216" t="s">
        <v>113</v>
      </c>
      <c r="D61" s="192" t="s">
        <v>103</v>
      </c>
      <c r="E61" s="193">
        <v>36</v>
      </c>
      <c r="F61" s="194">
        <v>2199</v>
      </c>
      <c r="G61" s="194">
        <v>2001</v>
      </c>
      <c r="H61" s="194">
        <v>9</v>
      </c>
      <c r="I61" s="193">
        <v>346</v>
      </c>
      <c r="J61" s="193">
        <v>440</v>
      </c>
      <c r="K61" s="846"/>
      <c r="L61" s="621"/>
      <c r="M61" s="583"/>
      <c r="N61" s="621"/>
      <c r="O61" s="621"/>
      <c r="P61" s="621"/>
      <c r="Q61" s="621"/>
      <c r="R61" s="621"/>
      <c r="S61" s="621"/>
      <c r="T61" s="621"/>
      <c r="U61" s="621"/>
      <c r="V61" s="621"/>
      <c r="W61" s="621"/>
      <c r="X61" s="621"/>
      <c r="Y61" s="621"/>
      <c r="Z61" s="621"/>
      <c r="AA61" s="583"/>
      <c r="AB61" s="621"/>
      <c r="AC61" s="621"/>
    </row>
    <row r="62" spans="2:29" ht="19.899999999999999" thickBot="1">
      <c r="B62" s="210">
        <v>11</v>
      </c>
      <c r="C62" s="216" t="s">
        <v>114</v>
      </c>
      <c r="D62" s="192" t="s">
        <v>99</v>
      </c>
      <c r="E62" s="193">
        <v>40</v>
      </c>
      <c r="F62" s="194">
        <v>1958</v>
      </c>
      <c r="G62" s="194">
        <v>1155</v>
      </c>
      <c r="H62" s="194">
        <v>41</v>
      </c>
      <c r="I62" s="193">
        <v>396</v>
      </c>
      <c r="J62" s="193">
        <v>300</v>
      </c>
      <c r="K62" s="846"/>
      <c r="L62" s="621"/>
      <c r="M62" s="621"/>
      <c r="N62" s="621"/>
      <c r="O62" s="621"/>
      <c r="P62" s="621"/>
      <c r="Q62" s="621"/>
      <c r="R62" s="621"/>
      <c r="S62" s="621"/>
      <c r="T62" s="621"/>
      <c r="U62" s="621"/>
      <c r="V62" s="621"/>
      <c r="W62" s="621"/>
      <c r="X62" s="621"/>
      <c r="Y62" s="621"/>
      <c r="Z62" s="621"/>
      <c r="AA62" s="621"/>
      <c r="AB62" s="621"/>
      <c r="AC62" s="621"/>
    </row>
    <row r="63" spans="2:29" ht="19.899999999999999" thickBot="1">
      <c r="B63" s="210">
        <v>10</v>
      </c>
      <c r="C63" s="216" t="s">
        <v>115</v>
      </c>
      <c r="D63" s="192" t="s">
        <v>105</v>
      </c>
      <c r="E63" s="193">
        <v>20</v>
      </c>
      <c r="F63" s="194">
        <v>738</v>
      </c>
      <c r="G63" s="194">
        <v>649</v>
      </c>
      <c r="H63" s="194">
        <v>12</v>
      </c>
      <c r="I63" s="193">
        <v>293</v>
      </c>
      <c r="J63" s="193">
        <v>510</v>
      </c>
      <c r="K63" s="846"/>
      <c r="L63" s="621"/>
      <c r="M63" s="621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 ht="19.899999999999999" thickBot="1">
      <c r="B64" s="210">
        <v>12</v>
      </c>
      <c r="C64" s="216" t="s">
        <v>116</v>
      </c>
      <c r="D64" s="192" t="s">
        <v>117</v>
      </c>
      <c r="E64" s="193">
        <v>28</v>
      </c>
      <c r="F64" s="194">
        <v>771</v>
      </c>
      <c r="G64" s="194">
        <v>172</v>
      </c>
      <c r="H64" s="194">
        <v>78</v>
      </c>
      <c r="I64" s="193">
        <v>669</v>
      </c>
      <c r="J64" s="193">
        <v>200</v>
      </c>
      <c r="K64" s="846"/>
      <c r="L64" s="621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 ht="19.899999999999999" thickBot="1">
      <c r="B65" s="210">
        <v>14</v>
      </c>
      <c r="C65" s="216" t="s">
        <v>119</v>
      </c>
      <c r="D65" s="192" t="s">
        <v>103</v>
      </c>
      <c r="E65" s="193">
        <v>28</v>
      </c>
      <c r="F65" s="194">
        <v>628</v>
      </c>
      <c r="G65" s="194">
        <v>308</v>
      </c>
      <c r="H65" s="194">
        <v>51</v>
      </c>
      <c r="I65" s="193">
        <v>340</v>
      </c>
      <c r="J65" s="193">
        <v>120</v>
      </c>
      <c r="K65" s="846"/>
      <c r="L65" s="621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 ht="19.899999999999999" thickBot="1">
      <c r="B66" s="210">
        <v>15</v>
      </c>
      <c r="C66" s="216" t="s">
        <v>120</v>
      </c>
      <c r="D66" s="192" t="s">
        <v>101</v>
      </c>
      <c r="E66" s="193">
        <v>20</v>
      </c>
      <c r="F66" s="194">
        <v>240</v>
      </c>
      <c r="G66" s="194">
        <v>113</v>
      </c>
      <c r="H66" s="194">
        <v>53</v>
      </c>
      <c r="I66" s="193">
        <v>393</v>
      </c>
      <c r="J66" s="193">
        <v>160</v>
      </c>
      <c r="K66" s="846"/>
      <c r="L66" s="621"/>
      <c r="M66" s="621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 ht="19.899999999999999" thickBot="1">
      <c r="B67" s="210">
        <v>16</v>
      </c>
      <c r="C67" s="216" t="s">
        <v>121</v>
      </c>
      <c r="D67" s="192" t="s">
        <v>105</v>
      </c>
      <c r="E67" s="193">
        <v>24</v>
      </c>
      <c r="F67" s="194">
        <v>360</v>
      </c>
      <c r="G67" s="194">
        <v>227</v>
      </c>
      <c r="H67" s="194">
        <v>40</v>
      </c>
      <c r="I67" s="193">
        <v>217</v>
      </c>
      <c r="J67" s="193">
        <v>140</v>
      </c>
      <c r="K67" s="846"/>
      <c r="L67" s="621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 ht="19.899999999999999" thickBot="1">
      <c r="B68" s="263">
        <v>17</v>
      </c>
      <c r="C68" s="253" t="s">
        <v>122</v>
      </c>
      <c r="D68" s="254" t="s">
        <v>110</v>
      </c>
      <c r="E68" s="255">
        <v>24</v>
      </c>
      <c r="F68" s="197">
        <v>908</v>
      </c>
      <c r="G68" s="197">
        <v>835</v>
      </c>
      <c r="H68" s="197">
        <v>8</v>
      </c>
      <c r="I68" s="255">
        <v>332</v>
      </c>
      <c r="J68" s="255">
        <v>570</v>
      </c>
      <c r="K68" s="779"/>
      <c r="L68" s="621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 ht="19.899999999999999" thickBot="1">
      <c r="B69" s="210">
        <v>18</v>
      </c>
      <c r="C69" s="216" t="s">
        <v>123</v>
      </c>
      <c r="D69" s="192" t="s">
        <v>124</v>
      </c>
      <c r="E69" s="193">
        <v>24</v>
      </c>
      <c r="F69" s="194">
        <v>903</v>
      </c>
      <c r="G69" s="194">
        <v>289</v>
      </c>
      <c r="H69" s="194">
        <v>68</v>
      </c>
      <c r="I69" s="193">
        <v>1025</v>
      </c>
      <c r="J69" s="193">
        <v>330</v>
      </c>
      <c r="K69" s="846"/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 ht="15" customHeight="1" thickBot="1">
      <c r="B70" s="222">
        <v>19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7" t="s">
        <v>235</v>
      </c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 ht="19.899999999999999" thickBot="1">
      <c r="B71" s="210">
        <v>20</v>
      </c>
      <c r="C71" s="216" t="s">
        <v>128</v>
      </c>
      <c r="D71" s="192" t="s">
        <v>105</v>
      </c>
      <c r="E71" s="193">
        <v>24</v>
      </c>
      <c r="F71" s="194">
        <v>741</v>
      </c>
      <c r="G71" s="194">
        <v>200</v>
      </c>
      <c r="H71" s="194">
        <v>73</v>
      </c>
      <c r="I71" s="193">
        <v>300</v>
      </c>
      <c r="J71" s="193">
        <v>180</v>
      </c>
      <c r="K71" s="846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16.5" customHeight="1" thickBot="1">
      <c r="B72" s="222">
        <v>21</v>
      </c>
      <c r="C72" s="218" t="s">
        <v>129</v>
      </c>
      <c r="D72" s="219" t="s">
        <v>99</v>
      </c>
      <c r="E72" s="220">
        <v>20</v>
      </c>
      <c r="F72" s="221">
        <v>700</v>
      </c>
      <c r="G72" s="221">
        <v>427</v>
      </c>
      <c r="H72" s="221">
        <v>39</v>
      </c>
      <c r="I72" s="220">
        <v>345</v>
      </c>
      <c r="J72" s="220">
        <v>100</v>
      </c>
      <c r="K72" s="848" t="s">
        <v>68</v>
      </c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 ht="15" customHeight="1" thickBot="1">
      <c r="B73" s="222">
        <v>22</v>
      </c>
      <c r="C73" s="218" t="s">
        <v>130</v>
      </c>
      <c r="D73" s="219" t="s">
        <v>105</v>
      </c>
      <c r="E73" s="220">
        <v>16</v>
      </c>
      <c r="F73" s="221">
        <v>791</v>
      </c>
      <c r="G73" s="220">
        <v>340</v>
      </c>
      <c r="H73" s="221">
        <v>57</v>
      </c>
      <c r="I73" s="220">
        <v>309</v>
      </c>
      <c r="J73" s="220">
        <v>182</v>
      </c>
      <c r="K73" s="848" t="s">
        <v>68</v>
      </c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18" customHeight="1" thickBot="1">
      <c r="B74" s="222">
        <v>23</v>
      </c>
      <c r="C74" s="218" t="s">
        <v>131</v>
      </c>
      <c r="D74" s="219" t="s">
        <v>110</v>
      </c>
      <c r="E74" s="220">
        <v>24</v>
      </c>
      <c r="F74" s="221">
        <v>878</v>
      </c>
      <c r="G74" s="220">
        <v>430</v>
      </c>
      <c r="H74" s="221">
        <v>51</v>
      </c>
      <c r="I74" s="220">
        <v>486</v>
      </c>
      <c r="J74" s="220">
        <v>377</v>
      </c>
      <c r="K74" s="848" t="s">
        <v>68</v>
      </c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27" thickBot="1">
      <c r="B75" s="210">
        <v>24</v>
      </c>
      <c r="C75" s="216" t="s">
        <v>132</v>
      </c>
      <c r="D75" s="192" t="s">
        <v>133</v>
      </c>
      <c r="E75" s="193">
        <v>24</v>
      </c>
      <c r="F75" s="194">
        <v>595</v>
      </c>
      <c r="G75" s="194">
        <v>304</v>
      </c>
      <c r="H75" s="194">
        <v>49</v>
      </c>
      <c r="I75" s="193">
        <v>333</v>
      </c>
      <c r="J75" s="193">
        <v>170</v>
      </c>
      <c r="K75" s="846"/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1" customHeight="1" thickBot="1">
      <c r="B76" s="210">
        <v>25</v>
      </c>
      <c r="C76" s="216" t="s">
        <v>134</v>
      </c>
      <c r="D76" s="192" t="s">
        <v>135</v>
      </c>
      <c r="E76" s="193">
        <v>20</v>
      </c>
      <c r="F76" s="194">
        <v>475</v>
      </c>
      <c r="G76" s="194">
        <v>190</v>
      </c>
      <c r="H76" s="194">
        <v>60</v>
      </c>
      <c r="I76" s="193">
        <v>1836</v>
      </c>
      <c r="J76" s="193">
        <v>563</v>
      </c>
      <c r="K76" s="848"/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18.75" customHeight="1" thickBot="1">
      <c r="B77" s="222">
        <v>26</v>
      </c>
      <c r="C77" s="218" t="s">
        <v>136</v>
      </c>
      <c r="D77" s="219" t="s">
        <v>105</v>
      </c>
      <c r="E77" s="220">
        <v>40</v>
      </c>
      <c r="F77" s="221">
        <v>2922</v>
      </c>
      <c r="G77" s="221">
        <v>1169</v>
      </c>
      <c r="H77" s="221">
        <v>60</v>
      </c>
      <c r="I77" s="221">
        <v>319</v>
      </c>
      <c r="J77" s="221">
        <v>310</v>
      </c>
      <c r="K77" s="847" t="s">
        <v>235</v>
      </c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21" customHeight="1" thickBot="1">
      <c r="B78" s="222">
        <v>27</v>
      </c>
      <c r="C78" s="218" t="s">
        <v>137</v>
      </c>
      <c r="D78" s="219" t="s">
        <v>110</v>
      </c>
      <c r="E78" s="220">
        <v>40</v>
      </c>
      <c r="F78" s="849">
        <v>2222</v>
      </c>
      <c r="G78" s="849">
        <v>822</v>
      </c>
      <c r="H78" s="221">
        <v>63</v>
      </c>
      <c r="I78" s="220">
        <v>348</v>
      </c>
      <c r="J78" s="220">
        <v>260</v>
      </c>
      <c r="K78" s="847" t="s">
        <v>235</v>
      </c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.75" customHeight="1" thickBot="1">
      <c r="B79"/>
      <c r="C79" s="1344"/>
      <c r="D79" s="1344"/>
      <c r="E79" s="1344"/>
      <c r="F79" s="850">
        <f>SUM(F54:F78)</f>
        <v>35984.33391455972</v>
      </c>
      <c r="G79" s="851">
        <f>SUM(G54:G78)</f>
        <v>21634</v>
      </c>
      <c r="H79" s="225"/>
      <c r="I79" s="408"/>
      <c r="J79" s="225"/>
      <c r="K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</row>
    <row r="80" spans="2:29" ht="21" customHeight="1" thickBot="1">
      <c r="B80"/>
      <c r="C80"/>
      <c r="D80"/>
      <c r="E80"/>
      <c r="F80" s="1"/>
      <c r="G80" s="852">
        <f>ROUNDUP(G79,-1)</f>
        <v>21640</v>
      </c>
      <c r="H80" s="1"/>
      <c r="I80"/>
      <c r="J80" s="225"/>
      <c r="K80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 thickBot="1">
      <c r="B81"/>
      <c r="C81"/>
      <c r="D81" s="1"/>
      <c r="E81" s="1"/>
      <c r="F81" s="1"/>
      <c r="G81" s="1"/>
      <c r="H81" s="1"/>
      <c r="I81" s="1"/>
      <c r="J81" s="1"/>
      <c r="K81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18.95" customHeight="1" thickBot="1">
      <c r="B82"/>
      <c r="C82" s="1252" t="s">
        <v>420</v>
      </c>
      <c r="D82" s="1291"/>
      <c r="E82" s="1291"/>
      <c r="F82" s="1291"/>
      <c r="G82" s="1291"/>
      <c r="H82" s="1291"/>
      <c r="I82" s="1291"/>
      <c r="J82" s="1291"/>
      <c r="K82" s="1292"/>
      <c r="L82" s="579"/>
      <c r="M82" s="579"/>
      <c r="N82" s="660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40.15" thickBot="1">
      <c r="B83" s="179" t="s">
        <v>156</v>
      </c>
      <c r="C83" s="803" t="s">
        <v>31</v>
      </c>
      <c r="D83" s="804" t="s">
        <v>32</v>
      </c>
      <c r="E83" s="804" t="s">
        <v>33</v>
      </c>
      <c r="F83" s="795" t="s">
        <v>34</v>
      </c>
      <c r="G83" s="795" t="s">
        <v>35</v>
      </c>
      <c r="H83" s="804" t="s">
        <v>37</v>
      </c>
      <c r="I83" s="806" t="s">
        <v>38</v>
      </c>
      <c r="J83" s="806" t="s">
        <v>39</v>
      </c>
      <c r="K83" s="226" t="s">
        <v>40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19.899999999999999" thickBot="1">
      <c r="B84" s="766">
        <v>1</v>
      </c>
      <c r="C84" s="767" t="s">
        <v>139</v>
      </c>
      <c r="D84" s="768" t="s">
        <v>140</v>
      </c>
      <c r="E84" s="769">
        <v>20</v>
      </c>
      <c r="F84" s="770">
        <v>550</v>
      </c>
      <c r="G84" s="770">
        <v>137.5</v>
      </c>
      <c r="H84" s="769">
        <v>75</v>
      </c>
      <c r="I84" s="771">
        <v>335</v>
      </c>
      <c r="J84" s="769">
        <v>420</v>
      </c>
      <c r="K84" s="294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19.899999999999999" thickBot="1">
      <c r="B85" s="853">
        <v>2</v>
      </c>
      <c r="C85" s="229" t="s">
        <v>142</v>
      </c>
      <c r="D85" s="230" t="s">
        <v>143</v>
      </c>
      <c r="E85" s="193">
        <v>24</v>
      </c>
      <c r="F85" s="188">
        <v>555</v>
      </c>
      <c r="G85" s="188">
        <v>540</v>
      </c>
      <c r="H85" s="193">
        <v>3.5</v>
      </c>
      <c r="I85" s="432">
        <v>400</v>
      </c>
      <c r="J85" s="187">
        <v>315</v>
      </c>
      <c r="K85" s="238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 ht="19.899999999999999" thickBot="1">
      <c r="B86" s="853">
        <v>3</v>
      </c>
      <c r="C86" s="229" t="s">
        <v>144</v>
      </c>
      <c r="D86" s="230" t="s">
        <v>140</v>
      </c>
      <c r="E86" s="193">
        <v>32</v>
      </c>
      <c r="F86" s="194">
        <v>1561</v>
      </c>
      <c r="G86" s="194">
        <v>1153</v>
      </c>
      <c r="H86" s="193">
        <v>27</v>
      </c>
      <c r="I86" s="432">
        <v>841</v>
      </c>
      <c r="J86" s="187">
        <v>770</v>
      </c>
      <c r="K86" s="238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 ht="19.899999999999999" thickBot="1">
      <c r="B87" s="702">
        <v>4</v>
      </c>
      <c r="C87" s="703" t="s">
        <v>145</v>
      </c>
      <c r="D87" s="704" t="s">
        <v>146</v>
      </c>
      <c r="E87" s="705">
        <v>36</v>
      </c>
      <c r="F87" s="706">
        <v>2142</v>
      </c>
      <c r="G87" s="706">
        <v>1935</v>
      </c>
      <c r="H87" s="407">
        <v>6.5</v>
      </c>
      <c r="I87" s="707">
        <v>377</v>
      </c>
      <c r="J87" s="708">
        <v>500</v>
      </c>
      <c r="K87" s="203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 ht="19.899999999999999" thickBot="1">
      <c r="B88"/>
      <c r="C88" s="204"/>
      <c r="D88" s="205"/>
      <c r="E88" s="205"/>
      <c r="F88" s="850">
        <v>4893.8756749777749</v>
      </c>
      <c r="G88" s="851">
        <f>SUM(G84:G87)</f>
        <v>3765.5</v>
      </c>
      <c r="H88" s="207"/>
      <c r="I88" s="207"/>
      <c r="J88" s="207"/>
      <c r="K88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 ht="19.5" customHeight="1" thickBot="1">
      <c r="B89"/>
      <c r="C89" s="1342"/>
      <c r="D89" s="1342"/>
      <c r="E89" s="1342"/>
      <c r="F89" s="1"/>
      <c r="G89" s="852">
        <f>ROUNDUP(G88,-1)</f>
        <v>3770</v>
      </c>
      <c r="H89" s="1"/>
      <c r="I89"/>
      <c r="J89" s="1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 thickBot="1">
      <c r="B90" s="579"/>
      <c r="C90" s="579"/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899999999999999" thickBo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 ht="19.899999999999999" thickBot="1">
      <c r="B92" s="579"/>
      <c r="C92" s="579"/>
      <c r="D92" s="579"/>
      <c r="E92" s="579"/>
      <c r="F92" s="579">
        <v>22000</v>
      </c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 ht="19.899999999999999" thickBot="1">
      <c r="B93" s="579"/>
      <c r="C93" s="579"/>
      <c r="D93" s="579"/>
      <c r="E93" s="579"/>
      <c r="F93" s="579">
        <v>15000</v>
      </c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 ht="19.899999999999999" thickBot="1">
      <c r="B94" s="579"/>
      <c r="C94" s="579"/>
      <c r="D94" s="579"/>
      <c r="E94" s="579"/>
      <c r="F94" s="579">
        <v>3400</v>
      </c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 ht="19.899999999999999" thickBot="1">
      <c r="B95" s="579"/>
      <c r="C95" s="579"/>
      <c r="D95" s="579"/>
      <c r="E95" s="579"/>
      <c r="F95" s="579"/>
      <c r="G95" s="660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 ht="19.899999999999999" thickBot="1">
      <c r="B96" s="579"/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 ht="19.899999999999999" thickBot="1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 ht="19.899999999999999" thickBot="1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 ht="19.899999999999999" thickBot="1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 ht="19.899999999999999" thickBot="1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 ht="19.899999999999999" thickBot="1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 ht="19.899999999999999" thickBot="1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 ht="19.899999999999999" thickBot="1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 ht="19.899999999999999" thickBot="1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 ht="19.899999999999999" thickBot="1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 ht="19.899999999999999" thickBot="1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 ht="19.899999999999999" thickBot="1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 ht="19.899999999999999" thickBot="1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 ht="19.899999999999999" thickBot="1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 ht="19.899999999999999" thickBot="1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 ht="19.899999999999999" thickBot="1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 ht="19.899999999999999" thickBot="1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 ht="19.899999999999999" thickBot="1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 ht="19.899999999999999" thickBot="1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 ht="19.899999999999999" thickBot="1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 ht="19.899999999999999" thickBot="1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 ht="19.899999999999999" thickBot="1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 ht="19.899999999999999" thickBot="1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 ht="19.899999999999999" thickBot="1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 ht="19.899999999999999" thickBot="1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 ht="19.899999999999999" thickBot="1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 ht="19.899999999999999" thickBot="1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 ht="19.899999999999999" thickBot="1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 ht="19.899999999999999" thickBot="1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 ht="19.899999999999999" thickBot="1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 ht="19.899999999999999" thickBot="1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 ht="19.899999999999999" thickBot="1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 ht="19.899999999999999" thickBot="1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 ht="19.899999999999999" thickBot="1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 ht="19.899999999999999" thickBot="1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 ht="19.899999999999999" thickBot="1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 ht="19.899999999999999" thickBot="1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 ht="19.899999999999999" thickBot="1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 ht="19.899999999999999" thickBot="1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 ht="19.899999999999999" thickBot="1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 ht="19.899999999999999" thickBot="1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 ht="19.899999999999999" thickBot="1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 ht="19.899999999999999" thickBot="1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 ht="19.899999999999999" thickBot="1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 ht="19.899999999999999" thickBot="1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 ht="19.899999999999999" thickBot="1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 ht="19.899999999999999" thickBot="1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 ht="19.899999999999999" thickBot="1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 ht="19.899999999999999" thickBot="1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 ht="19.899999999999999" thickBot="1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 ht="19.899999999999999" thickBot="1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 ht="19.899999999999999" thickBot="1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 ht="19.899999999999999" thickBot="1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 ht="19.899999999999999" thickBot="1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 ht="19.899999999999999" thickBot="1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 ht="19.899999999999999" thickBot="1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 ht="19.899999999999999" thickBot="1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 ht="19.899999999999999" thickBot="1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 ht="19.899999999999999" thickBot="1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 ht="19.899999999999999" thickBot="1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 ht="19.899999999999999" thickBot="1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 ht="19.899999999999999" thickBot="1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 ht="19.899999999999999" thickBot="1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 ht="19.899999999999999" thickBot="1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 ht="19.899999999999999" thickBot="1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 ht="19.899999999999999" thickBot="1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 ht="19.899999999999999" thickBot="1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 ht="19.899999999999999" thickBot="1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 ht="19.899999999999999" thickBot="1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 ht="19.899999999999999" thickBot="1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 ht="19.899999999999999" thickBot="1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 ht="19.899999999999999" thickBot="1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 ht="19.899999999999999" thickBot="1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 ht="19.899999999999999" thickBot="1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 ht="19.899999999999999" thickBot="1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 ht="19.899999999999999" thickBot="1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 ht="19.899999999999999" thickBot="1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 ht="19.899999999999999" thickBot="1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 ht="19.899999999999999" thickBot="1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 ht="19.899999999999999" thickBot="1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 ht="19.899999999999999" thickBot="1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 ht="19.899999999999999" thickBot="1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 ht="19.899999999999999" thickBot="1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 ht="19.899999999999999" thickBot="1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 ht="19.899999999999999" thickBot="1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 ht="19.899999999999999" thickBot="1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 ht="19.899999999999999" thickBot="1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 ht="19.899999999999999" thickBot="1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 ht="19.899999999999999" thickBot="1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 ht="19.899999999999999" thickBot="1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 ht="19.899999999999999" thickBot="1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 ht="19.899999999999999" thickBot="1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 ht="19.899999999999999" thickBot="1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 ht="19.899999999999999" thickBot="1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 ht="19.899999999999999" thickBot="1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 ht="19.899999999999999" thickBot="1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 ht="19.899999999999999" thickBot="1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 ht="19.899999999999999" thickBot="1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 ht="19.899999999999999" thickBot="1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 ht="19.899999999999999" thickBot="1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 ht="19.899999999999999" thickBot="1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 ht="19.899999999999999" thickBot="1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 ht="19.899999999999999" thickBot="1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 ht="19.899999999999999" thickBot="1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 ht="19.899999999999999" thickBot="1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 ht="19.899999999999999" thickBot="1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 ht="19.899999999999999" thickBot="1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 ht="19.899999999999999" thickBot="1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 ht="19.899999999999999" thickBot="1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 ht="19.899999999999999" thickBot="1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 ht="19.899999999999999" thickBot="1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 ht="19.899999999999999" thickBot="1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 ht="19.899999999999999" thickBot="1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 ht="19.899999999999999" thickBot="1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 ht="19.899999999999999" thickBot="1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 ht="19.899999999999999" thickBot="1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 ht="19.899999999999999" thickBot="1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 ht="19.899999999999999" thickBot="1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 ht="19.899999999999999" thickBot="1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 ht="19.899999999999999" thickBot="1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 ht="19.899999999999999" thickBot="1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 ht="19.899999999999999" thickBot="1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 ht="19.899999999999999" thickBot="1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 ht="19.899999999999999" thickBot="1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 ht="19.899999999999999" thickBot="1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 ht="19.899999999999999" thickBot="1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 ht="19.899999999999999" thickBot="1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 ht="19.899999999999999" thickBot="1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 ht="19.899999999999999" thickBot="1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 ht="19.899999999999999" thickBot="1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 ht="19.899999999999999" thickBot="1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 ht="19.899999999999999" thickBot="1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 ht="19.899999999999999" thickBot="1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 ht="19.899999999999999" thickBot="1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 ht="19.899999999999999" thickBot="1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 ht="19.899999999999999" thickBot="1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 ht="19.899999999999999" thickBot="1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 ht="19.899999999999999" thickBot="1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 ht="19.899999999999999" thickBot="1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 ht="19.899999999999999" thickBot="1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 ht="19.899999999999999" thickBot="1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 ht="19.899999999999999" thickBot="1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 ht="19.899999999999999" thickBot="1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 ht="19.899999999999999" thickBot="1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 ht="19.899999999999999" thickBot="1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 ht="19.899999999999999" thickBot="1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 ht="19.899999999999999" thickBot="1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 ht="19.899999999999999" thickBot="1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 ht="19.899999999999999" thickBot="1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 ht="19.899999999999999" thickBot="1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 ht="19.899999999999999" thickBot="1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 ht="19.899999999999999" thickBot="1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 ht="19.899999999999999" thickBot="1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 ht="19.899999999999999" thickBot="1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 ht="19.899999999999999" thickBot="1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 ht="19.899999999999999" thickBot="1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 ht="19.899999999999999" thickBot="1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 ht="19.899999999999999" thickBot="1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 ht="19.899999999999999" thickBot="1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 ht="19.899999999999999" thickBot="1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 ht="19.899999999999999" thickBot="1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 ht="19.899999999999999" thickBot="1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 ht="19.899999999999999" thickBot="1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 ht="19.899999999999999" thickBot="1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 ht="19.899999999999999" thickBot="1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 ht="19.899999999999999" thickBot="1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 ht="19.899999999999999" thickBot="1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 ht="19.899999999999999" thickBot="1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 ht="19.899999999999999" thickBot="1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 ht="19.899999999999999" thickBot="1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 ht="19.899999999999999" thickBot="1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 ht="19.899999999999999" thickBot="1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 ht="19.899999999999999" thickBot="1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 ht="19.899999999999999" thickBot="1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 ht="19.899999999999999" thickBot="1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 ht="19.899999999999999" thickBot="1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 ht="19.899999999999999" thickBot="1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 ht="19.899999999999999" thickBot="1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 ht="19.899999999999999" thickBot="1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 ht="19.899999999999999" thickBot="1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 ht="19.899999999999999" thickBot="1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 ht="19.899999999999999" thickBot="1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 ht="19.899999999999999" thickBot="1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 ht="19.899999999999999" thickBot="1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 ht="19.899999999999999" thickBot="1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 ht="19.899999999999999" thickBot="1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 ht="19.899999999999999" thickBot="1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 ht="19.899999999999999" thickBot="1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 ht="19.899999999999999" thickBot="1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 ht="19.899999999999999" thickBot="1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 ht="19.899999999999999" thickBot="1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 ht="19.899999999999999" thickBot="1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 ht="19.899999999999999" thickBot="1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 ht="19.899999999999999" thickBot="1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 ht="19.899999999999999" thickBot="1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 ht="19.899999999999999" thickBot="1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 ht="19.899999999999999" thickBot="1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 ht="19.899999999999999" thickBot="1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 ht="19.899999999999999" thickBot="1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 ht="19.899999999999999" thickBot="1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 ht="19.899999999999999" thickBot="1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 ht="19.899999999999999" thickBot="1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 ht="19.899999999999999" thickBot="1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 ht="19.899999999999999" thickBot="1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 ht="19.899999999999999" thickBot="1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 ht="19.899999999999999" thickBot="1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 ht="19.899999999999999" thickBot="1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 ht="19.899999999999999" thickBot="1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 ht="19.899999999999999" thickBot="1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 ht="19.899999999999999" thickBot="1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 ht="19.899999999999999" thickBot="1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 ht="19.899999999999999" thickBot="1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 ht="19.899999999999999" thickBot="1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 ht="19.899999999999999" thickBot="1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 ht="19.899999999999999" thickBot="1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 ht="19.899999999999999" thickBot="1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 ht="19.899999999999999" thickBot="1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 ht="19.899999999999999" thickBot="1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 ht="19.899999999999999" thickBot="1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 ht="19.899999999999999" thickBot="1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 ht="19.899999999999999" thickBot="1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 ht="19.899999999999999" thickBot="1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 ht="19.899999999999999" thickBot="1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 ht="19.899999999999999" thickBot="1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 ht="19.899999999999999" thickBot="1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 ht="19.899999999999999" thickBot="1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 ht="19.899999999999999" thickBot="1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 ht="19.899999999999999" thickBot="1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 ht="19.899999999999999" thickBot="1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 ht="19.899999999999999" thickBot="1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 ht="19.899999999999999" thickBot="1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 ht="19.899999999999999" thickBot="1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 ht="19.899999999999999" thickBot="1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 ht="19.899999999999999" thickBot="1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 ht="19.899999999999999" thickBot="1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 ht="19.899999999999999" thickBot="1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 ht="19.899999999999999" thickBot="1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 ht="19.899999999999999" thickBot="1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 ht="19.899999999999999" thickBot="1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 ht="19.899999999999999" thickBot="1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 ht="19.899999999999999" thickBot="1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 ht="19.899999999999999" thickBot="1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 ht="19.899999999999999" thickBot="1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 ht="19.899999999999999" thickBot="1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 ht="19.899999999999999" thickBot="1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 ht="19.899999999999999" thickBot="1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 ht="19.899999999999999" thickBot="1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 ht="19.899999999999999" thickBot="1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 ht="19.899999999999999" thickBot="1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 ht="19.899999999999999" thickBot="1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 ht="19.899999999999999" thickBot="1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 ht="19.899999999999999" thickBot="1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 ht="19.899999999999999" thickBot="1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 ht="19.899999999999999" thickBot="1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 ht="19.899999999999999" thickBot="1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 ht="19.899999999999999" thickBot="1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 ht="19.899999999999999" thickBot="1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 ht="19.899999999999999" thickBot="1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 ht="19.899999999999999" thickBot="1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 ht="19.899999999999999" thickBot="1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 ht="19.899999999999999" thickBot="1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 ht="19.899999999999999" thickBot="1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 ht="19.899999999999999" thickBot="1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 ht="19.899999999999999" thickBot="1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 ht="19.899999999999999" thickBot="1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 ht="19.899999999999999" thickBot="1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 ht="19.899999999999999" thickBot="1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 ht="19.899999999999999" thickBot="1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 ht="19.899999999999999" thickBot="1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 ht="19.899999999999999" thickBot="1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 ht="19.899999999999999" thickBot="1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 ht="19.899999999999999" thickBot="1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 ht="19.899999999999999" thickBot="1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 ht="19.899999999999999" thickBot="1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 ht="19.899999999999999" thickBot="1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 ht="19.899999999999999" thickBot="1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 ht="19.899999999999999" thickBot="1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 ht="19.899999999999999" thickBot="1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 ht="19.899999999999999" thickBot="1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 ht="19.899999999999999" thickBot="1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 ht="19.899999999999999" thickBot="1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 ht="19.899999999999999" thickBot="1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 ht="19.899999999999999" thickBot="1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 ht="19.899999999999999" thickBot="1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 ht="19.899999999999999" thickBot="1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 ht="19.899999999999999" thickBot="1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 ht="19.899999999999999" thickBot="1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 ht="19.899999999999999" thickBot="1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 ht="19.899999999999999" thickBot="1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 ht="19.899999999999999" thickBot="1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 ht="19.899999999999999" thickBot="1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 ht="19.899999999999999" thickBot="1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 ht="19.899999999999999" thickBot="1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 ht="19.899999999999999" thickBot="1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 ht="19.899999999999999" thickBot="1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 ht="19.899999999999999" thickBot="1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 ht="19.899999999999999" thickBot="1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 ht="19.899999999999999" thickBot="1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 ht="19.899999999999999" thickBot="1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 ht="19.899999999999999" thickBot="1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 ht="19.899999999999999" thickBot="1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 ht="19.899999999999999" thickBot="1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 ht="19.899999999999999" thickBot="1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 ht="19.899999999999999" thickBot="1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 ht="19.899999999999999" thickBot="1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 ht="19.899999999999999" thickBot="1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 ht="19.899999999999999" thickBot="1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 ht="19.899999999999999" thickBot="1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 ht="19.899999999999999" thickBot="1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 ht="19.899999999999999" thickBot="1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 ht="19.899999999999999" thickBot="1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 ht="19.899999999999999" thickBot="1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 ht="19.899999999999999" thickBot="1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 ht="19.899999999999999" thickBot="1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 ht="19.899999999999999" thickBot="1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 ht="19.899999999999999" thickBot="1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 ht="19.899999999999999" thickBot="1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 ht="19.899999999999999" thickBot="1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 ht="19.899999999999999" thickBot="1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 ht="19.899999999999999" thickBot="1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 ht="19.899999999999999" thickBot="1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 ht="19.899999999999999" thickBot="1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 ht="19.899999999999999" thickBot="1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 ht="19.899999999999999" thickBot="1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 ht="19.899999999999999" thickBot="1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 ht="19.899999999999999" thickBot="1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 ht="19.899999999999999" thickBot="1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 ht="19.899999999999999" thickBot="1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 ht="19.899999999999999" thickBot="1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 ht="19.899999999999999" thickBot="1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 ht="19.899999999999999" thickBot="1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 ht="19.899999999999999" thickBot="1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 ht="19.899999999999999" thickBot="1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 ht="19.899999999999999" thickBot="1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 ht="19.899999999999999" thickBot="1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 ht="19.899999999999999" thickBot="1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 ht="19.899999999999999" thickBot="1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 ht="19.899999999999999" thickBot="1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 ht="19.899999999999999" thickBot="1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 ht="19.899999999999999" thickBot="1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 ht="19.899999999999999" thickBot="1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 ht="19.899999999999999" thickBot="1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 ht="19.899999999999999" thickBot="1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 ht="19.899999999999999" thickBot="1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 ht="19.899999999999999" thickBot="1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 ht="19.899999999999999" thickBot="1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 ht="19.899999999999999" thickBot="1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 ht="19.899999999999999" thickBot="1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 ht="19.899999999999999" thickBot="1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 ht="19.899999999999999" thickBot="1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 ht="19.899999999999999" thickBot="1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 ht="19.899999999999999" thickBot="1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 ht="19.899999999999999" thickBot="1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 ht="19.899999999999999" thickBot="1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 ht="19.899999999999999" thickBot="1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 ht="19.899999999999999" thickBot="1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 ht="19.899999999999999" thickBot="1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 ht="19.899999999999999" thickBot="1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 ht="19.899999999999999" thickBot="1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 ht="19.899999999999999" thickBot="1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 ht="19.899999999999999" thickBot="1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 ht="19.899999999999999" thickBot="1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 ht="19.899999999999999" thickBot="1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 ht="19.899999999999999" thickBot="1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 ht="19.899999999999999" thickBot="1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 ht="19.899999999999999" thickBot="1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 ht="19.899999999999999" thickBot="1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 ht="19.899999999999999" thickBot="1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 ht="19.899999999999999" thickBot="1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 ht="19.899999999999999" thickBot="1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 ht="19.899999999999999" thickBot="1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 ht="19.899999999999999" thickBot="1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 ht="19.899999999999999" thickBot="1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 ht="19.899999999999999" thickBot="1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 ht="19.899999999999999" thickBot="1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 ht="19.899999999999999" thickBot="1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 ht="19.899999999999999" thickBot="1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 ht="19.899999999999999" thickBot="1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 ht="19.899999999999999" thickBot="1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 ht="19.899999999999999" thickBot="1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 ht="19.899999999999999" thickBot="1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 ht="19.899999999999999" thickBot="1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 ht="19.899999999999999" thickBot="1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 ht="19.899999999999999" thickBot="1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 ht="19.899999999999999" thickBot="1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 ht="19.899999999999999" thickBot="1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 ht="19.899999999999999" thickBot="1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 ht="19.899999999999999" thickBot="1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 ht="19.899999999999999" thickBot="1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 ht="19.899999999999999" thickBot="1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 ht="19.899999999999999" thickBot="1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 ht="19.899999999999999" thickBot="1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 ht="19.899999999999999" thickBot="1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 ht="19.899999999999999" thickBot="1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 ht="19.899999999999999" thickBot="1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 ht="19.899999999999999" thickBot="1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 ht="19.899999999999999" thickBot="1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 ht="19.899999999999999" thickBot="1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 ht="19.899999999999999" thickBot="1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 ht="19.899999999999999" thickBot="1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 ht="19.899999999999999" thickBot="1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 ht="19.899999999999999" thickBot="1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 ht="19.899999999999999" thickBot="1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 ht="19.899999999999999" thickBot="1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 ht="19.899999999999999" thickBot="1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 ht="19.899999999999999" thickBot="1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 ht="19.899999999999999" thickBot="1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 ht="19.899999999999999" thickBot="1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 ht="19.899999999999999" thickBot="1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 ht="19.899999999999999" thickBot="1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 ht="19.899999999999999" thickBot="1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 ht="19.899999999999999" thickBot="1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 ht="19.899999999999999" thickBot="1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 ht="19.899999999999999" thickBot="1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 ht="19.899999999999999" thickBot="1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 ht="19.899999999999999" thickBot="1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 ht="19.899999999999999" thickBot="1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 ht="19.899999999999999" thickBot="1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 ht="19.899999999999999" thickBot="1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 ht="19.899999999999999" thickBot="1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 ht="19.899999999999999" thickBot="1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 ht="19.899999999999999" thickBot="1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 ht="19.899999999999999" thickBot="1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 ht="19.899999999999999" thickBot="1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 ht="19.899999999999999" thickBot="1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 ht="19.899999999999999" thickBot="1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 ht="19.899999999999999" thickBot="1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 ht="19.899999999999999" thickBot="1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 ht="19.899999999999999" thickBot="1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 ht="19.899999999999999" thickBot="1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 ht="19.899999999999999" thickBot="1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 ht="19.899999999999999" thickBot="1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 ht="19.899999999999999" thickBot="1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 ht="19.899999999999999" thickBot="1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 ht="19.899999999999999" thickBot="1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 ht="19.899999999999999" thickBot="1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 ht="19.899999999999999" thickBot="1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 ht="19.899999999999999" thickBot="1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 ht="19.899999999999999" thickBot="1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 ht="19.899999999999999" thickBot="1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 ht="19.899999999999999" thickBot="1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 ht="19.899999999999999" thickBot="1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 ht="19.899999999999999" thickBot="1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 ht="19.899999999999999" thickBot="1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 ht="19.899999999999999" thickBot="1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 ht="19.899999999999999" thickBot="1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 ht="19.899999999999999" thickBot="1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 ht="19.899999999999999" thickBot="1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 ht="19.899999999999999" thickBot="1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 ht="19.899999999999999" thickBot="1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 ht="19.899999999999999" thickBot="1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 ht="19.899999999999999" thickBot="1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 ht="19.899999999999999" thickBot="1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 ht="19.899999999999999" thickBot="1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 ht="19.899999999999999" thickBot="1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 ht="19.899999999999999" thickBot="1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 ht="19.899999999999999" thickBot="1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 ht="19.899999999999999" thickBot="1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 ht="19.899999999999999" thickBot="1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 ht="19.899999999999999" thickBot="1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 ht="19.899999999999999" thickBot="1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 ht="19.899999999999999" thickBot="1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 ht="19.899999999999999" thickBot="1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 ht="19.899999999999999" thickBot="1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 ht="19.899999999999999" thickBot="1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 ht="19.899999999999999" thickBot="1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 ht="19.899999999999999" thickBot="1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 ht="19.899999999999999" thickBot="1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 ht="19.899999999999999" thickBot="1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 ht="19.899999999999999" thickBot="1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 ht="19.899999999999999" thickBot="1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 ht="19.899999999999999" thickBot="1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 ht="19.899999999999999" thickBot="1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 ht="19.899999999999999" thickBot="1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 ht="19.899999999999999" thickBot="1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 ht="19.899999999999999" thickBot="1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 ht="19.899999999999999" thickBot="1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 ht="19.899999999999999" thickBot="1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 ht="19.899999999999999" thickBot="1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 ht="19.899999999999999" thickBot="1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 ht="19.899999999999999" thickBot="1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 ht="19.899999999999999" thickBot="1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 ht="19.899999999999999" thickBot="1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 ht="19.899999999999999" thickBot="1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 ht="19.899999999999999" thickBot="1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 ht="19.899999999999999" thickBot="1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 ht="19.899999999999999" thickBot="1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 ht="19.899999999999999" thickBot="1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 ht="19.899999999999999" thickBot="1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 ht="19.899999999999999" thickBot="1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 ht="19.899999999999999" thickBot="1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 ht="19.899999999999999" thickBot="1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 ht="19.899999999999999" thickBot="1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 ht="19.899999999999999" thickBot="1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 ht="19.899999999999999" thickBot="1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 ht="19.899999999999999" thickBot="1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 ht="19.899999999999999" thickBot="1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 ht="19.899999999999999" thickBot="1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 ht="19.899999999999999" thickBot="1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 ht="19.899999999999999" thickBot="1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 ht="19.899999999999999" thickBot="1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 ht="19.899999999999999" thickBot="1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 ht="19.899999999999999" thickBot="1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 ht="19.899999999999999" thickBot="1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 ht="19.899999999999999" thickBot="1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 ht="19.899999999999999" thickBot="1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 ht="19.899999999999999" thickBot="1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 ht="19.899999999999999" thickBot="1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 ht="19.899999999999999" thickBot="1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 ht="19.899999999999999" thickBot="1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 ht="19.899999999999999" thickBot="1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 ht="19.899999999999999" thickBot="1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 ht="19.899999999999999" thickBot="1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 ht="19.899999999999999" thickBot="1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 ht="19.899999999999999" thickBot="1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 ht="19.899999999999999" thickBot="1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 ht="19.899999999999999" thickBot="1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 ht="19.899999999999999" thickBot="1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 ht="19.899999999999999" thickBot="1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 ht="19.899999999999999" thickBot="1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 ht="19.899999999999999" thickBot="1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 ht="19.899999999999999" thickBot="1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 ht="19.899999999999999" thickBot="1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 ht="19.899999999999999" thickBot="1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 ht="19.899999999999999" thickBot="1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 ht="19.899999999999999" thickBot="1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 ht="19.899999999999999" thickBot="1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 ht="19.899999999999999" thickBot="1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 ht="19.899999999999999" thickBot="1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 ht="19.899999999999999" thickBot="1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 ht="19.899999999999999" thickBot="1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 ht="19.899999999999999" thickBot="1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 ht="19.899999999999999" thickBot="1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 ht="19.899999999999999" thickBot="1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 ht="19.899999999999999" thickBot="1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 ht="19.899999999999999" thickBot="1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 ht="19.899999999999999" thickBot="1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 ht="19.899999999999999" thickBot="1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 ht="19.899999999999999" thickBot="1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 ht="19.899999999999999" thickBot="1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 ht="19.899999999999999" thickBot="1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 ht="19.899999999999999" thickBot="1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 ht="19.899999999999999" thickBot="1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 ht="19.899999999999999" thickBot="1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 ht="19.899999999999999" thickBot="1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 ht="19.899999999999999" thickBot="1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 ht="19.899999999999999" thickBot="1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 ht="19.899999999999999" thickBot="1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 ht="19.899999999999999" thickBot="1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 ht="19.899999999999999" thickBot="1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 ht="19.899999999999999" thickBot="1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 ht="19.899999999999999" thickBot="1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 ht="19.899999999999999" thickBot="1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 ht="19.899999999999999" thickBot="1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 ht="19.899999999999999" thickBot="1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 ht="19.899999999999999" thickBot="1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 ht="19.899999999999999" thickBot="1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 ht="19.899999999999999" thickBot="1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 ht="19.899999999999999" thickBot="1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 ht="19.899999999999999" thickBot="1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 ht="19.899999999999999" thickBot="1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 ht="19.899999999999999" thickBot="1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 ht="19.899999999999999" thickBot="1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 ht="19.899999999999999" thickBot="1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 ht="19.899999999999999" thickBot="1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 ht="19.899999999999999" thickBot="1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 ht="19.899999999999999" thickBot="1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 ht="19.899999999999999" thickBot="1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 ht="19.899999999999999" thickBot="1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 ht="19.899999999999999" thickBot="1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 ht="19.899999999999999" thickBot="1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 ht="19.899999999999999" thickBot="1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 ht="19.899999999999999" thickBot="1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 ht="19.899999999999999" thickBot="1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 ht="19.899999999999999" thickBot="1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 ht="19.899999999999999" thickBot="1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 ht="19.899999999999999" thickBot="1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 ht="19.899999999999999" thickBot="1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 ht="19.899999999999999" thickBot="1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 ht="19.899999999999999" thickBot="1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 ht="19.899999999999999" thickBot="1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 ht="19.899999999999999" thickBot="1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 ht="19.899999999999999" thickBot="1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 ht="19.899999999999999" thickBot="1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 ht="19.899999999999999" thickBot="1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 ht="19.899999999999999" thickBot="1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 ht="19.899999999999999" thickBot="1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 ht="19.899999999999999" thickBot="1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 ht="19.899999999999999" thickBot="1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 ht="19.899999999999999" thickBot="1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 ht="19.899999999999999" thickBot="1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 ht="19.899999999999999" thickBot="1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 ht="19.899999999999999" thickBot="1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 ht="19.899999999999999" thickBot="1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 ht="19.899999999999999" thickBot="1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 ht="19.899999999999999" thickBot="1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 ht="19.899999999999999" thickBot="1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 ht="19.899999999999999" thickBot="1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 ht="19.899999999999999" thickBot="1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 ht="19.899999999999999" thickBot="1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 ht="19.899999999999999" thickBot="1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 ht="19.899999999999999" thickBot="1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 ht="19.899999999999999" thickBot="1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 ht="19.899999999999999" thickBot="1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 ht="19.899999999999999" thickBot="1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 ht="19.899999999999999" thickBot="1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 ht="19.899999999999999" thickBot="1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 ht="19.899999999999999" thickBot="1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 ht="19.899999999999999" thickBot="1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 ht="19.899999999999999" thickBot="1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 ht="19.899999999999999" thickBot="1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 ht="19.899999999999999" thickBot="1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 ht="19.899999999999999" thickBot="1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 ht="19.899999999999999" thickBot="1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 ht="19.899999999999999" thickBot="1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 ht="19.899999999999999" thickBot="1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 ht="19.899999999999999" thickBot="1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 ht="19.899999999999999" thickBot="1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 ht="19.899999999999999" thickBot="1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 ht="19.899999999999999" thickBot="1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 ht="19.899999999999999" thickBot="1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 ht="19.899999999999999" thickBot="1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 ht="19.899999999999999" thickBot="1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 ht="19.899999999999999" thickBot="1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 ht="19.899999999999999" thickBot="1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 ht="19.899999999999999" thickBot="1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 ht="19.899999999999999" thickBot="1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 ht="19.899999999999999" thickBot="1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 ht="19.899999999999999" thickBot="1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 ht="19.899999999999999" thickBot="1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 ht="19.899999999999999" thickBot="1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 ht="19.899999999999999" thickBot="1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 ht="19.899999999999999" thickBot="1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 ht="19.899999999999999" thickBot="1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 ht="19.899999999999999" thickBot="1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 ht="19.899999999999999" thickBot="1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 ht="19.899999999999999" thickBot="1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 ht="19.899999999999999" thickBot="1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 ht="19.899999999999999" thickBot="1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 ht="19.899999999999999" thickBot="1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 ht="19.899999999999999" thickBot="1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 ht="19.899999999999999" thickBot="1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 ht="19.899999999999999" thickBot="1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 ht="19.899999999999999" thickBot="1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 ht="19.899999999999999" thickBot="1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 ht="19.899999999999999" thickBot="1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 ht="19.899999999999999" thickBot="1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 ht="19.899999999999999" thickBot="1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 ht="19.899999999999999" thickBot="1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 ht="19.899999999999999" thickBot="1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 ht="19.899999999999999" thickBot="1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 ht="19.899999999999999" thickBot="1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 ht="19.899999999999999" thickBot="1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 ht="19.899999999999999" thickBot="1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 ht="19.899999999999999" thickBot="1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 ht="19.899999999999999" thickBot="1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 ht="19.899999999999999" thickBot="1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 ht="19.899999999999999" thickBot="1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 ht="19.899999999999999" thickBot="1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 ht="19.899999999999999" thickBot="1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 ht="19.899999999999999" thickBot="1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 ht="19.899999999999999" thickBot="1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 ht="19.899999999999999" thickBot="1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 ht="19.899999999999999" thickBot="1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 ht="19.899999999999999" thickBot="1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 ht="19.899999999999999" thickBot="1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 ht="19.899999999999999" thickBot="1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 ht="19.899999999999999" thickBot="1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 ht="19.899999999999999" thickBot="1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 ht="19.899999999999999" thickBot="1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 ht="19.899999999999999" thickBot="1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 ht="19.899999999999999" thickBot="1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 ht="19.899999999999999" thickBot="1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 ht="19.899999999999999" thickBot="1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 ht="19.899999999999999" thickBot="1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 ht="19.899999999999999" thickBot="1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 ht="19.899999999999999" thickBot="1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 ht="19.899999999999999" thickBot="1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 ht="19.899999999999999" thickBot="1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 ht="19.899999999999999" thickBot="1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 ht="19.899999999999999" thickBot="1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 ht="19.899999999999999" thickBot="1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 ht="19.899999999999999" thickBot="1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 ht="19.899999999999999" thickBot="1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 ht="19.899999999999999" thickBot="1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 ht="19.899999999999999" thickBot="1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 ht="19.899999999999999" thickBot="1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 ht="19.899999999999999" thickBot="1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 ht="19.899999999999999" thickBot="1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 ht="19.899999999999999" thickBot="1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 ht="19.899999999999999" thickBot="1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 ht="19.899999999999999" thickBot="1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 ht="19.899999999999999" thickBot="1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 ht="19.899999999999999" thickBot="1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 ht="19.899999999999999" thickBot="1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 ht="19.899999999999999" thickBot="1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 ht="19.899999999999999" thickBot="1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 ht="19.899999999999999" thickBot="1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 ht="19.899999999999999" thickBot="1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 ht="19.899999999999999" thickBot="1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 ht="19.899999999999999" thickBot="1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 ht="19.899999999999999" thickBot="1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 ht="19.899999999999999" thickBot="1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 ht="19.899999999999999" thickBot="1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 ht="19.899999999999999" thickBot="1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 ht="19.899999999999999" thickBot="1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 ht="19.899999999999999" thickBot="1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 ht="19.899999999999999" thickBot="1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 ht="19.899999999999999" thickBot="1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 ht="19.899999999999999" thickBot="1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 ht="19.899999999999999" thickBot="1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 ht="19.899999999999999" thickBot="1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 ht="19.899999999999999" thickBot="1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 ht="19.899999999999999" thickBot="1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 ht="19.899999999999999" thickBot="1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 ht="19.899999999999999" thickBot="1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 ht="19.899999999999999" thickBot="1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 ht="19.899999999999999" thickBot="1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 ht="19.899999999999999" thickBot="1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 ht="19.899999999999999" thickBot="1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 ht="19.899999999999999" thickBot="1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 ht="19.899999999999999" thickBot="1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 ht="19.899999999999999" thickBot="1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 ht="19.899999999999999" thickBot="1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 ht="19.899999999999999" thickBot="1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 ht="19.899999999999999" thickBot="1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 ht="19.899999999999999" thickBot="1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 ht="19.899999999999999" thickBot="1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 ht="19.899999999999999" thickBot="1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 ht="19.899999999999999" thickBot="1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 ht="19.899999999999999" thickBot="1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 ht="19.899999999999999" thickBot="1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 ht="19.899999999999999" thickBot="1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 ht="19.899999999999999" thickBot="1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 ht="19.899999999999999" thickBot="1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 ht="19.899999999999999" thickBot="1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 ht="19.899999999999999" thickBot="1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 ht="19.899999999999999" thickBot="1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 ht="19.899999999999999" thickBot="1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 ht="19.899999999999999" thickBot="1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 ht="19.899999999999999" thickBot="1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 ht="19.899999999999999" thickBot="1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 ht="19.899999999999999" thickBot="1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 ht="19.899999999999999" thickBot="1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 ht="19.899999999999999" thickBot="1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 ht="19.899999999999999" thickBot="1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 ht="19.899999999999999" thickBot="1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 ht="19.899999999999999" thickBot="1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 ht="19.899999999999999" thickBot="1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 ht="19.899999999999999" thickBot="1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 ht="19.899999999999999" thickBot="1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 ht="19.899999999999999" thickBot="1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 ht="19.899999999999999" thickBot="1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 ht="19.899999999999999" thickBot="1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 ht="19.899999999999999" thickBot="1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 ht="19.899999999999999" thickBot="1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 ht="19.899999999999999" thickBot="1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 ht="19.899999999999999" thickBot="1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 ht="19.899999999999999" thickBot="1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 ht="19.899999999999999" thickBot="1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 ht="19.899999999999999" thickBot="1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 ht="19.899999999999999" thickBot="1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 ht="19.899999999999999" thickBot="1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 ht="19.899999999999999" thickBot="1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 ht="19.899999999999999" thickBot="1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 ht="19.899999999999999" thickBot="1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 ht="19.899999999999999" thickBot="1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 ht="19.899999999999999" thickBot="1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 ht="19.899999999999999" thickBot="1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 ht="19.899999999999999" thickBot="1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 ht="19.899999999999999" thickBot="1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 ht="19.899999999999999" thickBot="1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 ht="19.899999999999999" thickBot="1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 ht="19.899999999999999" thickBot="1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 ht="19.899999999999999" thickBot="1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 ht="19.899999999999999" thickBot="1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 ht="19.899999999999999" thickBot="1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 ht="19.899999999999999" thickBot="1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 ht="19.899999999999999" thickBot="1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 ht="19.899999999999999" thickBot="1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 ht="19.899999999999999" thickBot="1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 ht="19.899999999999999" thickBot="1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 ht="19.899999999999999" thickBot="1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 ht="19.899999999999999" thickBot="1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 ht="19.899999999999999" thickBot="1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 ht="19.899999999999999" thickBot="1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 ht="19.899999999999999" thickBot="1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 ht="19.899999999999999" thickBot="1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 ht="19.899999999999999" thickBot="1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 ht="19.899999999999999" thickBot="1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 ht="19.899999999999999" thickBot="1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 ht="19.899999999999999" thickBot="1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 ht="19.899999999999999" thickBot="1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 ht="19.899999999999999" thickBot="1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 ht="19.899999999999999" thickBot="1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 ht="19.899999999999999" thickBot="1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 ht="19.899999999999999" thickBot="1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 ht="19.899999999999999" thickBot="1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 ht="19.899999999999999" thickBot="1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 ht="19.899999999999999" thickBot="1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 ht="19.899999999999999" thickBot="1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 ht="19.899999999999999" thickBot="1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 ht="19.899999999999999" thickBot="1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 ht="19.899999999999999" thickBot="1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 ht="19.899999999999999" thickBot="1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 ht="19.899999999999999" thickBot="1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 ht="19.899999999999999" thickBot="1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 ht="19.899999999999999" thickBot="1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 ht="19.899999999999999" thickBot="1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 ht="19.899999999999999" thickBot="1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 ht="19.899999999999999" thickBot="1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 ht="19.899999999999999" thickBot="1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 ht="19.899999999999999" thickBot="1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 ht="19.899999999999999" thickBot="1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 ht="19.899999999999999" thickBot="1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 ht="19.899999999999999" thickBot="1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 ht="19.899999999999999" thickBot="1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 ht="19.899999999999999" thickBot="1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 ht="19.899999999999999" thickBot="1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 ht="19.899999999999999" thickBot="1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 ht="19.899999999999999" thickBot="1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 ht="19.899999999999999" thickBot="1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 ht="19.899999999999999" thickBot="1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 ht="19.899999999999999" thickBot="1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 ht="19.899999999999999" thickBot="1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 ht="19.899999999999999" thickBot="1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 ht="19.899999999999999" thickBot="1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 ht="19.899999999999999" thickBot="1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 ht="19.899999999999999" thickBot="1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 ht="19.899999999999999" thickBot="1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 ht="19.899999999999999" thickBot="1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 ht="19.899999999999999" thickBot="1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 ht="19.899999999999999" thickBot="1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 ht="19.899999999999999" thickBot="1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 ht="19.899999999999999" thickBot="1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 ht="19.899999999999999" thickBot="1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 ht="19.899999999999999" thickBot="1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 ht="19.899999999999999" thickBot="1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 ht="19.899999999999999" thickBot="1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 ht="19.899999999999999" thickBot="1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 ht="19.899999999999999" thickBot="1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 ht="19.899999999999999" thickBot="1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 ht="19.899999999999999" thickBot="1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 ht="19.899999999999999" thickBot="1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 ht="19.899999999999999" thickBot="1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 ht="19.899999999999999" thickBot="1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 ht="19.899999999999999" thickBot="1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 ht="19.899999999999999" thickBot="1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 ht="19.899999999999999" thickBot="1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 ht="19.899999999999999" thickBot="1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 ht="19.899999999999999" thickBot="1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 ht="19.899999999999999" thickBot="1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 ht="19.899999999999999" thickBot="1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 ht="19.899999999999999" thickBot="1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 ht="19.899999999999999" thickBot="1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 ht="19.899999999999999" thickBot="1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 ht="19.899999999999999" thickBot="1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 ht="19.899999999999999" thickBot="1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 ht="19.899999999999999" thickBot="1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 ht="19.899999999999999" thickBot="1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 ht="19.899999999999999" thickBot="1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 ht="19.899999999999999" thickBot="1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 ht="19.899999999999999" thickBot="1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 ht="19.899999999999999" thickBot="1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 ht="19.899999999999999" thickBot="1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 ht="19.899999999999999" thickBot="1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 ht="19.899999999999999" thickBot="1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 ht="19.899999999999999" thickBot="1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 ht="19.899999999999999" thickBot="1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 ht="19.899999999999999" thickBot="1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 ht="19.899999999999999" thickBot="1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 ht="19.899999999999999" thickBot="1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 ht="19.899999999999999" thickBot="1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 ht="19.899999999999999" thickBot="1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 ht="19.899999999999999" thickBot="1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 ht="19.899999999999999" thickBot="1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 ht="19.899999999999999" thickBot="1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 ht="19.899999999999999" thickBot="1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 ht="19.899999999999999" thickBot="1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 ht="19.899999999999999" thickBot="1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 ht="19.899999999999999" thickBot="1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 ht="19.899999999999999" thickBot="1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 ht="19.899999999999999" thickBot="1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 ht="19.899999999999999" thickBot="1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 ht="19.899999999999999" thickBot="1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 ht="19.899999999999999" thickBot="1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 ht="19.899999999999999" thickBot="1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 ht="19.899999999999999" thickBot="1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 ht="19.899999999999999" thickBot="1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 ht="19.899999999999999" thickBot="1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 ht="19.899999999999999" thickBot="1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 ht="19.899999999999999" thickBot="1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 ht="19.899999999999999" thickBot="1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 ht="19.899999999999999" thickBot="1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 ht="19.899999999999999" thickBot="1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 ht="19.899999999999999" thickBot="1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 ht="19.899999999999999" thickBot="1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 ht="19.899999999999999" thickBot="1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 ht="19.899999999999999" thickBot="1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 ht="19.899999999999999" thickBot="1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 ht="19.899999999999999" thickBot="1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 ht="19.899999999999999" thickBot="1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 ht="19.899999999999999" thickBot="1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 ht="19.899999999999999" thickBot="1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</sheetData>
  <mergeCells count="9">
    <mergeCell ref="C79:E79"/>
    <mergeCell ref="C82:K82"/>
    <mergeCell ref="C89:E89"/>
    <mergeCell ref="C1:K1"/>
    <mergeCell ref="C3:K3"/>
    <mergeCell ref="D18:E18"/>
    <mergeCell ref="C21:K21"/>
    <mergeCell ref="C48:E48"/>
    <mergeCell ref="C52:K52"/>
  </mergeCells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3:AY84"/>
  <sheetViews>
    <sheetView showGridLines="0" zoomScale="70" zoomScaleNormal="70" workbookViewId="0">
      <pane xSplit="2" ySplit="4" topLeftCell="X18" activePane="bottomRight" state="frozen"/>
      <selection pane="bottomRight" activeCell="X18" sqref="X18"/>
      <selection pane="bottomLeft" activeCell="A5" sqref="A5"/>
      <selection pane="topRight" activeCell="C1" sqref="C1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3.33203125" style="580" customWidth="1"/>
    <col min="4" max="4" width="10.7773437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8.109375" style="727" customWidth="1"/>
    <col min="19" max="19" width="8.44140625" style="727" customWidth="1"/>
    <col min="20" max="20" width="7.33203125" style="727" customWidth="1"/>
    <col min="21" max="21" width="9" style="727" customWidth="1"/>
    <col min="22" max="22" width="9.6640625" style="580" customWidth="1"/>
    <col min="23" max="23" width="7.77734375" style="580" customWidth="1"/>
    <col min="24" max="24" width="9" style="580" customWidth="1"/>
    <col min="25" max="25" width="9.44140625" style="580" customWidth="1"/>
    <col min="26" max="26" width="8.77734375" style="727" customWidth="1"/>
    <col min="27" max="27" width="9.5546875" style="727" customWidth="1"/>
    <col min="28" max="30" width="10.6640625" style="727" customWidth="1"/>
    <col min="31" max="32" width="11.77734375" style="580" customWidth="1"/>
    <col min="33" max="33" width="11.109375" style="727" bestFit="1" customWidth="1"/>
    <col min="34" max="34" width="11.109375" style="580" customWidth="1"/>
    <col min="35" max="35" width="9.21875" style="580"/>
    <col min="36" max="36" width="14.6640625" style="580" customWidth="1"/>
    <col min="37" max="38" width="14.77734375" style="580" customWidth="1"/>
    <col min="39" max="40" width="14.33203125" style="580" customWidth="1"/>
    <col min="41" max="41" width="14.6640625" style="580" customWidth="1"/>
    <col min="42" max="42" width="13.77734375" style="580" customWidth="1"/>
    <col min="43" max="43" width="11.5546875" style="580" customWidth="1"/>
    <col min="44" max="16384" width="9.21875" style="580"/>
  </cols>
  <sheetData>
    <row r="3" spans="2:51" ht="25.15" thickBot="1">
      <c r="AJ3" s="142"/>
      <c r="AK3" s="142"/>
      <c r="AL3" s="1227" t="s">
        <v>0</v>
      </c>
      <c r="AM3" s="1227"/>
      <c r="AN3" s="1227"/>
      <c r="AO3" s="1227"/>
      <c r="AP3" s="1227"/>
    </row>
    <row r="4" spans="2:51" ht="96" customHeight="1" thickBot="1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454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713" t="s">
        <v>432</v>
      </c>
      <c r="O4" s="714" t="s">
        <v>433</v>
      </c>
      <c r="P4" s="742" t="s">
        <v>434</v>
      </c>
      <c r="Q4" s="724" t="s">
        <v>435</v>
      </c>
      <c r="R4" s="744" t="s">
        <v>436</v>
      </c>
      <c r="S4" s="713" t="s">
        <v>437</v>
      </c>
      <c r="T4" s="713" t="s">
        <v>438</v>
      </c>
      <c r="U4" s="724" t="s">
        <v>439</v>
      </c>
      <c r="V4" s="744" t="s">
        <v>440</v>
      </c>
      <c r="W4" s="713" t="s">
        <v>441</v>
      </c>
      <c r="X4" s="713" t="s">
        <v>442</v>
      </c>
      <c r="Y4" s="714" t="s">
        <v>443</v>
      </c>
      <c r="Z4" s="715" t="s">
        <v>390</v>
      </c>
      <c r="AA4" s="713" t="s">
        <v>391</v>
      </c>
      <c r="AB4" s="713" t="s">
        <v>392</v>
      </c>
      <c r="AC4" s="724" t="s">
        <v>393</v>
      </c>
      <c r="AD4" s="744" t="s">
        <v>444</v>
      </c>
      <c r="AE4" s="713" t="s">
        <v>445</v>
      </c>
      <c r="AF4" s="713" t="s">
        <v>446</v>
      </c>
      <c r="AG4" s="789" t="s">
        <v>394</v>
      </c>
      <c r="AH4" s="728"/>
      <c r="AJ4" s="142"/>
      <c r="AK4" s="143" t="s">
        <v>14</v>
      </c>
      <c r="AL4" s="143" t="s">
        <v>147</v>
      </c>
      <c r="AM4" s="143" t="s">
        <v>147</v>
      </c>
      <c r="AN4" s="143" t="s">
        <v>147</v>
      </c>
      <c r="AO4" s="143" t="s">
        <v>147</v>
      </c>
      <c r="AP4" s="143" t="s">
        <v>147</v>
      </c>
    </row>
    <row r="5" spans="2:51" ht="43.15">
      <c r="B5" s="716">
        <v>44440</v>
      </c>
      <c r="C5" s="749">
        <v>21.64</v>
      </c>
      <c r="D5" s="750">
        <v>15.132</v>
      </c>
      <c r="E5" s="751">
        <v>8.9</v>
      </c>
      <c r="F5" s="749">
        <v>3.77</v>
      </c>
      <c r="G5" s="749">
        <f>SUM(Table252346789101110121312141215161517[[#This Row],[Jones Creek Target (Mbopd)]:[Egwa Target (Mbopd)]])</f>
        <v>49.442</v>
      </c>
      <c r="H5" s="752">
        <v>17.64</v>
      </c>
      <c r="I5" s="752">
        <v>11.118</v>
      </c>
      <c r="J5" s="752">
        <v>0</v>
      </c>
      <c r="K5" s="752">
        <v>1.706</v>
      </c>
      <c r="L5" s="753">
        <f t="shared" ref="L5:L11" si="0">H5+I5+J5+K5</f>
        <v>30.464000000000002</v>
      </c>
      <c r="M5" s="721">
        <v>11.715</v>
      </c>
      <c r="N5" s="765">
        <f>Table252346789101110121312141215161517[[#This Row],[Jones Creek Target (Mbopd)]]-Table252346789101110121312141215161517[[#This Row],[Jones Creek (Mbopd)]]</f>
        <v>4</v>
      </c>
      <c r="O5" s="723">
        <f>Table252346789101110121312141215161517[[#This Row],[Odidi Target (Mbopd)]]-Table252346789101110121312141215161517[[#This Row],[Odidi (Mbopd)]]</f>
        <v>4.0139999999999993</v>
      </c>
      <c r="P5" s="721">
        <f>Table252346789101110121312141215161517[[#This Row],[Batan Target (Mbopd)]]-Table252346789101110121312141215161517[[#This Row],[Batan (Mbopd)]]</f>
        <v>8.9</v>
      </c>
      <c r="Q5" s="747">
        <f>Table252346789101110121312141215161517[[#This Row],[Egwa Target (Mbopd)]]-Table252346789101110121312141215161517[[#This Row],[Egwa (Mbopd)]]</f>
        <v>2.0640000000000001</v>
      </c>
      <c r="R5" s="745">
        <v>5.6349999999999998</v>
      </c>
      <c r="S5" s="723">
        <v>31.62</v>
      </c>
      <c r="T5" s="723">
        <v>0</v>
      </c>
      <c r="U5" s="747">
        <v>0.629</v>
      </c>
      <c r="V5" s="746">
        <v>0.84</v>
      </c>
      <c r="W5" s="723">
        <v>0</v>
      </c>
      <c r="X5" s="723">
        <v>0</v>
      </c>
      <c r="Y5" s="721">
        <v>0</v>
      </c>
      <c r="Z5" s="746">
        <f>Table252346789101110121312141215161517[[#This Row],[J/C Prod gas (MMscf)]]-Table252346789101110121312141215161517[[#This Row],[J/C Utilised gas (MMscf)]]</f>
        <v>4.7949999999999999</v>
      </c>
      <c r="AA5" s="723">
        <f>Table252346789101110121312141215161517[[#This Row],[Odid Prod gas (MMscf)]]-Table252346789101110121312141215161517[[#This Row],[Gas Export (MMscf/d)]]-Table252346789101110121312141215161517[[#This Row],[Odid Utilised gas (MMscf)]]</f>
        <v>19.905000000000001</v>
      </c>
      <c r="AB5" s="723">
        <f>Table252346789101110121312141215161517[[#This Row],[Batn Prod gas (MMscf)]]-Table252346789101110121312141215161517[[#This Row],[Batn Utilised gas (MMscf)]]</f>
        <v>0</v>
      </c>
      <c r="AC5" s="747">
        <f>Table252346789101110121312141215161517[[#This Row],[Egwa Prod gas (MMscf)]]</f>
        <v>0.629</v>
      </c>
      <c r="AD5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37.884</v>
      </c>
      <c r="AE5" s="723">
        <f>Table252346789101110121312141215161517[[#This Row],[Gas Export (MMscf/d)]]</f>
        <v>11.715</v>
      </c>
      <c r="AF5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5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25.329000000000001</v>
      </c>
      <c r="AH5" s="142"/>
      <c r="AJ5" s="144"/>
      <c r="AK5" s="148" t="s">
        <v>148</v>
      </c>
      <c r="AL5" s="152">
        <f>B22</f>
        <v>44457</v>
      </c>
      <c r="AM5" s="152">
        <f>AL5+1</f>
        <v>44458</v>
      </c>
      <c r="AN5" s="152">
        <f>AM5+1</f>
        <v>44459</v>
      </c>
      <c r="AO5" s="152">
        <f>AN5+1</f>
        <v>44460</v>
      </c>
      <c r="AP5" s="152">
        <f>AO5+1</f>
        <v>44461</v>
      </c>
    </row>
    <row r="6" spans="2:51" ht="21.6">
      <c r="B6" s="716">
        <v>44441</v>
      </c>
      <c r="C6" s="749">
        <v>21.64</v>
      </c>
      <c r="D6" s="750">
        <v>15.132</v>
      </c>
      <c r="E6" s="751">
        <v>8.9</v>
      </c>
      <c r="F6" s="749">
        <v>3.77</v>
      </c>
      <c r="G6" s="749">
        <f>SUM(Table252346789101110121312141215161517[[#This Row],[Jones Creek Target (Mbopd)]:[Egwa Target (Mbopd)]])</f>
        <v>49.442</v>
      </c>
      <c r="H6" s="752">
        <v>16.927</v>
      </c>
      <c r="I6" s="752">
        <v>12.335000000000001</v>
      </c>
      <c r="J6" s="752">
        <v>0</v>
      </c>
      <c r="K6" s="752">
        <v>3.4009999999999998</v>
      </c>
      <c r="L6" s="753">
        <f t="shared" si="0"/>
        <v>32.662999999999997</v>
      </c>
      <c r="M6" s="721">
        <v>19.495999999999999</v>
      </c>
      <c r="N6" s="765">
        <f>Table252346789101110121312141215161517[[#This Row],[Jones Creek Target (Mbopd)]]-Table252346789101110121312141215161517[[#This Row],[Jones Creek (Mbopd)]]</f>
        <v>4.713000000000001</v>
      </c>
      <c r="O6" s="723">
        <f>Table252346789101110121312141215161517[[#This Row],[Odidi Target (Mbopd)]]-Table252346789101110121312141215161517[[#This Row],[Odidi (Mbopd)]]</f>
        <v>2.7969999999999988</v>
      </c>
      <c r="P6" s="721">
        <f>Table252346789101110121312141215161517[[#This Row],[Batan Target (Mbopd)]]-Table252346789101110121312141215161517[[#This Row],[Batan (Mbopd)]]</f>
        <v>8.9</v>
      </c>
      <c r="Q6" s="747">
        <f>Table252346789101110121312141215161517[[#This Row],[Egwa Target (Mbopd)]]-Table252346789101110121312141215161517[[#This Row],[Egwa (Mbopd)]]</f>
        <v>0.36900000000000022</v>
      </c>
      <c r="R6" s="745">
        <v>5.7519999999999998</v>
      </c>
      <c r="S6" s="723">
        <v>29.17</v>
      </c>
      <c r="T6" s="723">
        <v>0</v>
      </c>
      <c r="U6" s="747">
        <v>1.3819999999999999</v>
      </c>
      <c r="V6" s="746">
        <v>0.84</v>
      </c>
      <c r="W6" s="723">
        <v>0</v>
      </c>
      <c r="X6" s="723">
        <v>0</v>
      </c>
      <c r="Y6" s="721">
        <v>0</v>
      </c>
      <c r="Z6" s="746">
        <f>Table252346789101110121312141215161517[[#This Row],[J/C Prod gas (MMscf)]]-Table252346789101110121312141215161517[[#This Row],[J/C Utilised gas (MMscf)]]</f>
        <v>4.9119999999999999</v>
      </c>
      <c r="AA6" s="723">
        <f>Table252346789101110121312141215161517[[#This Row],[Odid Prod gas (MMscf)]]-Table252346789101110121312141215161517[[#This Row],[Gas Export (MMscf/d)]]-Table252346789101110121312141215161517[[#This Row],[Odid Utilised gas (MMscf)]]</f>
        <v>9.674000000000003</v>
      </c>
      <c r="AB6" s="723">
        <f>Table252346789101110121312141215161517[[#This Row],[Batn Prod gas (MMscf)]]-Table252346789101110121312141215161517[[#This Row],[Batn Utilised gas (MMscf)]]</f>
        <v>0</v>
      </c>
      <c r="AC6" s="747">
        <f>Table252346789101110121312141215161517[[#This Row],[Egwa Prod gas (MMscf)]]</f>
        <v>1.3819999999999999</v>
      </c>
      <c r="AD6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36.304000000000002</v>
      </c>
      <c r="AE6" s="723">
        <f>Table252346789101110121312141215161517[[#This Row],[Gas Export (MMscf/d)]]</f>
        <v>19.495999999999999</v>
      </c>
      <c r="AF6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6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15.968000000000004</v>
      </c>
      <c r="AH6" s="142"/>
      <c r="AJ6" s="145" t="s">
        <v>17</v>
      </c>
      <c r="AK6" s="272">
        <v>21.64</v>
      </c>
      <c r="AL6" s="270">
        <v>22.193000000000001</v>
      </c>
      <c r="AM6" s="269">
        <v>20.298999999999999</v>
      </c>
      <c r="AN6" s="270">
        <v>21.715</v>
      </c>
      <c r="AO6" s="267">
        <v>21.026</v>
      </c>
      <c r="AP6" s="270">
        <v>20.841000000000001</v>
      </c>
    </row>
    <row r="7" spans="2:51" ht="21.6">
      <c r="B7" s="716">
        <v>44442</v>
      </c>
      <c r="C7" s="749">
        <v>21.64</v>
      </c>
      <c r="D7" s="750">
        <v>15.132</v>
      </c>
      <c r="E7" s="751">
        <v>8.9</v>
      </c>
      <c r="F7" s="749">
        <v>3.77</v>
      </c>
      <c r="G7" s="749">
        <f>SUM(Table252346789101110121312141215161517[[#This Row],[Jones Creek Target (Mbopd)]:[Egwa Target (Mbopd)]])</f>
        <v>49.442</v>
      </c>
      <c r="H7" s="752">
        <v>18.664000000000001</v>
      </c>
      <c r="I7" s="752">
        <v>12.654</v>
      </c>
      <c r="J7" s="752">
        <v>0</v>
      </c>
      <c r="K7" s="754">
        <v>3.4489999999999998</v>
      </c>
      <c r="L7" s="753">
        <f t="shared" si="0"/>
        <v>34.767000000000003</v>
      </c>
      <c r="M7" s="721">
        <v>18.04</v>
      </c>
      <c r="N7" s="765">
        <f>Table252346789101110121312141215161517[[#This Row],[Jones Creek Target (Mbopd)]]-Table252346789101110121312141215161517[[#This Row],[Jones Creek (Mbopd)]]</f>
        <v>2.9759999999999991</v>
      </c>
      <c r="O7" s="723">
        <f>Table252346789101110121312141215161517[[#This Row],[Odidi Target (Mbopd)]]-Table252346789101110121312141215161517[[#This Row],[Odidi (Mbopd)]]</f>
        <v>2.4779999999999998</v>
      </c>
      <c r="P7" s="721">
        <f>Table252346789101110121312141215161517[[#This Row],[Batan Target (Mbopd)]]-Table252346789101110121312141215161517[[#This Row],[Batan (Mbopd)]]</f>
        <v>8.9</v>
      </c>
      <c r="Q7" s="747">
        <f>Table252346789101110121312141215161517[[#This Row],[Egwa Target (Mbopd)]]-Table252346789101110121312141215161517[[#This Row],[Egwa (Mbopd)]]</f>
        <v>0.32100000000000017</v>
      </c>
      <c r="R7" s="745">
        <v>5.8220000000000001</v>
      </c>
      <c r="S7" s="723">
        <v>29.07</v>
      </c>
      <c r="T7" s="723">
        <v>0</v>
      </c>
      <c r="U7" s="747">
        <v>1.53</v>
      </c>
      <c r="V7" s="746">
        <v>0.84</v>
      </c>
      <c r="W7" s="723">
        <v>0</v>
      </c>
      <c r="X7" s="723">
        <v>0</v>
      </c>
      <c r="Y7" s="721">
        <v>0</v>
      </c>
      <c r="Z7" s="746">
        <f>Table252346789101110121312141215161517[[#This Row],[J/C Prod gas (MMscf)]]-Table252346789101110121312141215161517[[#This Row],[J/C Utilised gas (MMscf)]]</f>
        <v>4.9820000000000002</v>
      </c>
      <c r="AA7" s="723">
        <f>Table252346789101110121312141215161517[[#This Row],[Odid Prod gas (MMscf)]]-Table252346789101110121312141215161517[[#This Row],[Gas Export (MMscf/d)]]-Table252346789101110121312141215161517[[#This Row],[Odid Utilised gas (MMscf)]]</f>
        <v>11.030000000000001</v>
      </c>
      <c r="AB7" s="723">
        <f>Table252346789101110121312141215161517[[#This Row],[Batn Prod gas (MMscf)]]-Table252346789101110121312141215161517[[#This Row],[Batn Utilised gas (MMscf)]]</f>
        <v>0</v>
      </c>
      <c r="AC7" s="747">
        <f>Table252346789101110121312141215161517[[#This Row],[Egwa Prod gas (MMscf)]]</f>
        <v>1.53</v>
      </c>
      <c r="AD7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36.422000000000004</v>
      </c>
      <c r="AE7" s="723">
        <f>Table252346789101110121312141215161517[[#This Row],[Gas Export (MMscf/d)]]</f>
        <v>18.04</v>
      </c>
      <c r="AF7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7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17.542000000000002</v>
      </c>
      <c r="AH7" s="142"/>
      <c r="AJ7" s="145" t="s">
        <v>19</v>
      </c>
      <c r="AK7" s="272">
        <v>15.14</v>
      </c>
      <c r="AL7" s="270">
        <v>12.09</v>
      </c>
      <c r="AM7" s="269">
        <v>12.28</v>
      </c>
      <c r="AN7" s="270">
        <v>13.157</v>
      </c>
      <c r="AO7" s="269">
        <v>13.063000000000001</v>
      </c>
      <c r="AP7" s="268">
        <v>13.172000000000001</v>
      </c>
    </row>
    <row r="8" spans="2:51" ht="21.6">
      <c r="B8" s="716">
        <v>44443</v>
      </c>
      <c r="C8" s="749">
        <v>21.64</v>
      </c>
      <c r="D8" s="750">
        <v>15.132</v>
      </c>
      <c r="E8" s="751">
        <v>8.9</v>
      </c>
      <c r="F8" s="749">
        <v>3.77</v>
      </c>
      <c r="G8" s="749">
        <f>SUM(Table252346789101110121312141215161517[[#This Row],[Jones Creek Target (Mbopd)]:[Egwa Target (Mbopd)]])</f>
        <v>49.442</v>
      </c>
      <c r="H8" s="752">
        <v>18.562000000000001</v>
      </c>
      <c r="I8" s="752">
        <v>12.061999999999999</v>
      </c>
      <c r="J8" s="752">
        <v>0</v>
      </c>
      <c r="K8" s="752">
        <v>3.47</v>
      </c>
      <c r="L8" s="753">
        <f t="shared" si="0"/>
        <v>34.094000000000001</v>
      </c>
      <c r="M8" s="721">
        <v>16.739999999999998</v>
      </c>
      <c r="N8" s="765">
        <f>Table252346789101110121312141215161517[[#This Row],[Jones Creek Target (Mbopd)]]-Table252346789101110121312141215161517[[#This Row],[Jones Creek (Mbopd)]]</f>
        <v>3.0779999999999994</v>
      </c>
      <c r="O8" s="723">
        <f>Table252346789101110121312141215161517[[#This Row],[Odidi Target (Mbopd)]]-Table252346789101110121312141215161517[[#This Row],[Odidi (Mbopd)]]</f>
        <v>3.0700000000000003</v>
      </c>
      <c r="P8" s="721">
        <f>Table252346789101110121312141215161517[[#This Row],[Batan Target (Mbopd)]]-Table252346789101110121312141215161517[[#This Row],[Batan (Mbopd)]]</f>
        <v>8.9</v>
      </c>
      <c r="Q8" s="747">
        <f>Table252346789101110121312141215161517[[#This Row],[Egwa Target (Mbopd)]]-Table252346789101110121312141215161517[[#This Row],[Egwa (Mbopd)]]</f>
        <v>0.29999999999999982</v>
      </c>
      <c r="R8" s="745">
        <v>5.84</v>
      </c>
      <c r="S8" s="723">
        <v>29.07</v>
      </c>
      <c r="T8" s="723">
        <v>0</v>
      </c>
      <c r="U8" s="747">
        <v>1.66</v>
      </c>
      <c r="V8" s="746">
        <v>0.84</v>
      </c>
      <c r="W8" s="723">
        <v>0</v>
      </c>
      <c r="X8" s="723">
        <v>0</v>
      </c>
      <c r="Y8" s="721">
        <v>0</v>
      </c>
      <c r="Z8" s="746">
        <f>Table252346789101110121312141215161517[[#This Row],[J/C Prod gas (MMscf)]]-Table252346789101110121312141215161517[[#This Row],[J/C Utilised gas (MMscf)]]</f>
        <v>5</v>
      </c>
      <c r="AA8" s="723">
        <f>Table252346789101110121312141215161517[[#This Row],[Odid Prod gas (MMscf)]]-Table252346789101110121312141215161517[[#This Row],[Gas Export (MMscf/d)]]-Table252346789101110121312141215161517[[#This Row],[Odid Utilised gas (MMscf)]]</f>
        <v>12.330000000000002</v>
      </c>
      <c r="AB8" s="723">
        <f>Table252346789101110121312141215161517[[#This Row],[Batn Prod gas (MMscf)]]-Table252346789101110121312141215161517[[#This Row],[Batn Utilised gas (MMscf)]]</f>
        <v>0</v>
      </c>
      <c r="AC8" s="747">
        <f>Table252346789101110121312141215161517[[#This Row],[Egwa Prod gas (MMscf)]]</f>
        <v>1.66</v>
      </c>
      <c r="AD8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36.569999999999993</v>
      </c>
      <c r="AE8" s="723">
        <f>Table252346789101110121312141215161517[[#This Row],[Gas Export (MMscf/d)]]</f>
        <v>16.739999999999998</v>
      </c>
      <c r="AF8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8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18.990000000000002</v>
      </c>
      <c r="AH8" s="142"/>
      <c r="AJ8" s="145" t="s">
        <v>16</v>
      </c>
      <c r="AK8" s="272">
        <v>8.9</v>
      </c>
      <c r="AL8" s="268">
        <v>0</v>
      </c>
      <c r="AM8" s="267">
        <v>0</v>
      </c>
      <c r="AN8" s="268">
        <v>0</v>
      </c>
      <c r="AO8" s="267">
        <v>0</v>
      </c>
      <c r="AP8" s="268">
        <v>0</v>
      </c>
    </row>
    <row r="9" spans="2:51" ht="21.6">
      <c r="B9" s="716">
        <v>44444</v>
      </c>
      <c r="C9" s="749">
        <v>21.64</v>
      </c>
      <c r="D9" s="750">
        <v>15.132</v>
      </c>
      <c r="E9" s="751">
        <v>8.9</v>
      </c>
      <c r="F9" s="749">
        <v>3.77</v>
      </c>
      <c r="G9" s="749">
        <f>SUM(Table252346789101110121312141215161517[[#This Row],[Jones Creek Target (Mbopd)]:[Egwa Target (Mbopd)]])</f>
        <v>49.442</v>
      </c>
      <c r="H9" s="754">
        <v>17.914000000000001</v>
      </c>
      <c r="I9" s="752">
        <v>11.691000000000001</v>
      </c>
      <c r="J9" s="752">
        <v>0</v>
      </c>
      <c r="K9" s="754">
        <v>3.52</v>
      </c>
      <c r="L9" s="753">
        <f t="shared" si="0"/>
        <v>33.125000000000007</v>
      </c>
      <c r="M9" s="721">
        <v>7.2389999999999999</v>
      </c>
      <c r="N9" s="765">
        <f>Table252346789101110121312141215161517[[#This Row],[Jones Creek Target (Mbopd)]]-Table252346789101110121312141215161517[[#This Row],[Jones Creek (Mbopd)]]</f>
        <v>3.7259999999999991</v>
      </c>
      <c r="O9" s="723">
        <f>Table252346789101110121312141215161517[[#This Row],[Odidi Target (Mbopd)]]-Table252346789101110121312141215161517[[#This Row],[Odidi (Mbopd)]]</f>
        <v>3.4409999999999989</v>
      </c>
      <c r="P9" s="721">
        <f>Table252346789101110121312141215161517[[#This Row],[Batan Target (Mbopd)]]-Table252346789101110121312141215161517[[#This Row],[Batan (Mbopd)]]</f>
        <v>8.9</v>
      </c>
      <c r="Q9" s="747">
        <f>Table252346789101110121312141215161517[[#This Row],[Egwa Target (Mbopd)]]-Table252346789101110121312141215161517[[#This Row],[Egwa (Mbopd)]]</f>
        <v>0.25</v>
      </c>
      <c r="R9" s="745">
        <v>5.84</v>
      </c>
      <c r="S9" s="723">
        <v>29.07</v>
      </c>
      <c r="T9" s="723">
        <v>0</v>
      </c>
      <c r="U9" s="747">
        <v>1.75</v>
      </c>
      <c r="V9" s="746">
        <v>0.84</v>
      </c>
      <c r="W9" s="723">
        <v>0</v>
      </c>
      <c r="X9" s="723">
        <v>0</v>
      </c>
      <c r="Y9" s="721">
        <v>0</v>
      </c>
      <c r="Z9" s="746">
        <f>Table252346789101110121312141215161517[[#This Row],[J/C Prod gas (MMscf)]]-Table252346789101110121312141215161517[[#This Row],[J/C Utilised gas (MMscf)]]</f>
        <v>5</v>
      </c>
      <c r="AA9" s="723">
        <f>Table252346789101110121312141215161517[[#This Row],[Odid Prod gas (MMscf)]]-Table252346789101110121312141215161517[[#This Row],[Gas Export (MMscf/d)]]-Table252346789101110121312141215161517[[#This Row],[Odid Utilised gas (MMscf)]]</f>
        <v>21.831</v>
      </c>
      <c r="AB9" s="723">
        <f>Table252346789101110121312141215161517[[#This Row],[Batn Prod gas (MMscf)]]-Table252346789101110121312141215161517[[#This Row],[Batn Utilised gas (MMscf)]]</f>
        <v>0</v>
      </c>
      <c r="AC9" s="747">
        <f>Table252346789101110121312141215161517[[#This Row],[Egwa Prod gas (MMscf)]]</f>
        <v>1.75</v>
      </c>
      <c r="AD9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36.659999999999997</v>
      </c>
      <c r="AE9" s="723">
        <f>Table252346789101110121312141215161517[[#This Row],[Gas Export (MMscf/d)]]</f>
        <v>7.2389999999999999</v>
      </c>
      <c r="AF9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9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28.581</v>
      </c>
      <c r="AH9" s="142"/>
      <c r="AJ9" s="145" t="s">
        <v>18</v>
      </c>
      <c r="AK9" s="273">
        <v>3.77</v>
      </c>
      <c r="AL9" s="270">
        <v>3.53</v>
      </c>
      <c r="AM9" s="269">
        <v>3.5270000000000001</v>
      </c>
      <c r="AN9" s="270">
        <v>1.419</v>
      </c>
      <c r="AO9" s="269">
        <v>1.359</v>
      </c>
      <c r="AP9" s="270">
        <v>1.359</v>
      </c>
    </row>
    <row r="10" spans="2:51" ht="21.6">
      <c r="B10" s="716">
        <v>44445</v>
      </c>
      <c r="C10" s="749">
        <v>21.64</v>
      </c>
      <c r="D10" s="750">
        <v>15.132</v>
      </c>
      <c r="E10" s="751">
        <v>8.9</v>
      </c>
      <c r="F10" s="749">
        <v>3.77</v>
      </c>
      <c r="G10" s="749">
        <f>SUM(Table252346789101110121312141215161517[[#This Row],[Jones Creek Target (Mbopd)]:[Egwa Target (Mbopd)]])</f>
        <v>49.442</v>
      </c>
      <c r="H10" s="754">
        <v>1.512</v>
      </c>
      <c r="I10" s="754">
        <v>0.97099999999999997</v>
      </c>
      <c r="J10" s="754">
        <v>0</v>
      </c>
      <c r="K10" s="754">
        <v>0.36299999999999999</v>
      </c>
      <c r="L10" s="753">
        <f t="shared" si="0"/>
        <v>2.8460000000000001</v>
      </c>
      <c r="M10" s="721">
        <v>0</v>
      </c>
      <c r="N10" s="765">
        <f>Table252346789101110121312141215161517[[#This Row],[Jones Creek Target (Mbopd)]]-Table252346789101110121312141215161517[[#This Row],[Jones Creek (Mbopd)]]</f>
        <v>20.128</v>
      </c>
      <c r="O10" s="723">
        <f>Table252346789101110121312141215161517[[#This Row],[Odidi Target (Mbopd)]]-Table252346789101110121312141215161517[[#This Row],[Odidi (Mbopd)]]</f>
        <v>14.161</v>
      </c>
      <c r="P10" s="721">
        <f>Table252346789101110121312141215161517[[#This Row],[Batan Target (Mbopd)]]-Table252346789101110121312141215161517[[#This Row],[Batan (Mbopd)]]</f>
        <v>8.9</v>
      </c>
      <c r="Q10" s="747">
        <f>Table252346789101110121312141215161517[[#This Row],[Egwa Target (Mbopd)]]-Table252346789101110121312141215161517[[#This Row],[Egwa (Mbopd)]]</f>
        <v>3.407</v>
      </c>
      <c r="R10" s="745">
        <v>0</v>
      </c>
      <c r="S10" s="723">
        <v>0</v>
      </c>
      <c r="T10" s="723">
        <v>0</v>
      </c>
      <c r="U10" s="747">
        <v>0.19</v>
      </c>
      <c r="V10" s="746">
        <v>0</v>
      </c>
      <c r="W10" s="723">
        <v>0</v>
      </c>
      <c r="X10" s="723">
        <v>0</v>
      </c>
      <c r="Y10" s="721">
        <v>0</v>
      </c>
      <c r="Z10" s="746">
        <f>Table252346789101110121312141215161517[[#This Row],[J/C Prod gas (MMscf)]]-Table252346789101110121312141215161517[[#This Row],[J/C Utilised gas (MMscf)]]</f>
        <v>0</v>
      </c>
      <c r="AA10" s="723">
        <f>Table252346789101110121312141215161517[[#This Row],[Odid Prod gas (MMscf)]]-Table252346789101110121312141215161517[[#This Row],[Gas Export (MMscf/d)]]-Table252346789101110121312141215161517[[#This Row],[Odid Utilised gas (MMscf)]]</f>
        <v>0</v>
      </c>
      <c r="AB10" s="723">
        <f>Table252346789101110121312141215161517[[#This Row],[Batn Prod gas (MMscf)]]-Table252346789101110121312141215161517[[#This Row],[Batn Utilised gas (MMscf)]]</f>
        <v>0</v>
      </c>
      <c r="AC10" s="747">
        <f>Table252346789101110121312141215161517[[#This Row],[Egwa Prod gas (MMscf)]]</f>
        <v>0.19</v>
      </c>
      <c r="AD10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0.19</v>
      </c>
      <c r="AE10" s="723">
        <f>Table252346789101110121312141215161517[[#This Row],[Gas Export (MMscf/d)]]</f>
        <v>0</v>
      </c>
      <c r="AF10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</v>
      </c>
      <c r="AG10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0.19</v>
      </c>
      <c r="AH10" s="142"/>
      <c r="AJ10" s="145" t="s">
        <v>447</v>
      </c>
      <c r="AK10" s="273">
        <f>SUM(AK6:AK9)</f>
        <v>49.45</v>
      </c>
      <c r="AL10" s="270">
        <v>37.813000000000002</v>
      </c>
      <c r="AM10" s="269">
        <v>36.106000000000002</v>
      </c>
      <c r="AN10" s="270">
        <v>36.290999999999997</v>
      </c>
      <c r="AO10" s="269">
        <v>35.448</v>
      </c>
      <c r="AP10" s="270">
        <v>35.372000000000007</v>
      </c>
    </row>
    <row r="11" spans="2:51" ht="21.6">
      <c r="B11" s="716">
        <v>44446</v>
      </c>
      <c r="C11" s="749">
        <v>21.64</v>
      </c>
      <c r="D11" s="750">
        <v>15.132</v>
      </c>
      <c r="E11" s="751">
        <v>8.9</v>
      </c>
      <c r="F11" s="749">
        <v>3.77</v>
      </c>
      <c r="G11" s="749">
        <f>SUM(Table252346789101110121312141215161517[[#This Row],[Jones Creek Target (Mbopd)]:[Egwa Target (Mbopd)]])</f>
        <v>49.442</v>
      </c>
      <c r="H11" s="754">
        <v>0</v>
      </c>
      <c r="I11" s="754">
        <v>0</v>
      </c>
      <c r="J11" s="754">
        <v>0</v>
      </c>
      <c r="K11" s="754">
        <v>0</v>
      </c>
      <c r="L11" s="753">
        <f t="shared" si="0"/>
        <v>0</v>
      </c>
      <c r="M11" s="721">
        <v>0</v>
      </c>
      <c r="N11" s="765">
        <f>Table252346789101110121312141215161517[[#This Row],[Jones Creek Target (Mbopd)]]-Table252346789101110121312141215161517[[#This Row],[Jones Creek (Mbopd)]]</f>
        <v>21.64</v>
      </c>
      <c r="O11" s="723">
        <f>Table252346789101110121312141215161517[[#This Row],[Odidi Target (Mbopd)]]-Table252346789101110121312141215161517[[#This Row],[Odidi (Mbopd)]]</f>
        <v>15.132</v>
      </c>
      <c r="P11" s="721">
        <f>Table252346789101110121312141215161517[[#This Row],[Batan Target (Mbopd)]]-Table252346789101110121312141215161517[[#This Row],[Batan (Mbopd)]]</f>
        <v>8.9</v>
      </c>
      <c r="Q11" s="747">
        <f>Table252346789101110121312141215161517[[#This Row],[Egwa Target (Mbopd)]]-Table252346789101110121312141215161517[[#This Row],[Egwa (Mbopd)]]</f>
        <v>3.77</v>
      </c>
      <c r="R11" s="745">
        <v>0</v>
      </c>
      <c r="S11" s="723">
        <v>0</v>
      </c>
      <c r="T11" s="723">
        <v>0</v>
      </c>
      <c r="U11" s="747">
        <v>0</v>
      </c>
      <c r="V11" s="746">
        <v>0</v>
      </c>
      <c r="W11" s="723">
        <v>0</v>
      </c>
      <c r="X11" s="723">
        <v>0</v>
      </c>
      <c r="Y11" s="721">
        <v>0</v>
      </c>
      <c r="Z11" s="746">
        <f>Table252346789101110121312141215161517[[#This Row],[J/C Prod gas (MMscf)]]-Table252346789101110121312141215161517[[#This Row],[J/C Utilised gas (MMscf)]]</f>
        <v>0</v>
      </c>
      <c r="AA11" s="723">
        <f>Table252346789101110121312141215161517[[#This Row],[Odid Prod gas (MMscf)]]-Table252346789101110121312141215161517[[#This Row],[Gas Export (MMscf/d)]]-Table252346789101110121312141215161517[[#This Row],[Odid Utilised gas (MMscf)]]</f>
        <v>0</v>
      </c>
      <c r="AB11" s="723">
        <f>Table252346789101110121312141215161517[[#This Row],[Batn Prod gas (MMscf)]]-Table252346789101110121312141215161517[[#This Row],[Batn Utilised gas (MMscf)]]</f>
        <v>0</v>
      </c>
      <c r="AC11" s="747">
        <f>Table252346789101110121312141215161517[[#This Row],[Egwa Prod gas (MMscf)]]</f>
        <v>0</v>
      </c>
      <c r="AD11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0</v>
      </c>
      <c r="AE11" s="723">
        <f>Table252346789101110121312141215161517[[#This Row],[Gas Export (MMscf/d)]]</f>
        <v>0</v>
      </c>
      <c r="AF11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</v>
      </c>
      <c r="AG11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0</v>
      </c>
      <c r="AH11" s="142"/>
      <c r="AI11" s="730"/>
      <c r="AJ11" s="145" t="s">
        <v>448</v>
      </c>
      <c r="AK11" s="273">
        <v>31</v>
      </c>
      <c r="AL11" s="270">
        <v>17.518999999999998</v>
      </c>
      <c r="AM11" s="269">
        <v>19.260000000000002</v>
      </c>
      <c r="AN11" s="270">
        <v>18.501999999999999</v>
      </c>
      <c r="AO11" s="269">
        <v>18.696999999999999</v>
      </c>
      <c r="AP11" s="270">
        <v>19.832000000000001</v>
      </c>
    </row>
    <row r="12" spans="2:51" ht="21.6">
      <c r="B12" s="716">
        <v>44447</v>
      </c>
      <c r="C12" s="749">
        <v>21.64</v>
      </c>
      <c r="D12" s="750">
        <v>15.132</v>
      </c>
      <c r="E12" s="751">
        <v>8.9</v>
      </c>
      <c r="F12" s="749">
        <v>3.77</v>
      </c>
      <c r="G12" s="749">
        <f>SUM(Table252346789101110121312141215161517[[#This Row],[Jones Creek Target (Mbopd)]:[Egwa Target (Mbopd)]])</f>
        <v>49.442</v>
      </c>
      <c r="H12" s="754">
        <v>0</v>
      </c>
      <c r="I12" s="754">
        <v>0</v>
      </c>
      <c r="J12" s="754">
        <v>0</v>
      </c>
      <c r="K12" s="754">
        <v>0</v>
      </c>
      <c r="L12" s="753">
        <f t="shared" ref="L12" si="1">H12+I12+J12+K12</f>
        <v>0</v>
      </c>
      <c r="M12" s="721">
        <v>0</v>
      </c>
      <c r="N12" s="765">
        <f>Table252346789101110121312141215161517[[#This Row],[Jones Creek Target (Mbopd)]]-Table252346789101110121312141215161517[[#This Row],[Jones Creek (Mbopd)]]</f>
        <v>21.64</v>
      </c>
      <c r="O12" s="723">
        <f>Table252346789101110121312141215161517[[#This Row],[Odidi Target (Mbopd)]]-Table252346789101110121312141215161517[[#This Row],[Odidi (Mbopd)]]</f>
        <v>15.132</v>
      </c>
      <c r="P12" s="721">
        <f>Table252346789101110121312141215161517[[#This Row],[Batan Target (Mbopd)]]-Table252346789101110121312141215161517[[#This Row],[Batan (Mbopd)]]</f>
        <v>8.9</v>
      </c>
      <c r="Q12" s="747">
        <f>Table252346789101110121312141215161517[[#This Row],[Egwa Target (Mbopd)]]-Table252346789101110121312141215161517[[#This Row],[Egwa (Mbopd)]]</f>
        <v>3.77</v>
      </c>
      <c r="R12" s="745">
        <v>0</v>
      </c>
      <c r="S12" s="723">
        <v>0</v>
      </c>
      <c r="T12" s="723">
        <v>0</v>
      </c>
      <c r="U12" s="747">
        <v>0</v>
      </c>
      <c r="V12" s="746">
        <v>0</v>
      </c>
      <c r="W12" s="723">
        <v>0</v>
      </c>
      <c r="X12" s="723">
        <v>0</v>
      </c>
      <c r="Y12" s="721">
        <v>0</v>
      </c>
      <c r="Z12" s="746">
        <f>Table252346789101110121312141215161517[[#This Row],[J/C Prod gas (MMscf)]]-Table252346789101110121312141215161517[[#This Row],[J/C Utilised gas (MMscf)]]</f>
        <v>0</v>
      </c>
      <c r="AA12" s="723">
        <f>Table252346789101110121312141215161517[[#This Row],[Odid Prod gas (MMscf)]]-Table252346789101110121312141215161517[[#This Row],[Gas Export (MMscf/d)]]-Table252346789101110121312141215161517[[#This Row],[Odid Utilised gas (MMscf)]]</f>
        <v>0</v>
      </c>
      <c r="AB12" s="723">
        <f>Table252346789101110121312141215161517[[#This Row],[Batn Prod gas (MMscf)]]-Table252346789101110121312141215161517[[#This Row],[Batn Utilised gas (MMscf)]]</f>
        <v>0</v>
      </c>
      <c r="AC12" s="747">
        <f>Table252346789101110121312141215161517[[#This Row],[Egwa Prod gas (MMscf)]]</f>
        <v>0</v>
      </c>
      <c r="AD12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0</v>
      </c>
      <c r="AE12" s="723">
        <f>Table252346789101110121312141215161517[[#This Row],[Gas Export (MMscf/d)]]</f>
        <v>0</v>
      </c>
      <c r="AF12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</v>
      </c>
      <c r="AG12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0</v>
      </c>
      <c r="AH12" s="142"/>
      <c r="AI12" s="729"/>
      <c r="AJ12" s="763"/>
      <c r="AK12" s="762"/>
      <c r="AL12" s="762"/>
      <c r="AM12" s="762"/>
      <c r="AN12" s="762"/>
      <c r="AO12" s="762"/>
      <c r="AP12" s="762"/>
      <c r="AS12" s="454"/>
      <c r="AT12" s="454"/>
      <c r="AU12" s="454"/>
      <c r="AV12" s="454"/>
      <c r="AW12" s="454"/>
      <c r="AX12" s="454"/>
      <c r="AY12" s="454"/>
    </row>
    <row r="13" spans="2:51" ht="21.6">
      <c r="B13" s="716">
        <v>44448</v>
      </c>
      <c r="C13" s="749">
        <v>21.64</v>
      </c>
      <c r="D13" s="750">
        <v>15.132</v>
      </c>
      <c r="E13" s="751">
        <v>8.9</v>
      </c>
      <c r="F13" s="749">
        <v>3.77</v>
      </c>
      <c r="G13" s="749">
        <f>SUM(Table252346789101110121312141215161517[[#This Row],[Jones Creek Target (Mbopd)]:[Egwa Target (Mbopd)]])</f>
        <v>49.442</v>
      </c>
      <c r="H13" s="754">
        <v>0</v>
      </c>
      <c r="I13" s="754">
        <v>4.5199999999999996</v>
      </c>
      <c r="J13" s="754">
        <v>0</v>
      </c>
      <c r="K13" s="754">
        <v>0</v>
      </c>
      <c r="L13" s="753">
        <f t="shared" ref="L13:L30" si="2">H13+I13+J13+K13</f>
        <v>4.5199999999999996</v>
      </c>
      <c r="M13" s="721">
        <v>5.87</v>
      </c>
      <c r="N13" s="765">
        <f>Table252346789101110121312141215161517[[#This Row],[Jones Creek Target (Mbopd)]]-Table252346789101110121312141215161517[[#This Row],[Jones Creek (Mbopd)]]</f>
        <v>21.64</v>
      </c>
      <c r="O13" s="723">
        <f>Table252346789101110121312141215161517[[#This Row],[Odidi Target (Mbopd)]]-Table252346789101110121312141215161517[[#This Row],[Odidi (Mbopd)]]</f>
        <v>10.612</v>
      </c>
      <c r="P13" s="721">
        <f>Table252346789101110121312141215161517[[#This Row],[Batan Target (Mbopd)]]-Table252346789101110121312141215161517[[#This Row],[Batan (Mbopd)]]</f>
        <v>8.9</v>
      </c>
      <c r="Q13" s="747">
        <f>Table252346789101110121312141215161517[[#This Row],[Egwa Target (Mbopd)]]-Table252346789101110121312141215161517[[#This Row],[Egwa (Mbopd)]]</f>
        <v>3.77</v>
      </c>
      <c r="R13" s="745">
        <v>0</v>
      </c>
      <c r="S13" s="723">
        <v>21.19</v>
      </c>
      <c r="T13" s="723">
        <v>0</v>
      </c>
      <c r="U13" s="747">
        <v>0</v>
      </c>
      <c r="V13" s="746">
        <v>0</v>
      </c>
      <c r="W13" s="723">
        <v>0</v>
      </c>
      <c r="X13" s="723">
        <v>0</v>
      </c>
      <c r="Y13" s="721">
        <v>0</v>
      </c>
      <c r="Z13" s="746">
        <f>Table252346789101110121312141215161517[[#This Row],[J/C Prod gas (MMscf)]]-Table252346789101110121312141215161517[[#This Row],[J/C Utilised gas (MMscf)]]</f>
        <v>0</v>
      </c>
      <c r="AA13" s="723">
        <f>Table252346789101110121312141215161517[[#This Row],[Odid Prod gas (MMscf)]]-Table252346789101110121312141215161517[[#This Row],[Gas Export (MMscf/d)]]-Table252346789101110121312141215161517[[#This Row],[Odid Utilised gas (MMscf)]]</f>
        <v>15.32</v>
      </c>
      <c r="AB13" s="723">
        <f>Table252346789101110121312141215161517[[#This Row],[Batn Prod gas (MMscf)]]-Table252346789101110121312141215161517[[#This Row],[Batn Utilised gas (MMscf)]]</f>
        <v>0</v>
      </c>
      <c r="AC13" s="747">
        <f>Table252346789101110121312141215161517[[#This Row],[Egwa Prod gas (MMscf)]]</f>
        <v>0</v>
      </c>
      <c r="AD13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21.19</v>
      </c>
      <c r="AE13" s="723">
        <f>Table252346789101110121312141215161517[[#This Row],[Gas Export (MMscf/d)]]</f>
        <v>5.87</v>
      </c>
      <c r="AF13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</v>
      </c>
      <c r="AG13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15.32</v>
      </c>
      <c r="AH13" s="142"/>
      <c r="AI13" s="729"/>
      <c r="AJ13" s="763"/>
      <c r="AK13" s="762"/>
      <c r="AL13" s="762"/>
      <c r="AM13" s="762"/>
      <c r="AN13" s="762"/>
      <c r="AO13" s="762"/>
      <c r="AP13" s="762"/>
      <c r="AS13" s="454"/>
      <c r="AT13" s="454"/>
      <c r="AU13" s="454"/>
      <c r="AV13" s="454"/>
      <c r="AW13" s="454"/>
      <c r="AX13" s="454"/>
      <c r="AY13" s="454"/>
    </row>
    <row r="14" spans="2:51" ht="21.6">
      <c r="B14" s="716">
        <v>44449</v>
      </c>
      <c r="C14" s="749">
        <v>21.64</v>
      </c>
      <c r="D14" s="750">
        <v>15.132</v>
      </c>
      <c r="E14" s="751">
        <v>8.9</v>
      </c>
      <c r="F14" s="749">
        <v>3.77</v>
      </c>
      <c r="G14" s="749">
        <f>SUM(Table252346789101110121312141215161517[[#This Row],[Jones Creek Target (Mbopd)]:[Egwa Target (Mbopd)]])</f>
        <v>49.442</v>
      </c>
      <c r="H14" s="752">
        <v>9.3919999999999995</v>
      </c>
      <c r="I14" s="752">
        <v>9.1120000000000001</v>
      </c>
      <c r="J14" s="752">
        <v>0</v>
      </c>
      <c r="K14" s="752">
        <v>1.5129999999999999</v>
      </c>
      <c r="L14" s="753">
        <f t="shared" si="2"/>
        <v>20.016999999999996</v>
      </c>
      <c r="M14" s="721">
        <v>19.509</v>
      </c>
      <c r="N14" s="765">
        <f>Table252346789101110121312141215161517[[#This Row],[Jones Creek Target (Mbopd)]]-Table252346789101110121312141215161517[[#This Row],[Jones Creek (Mbopd)]]</f>
        <v>12.248000000000001</v>
      </c>
      <c r="O14" s="723">
        <f>Table252346789101110121312141215161517[[#This Row],[Odidi Target (Mbopd)]]-Table252346789101110121312141215161517[[#This Row],[Odidi (Mbopd)]]</f>
        <v>6.02</v>
      </c>
      <c r="P14" s="721">
        <f>Table252346789101110121312141215161517[[#This Row],[Batan Target (Mbopd)]]-Table252346789101110121312141215161517[[#This Row],[Batan (Mbopd)]]</f>
        <v>8.9</v>
      </c>
      <c r="Q14" s="747">
        <f>Table252346789101110121312141215161517[[#This Row],[Egwa Target (Mbopd)]]-Table252346789101110121312141215161517[[#This Row],[Egwa (Mbopd)]]</f>
        <v>2.2570000000000001</v>
      </c>
      <c r="R14" s="745">
        <v>5.64</v>
      </c>
      <c r="S14" s="723">
        <v>25.84</v>
      </c>
      <c r="T14" s="723">
        <v>0</v>
      </c>
      <c r="U14" s="747">
        <v>0</v>
      </c>
      <c r="V14" s="746">
        <v>0.84</v>
      </c>
      <c r="W14" s="723">
        <v>0</v>
      </c>
      <c r="X14" s="723">
        <v>0</v>
      </c>
      <c r="Y14" s="721">
        <v>0</v>
      </c>
      <c r="Z14" s="746">
        <f>Table252346789101110121312141215161517[[#This Row],[J/C Prod gas (MMscf)]]-Table252346789101110121312141215161517[[#This Row],[J/C Utilised gas (MMscf)]]</f>
        <v>4.8</v>
      </c>
      <c r="AA14" s="723">
        <f>Table252346789101110121312141215161517[[#This Row],[Odid Prod gas (MMscf)]]-Table252346789101110121312141215161517[[#This Row],[Gas Export (MMscf/d)]]-Table252346789101110121312141215161517[[#This Row],[Odid Utilised gas (MMscf)]]</f>
        <v>6.3309999999999995</v>
      </c>
      <c r="AB14" s="723">
        <f>Table252346789101110121312141215161517[[#This Row],[Batn Prod gas (MMscf)]]-Table252346789101110121312141215161517[[#This Row],[Batn Utilised gas (MMscf)]]</f>
        <v>0</v>
      </c>
      <c r="AC14" s="747">
        <f>Table252346789101110121312141215161517[[#This Row],[Egwa Prod gas (MMscf)]]</f>
        <v>0</v>
      </c>
      <c r="AD14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31.48</v>
      </c>
      <c r="AE14" s="723">
        <f>Table252346789101110121312141215161517[[#This Row],[Gas Export (MMscf/d)]]</f>
        <v>19.509</v>
      </c>
      <c r="AF14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14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11.131</v>
      </c>
      <c r="AH14" s="142"/>
      <c r="AI14" s="729"/>
      <c r="AJ14" s="763"/>
      <c r="AK14" s="762"/>
      <c r="AL14" s="762"/>
      <c r="AM14" s="762"/>
      <c r="AN14" s="762"/>
      <c r="AO14" s="762"/>
      <c r="AP14" s="762"/>
      <c r="AS14" s="454"/>
      <c r="AT14" s="454"/>
      <c r="AU14" s="454"/>
      <c r="AV14" s="454"/>
      <c r="AW14" s="454"/>
      <c r="AX14" s="454"/>
      <c r="AY14" s="454"/>
    </row>
    <row r="15" spans="2:51" ht="21.6">
      <c r="B15" s="716">
        <v>44450</v>
      </c>
      <c r="C15" s="749">
        <v>21.64</v>
      </c>
      <c r="D15" s="750">
        <v>15.132</v>
      </c>
      <c r="E15" s="751">
        <v>8.9</v>
      </c>
      <c r="F15" s="749">
        <v>3.77</v>
      </c>
      <c r="G15" s="749">
        <f>SUM(Table252346789101110121312141215161517[[#This Row],[Jones Creek Target (Mbopd)]:[Egwa Target (Mbopd)]])</f>
        <v>49.442</v>
      </c>
      <c r="H15" s="752">
        <v>22.937999999999999</v>
      </c>
      <c r="I15" s="752">
        <v>8.4510000000000005</v>
      </c>
      <c r="J15" s="752">
        <v>0</v>
      </c>
      <c r="K15" s="752">
        <v>3.427</v>
      </c>
      <c r="L15" s="753">
        <f t="shared" si="2"/>
        <v>34.816000000000003</v>
      </c>
      <c r="M15" s="721">
        <v>19.347000000000001</v>
      </c>
      <c r="N15" s="765">
        <f>Table252346789101110121312141215161517[[#This Row],[Jones Creek Target (Mbopd)]]-Table252346789101110121312141215161517[[#This Row],[Jones Creek (Mbopd)]]</f>
        <v>-1.2979999999999983</v>
      </c>
      <c r="O15" s="723">
        <f>Table252346789101110121312141215161517[[#This Row],[Odidi Target (Mbopd)]]-Table252346789101110121312141215161517[[#This Row],[Odidi (Mbopd)]]</f>
        <v>6.6809999999999992</v>
      </c>
      <c r="P15" s="721">
        <f>Table252346789101110121312141215161517[[#This Row],[Batan Target (Mbopd)]]-Table252346789101110121312141215161517[[#This Row],[Batan (Mbopd)]]</f>
        <v>8.9</v>
      </c>
      <c r="Q15" s="747">
        <f>Table252346789101110121312141215161517[[#This Row],[Egwa Target (Mbopd)]]-Table252346789101110121312141215161517[[#This Row],[Egwa (Mbopd)]]</f>
        <v>0.34299999999999997</v>
      </c>
      <c r="R15" s="745">
        <v>6.65</v>
      </c>
      <c r="S15" s="723">
        <v>25.84</v>
      </c>
      <c r="T15" s="723">
        <v>0</v>
      </c>
      <c r="U15" s="747">
        <v>1.31</v>
      </c>
      <c r="V15" s="746">
        <v>0.84</v>
      </c>
      <c r="W15" s="723">
        <v>0</v>
      </c>
      <c r="X15" s="723">
        <v>0</v>
      </c>
      <c r="Y15" s="721">
        <v>0</v>
      </c>
      <c r="Z15" s="746">
        <f>Table252346789101110121312141215161517[[#This Row],[J/C Prod gas (MMscf)]]-Table252346789101110121312141215161517[[#This Row],[J/C Utilised gas (MMscf)]]</f>
        <v>5.8100000000000005</v>
      </c>
      <c r="AA15" s="723">
        <f>Table252346789101110121312141215161517[[#This Row],[Odid Prod gas (MMscf)]]-Table252346789101110121312141215161517[[#This Row],[Gas Export (MMscf/d)]]-Table252346789101110121312141215161517[[#This Row],[Odid Utilised gas (MMscf)]]</f>
        <v>6.4929999999999986</v>
      </c>
      <c r="AB15" s="723">
        <f>Table252346789101110121312141215161517[[#This Row],[Batn Prod gas (MMscf)]]-Table252346789101110121312141215161517[[#This Row],[Batn Utilised gas (MMscf)]]</f>
        <v>0</v>
      </c>
      <c r="AC15" s="747">
        <f>Table252346789101110121312141215161517[[#This Row],[Egwa Prod gas (MMscf)]]</f>
        <v>1.31</v>
      </c>
      <c r="AD15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33.800000000000004</v>
      </c>
      <c r="AE15" s="723">
        <f>Table252346789101110121312141215161517[[#This Row],[Gas Export (MMscf/d)]]</f>
        <v>19.347000000000001</v>
      </c>
      <c r="AF15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15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13.613</v>
      </c>
      <c r="AH15" s="142"/>
      <c r="AI15" s="729"/>
      <c r="AJ15" s="763"/>
      <c r="AK15" s="762"/>
      <c r="AL15" s="762"/>
      <c r="AM15" s="762"/>
      <c r="AN15" s="762"/>
      <c r="AO15" s="762"/>
      <c r="AP15" s="762"/>
      <c r="AS15" s="454"/>
      <c r="AT15" s="454"/>
      <c r="AU15" s="454"/>
      <c r="AV15" s="454"/>
      <c r="AW15" s="454"/>
      <c r="AX15" s="454"/>
      <c r="AY15" s="454"/>
    </row>
    <row r="16" spans="2:51" ht="21.6">
      <c r="B16" s="716">
        <v>44451</v>
      </c>
      <c r="C16" s="749">
        <v>21.64</v>
      </c>
      <c r="D16" s="750">
        <v>15.132</v>
      </c>
      <c r="E16" s="751">
        <v>8.9</v>
      </c>
      <c r="F16" s="749">
        <v>3.77</v>
      </c>
      <c r="G16" s="749">
        <f>SUM(Table252346789101110121312141215161517[[#This Row],[Jones Creek Target (Mbopd)]:[Egwa Target (Mbopd)]])</f>
        <v>49.442</v>
      </c>
      <c r="H16" s="752">
        <v>21.646999999999998</v>
      </c>
      <c r="I16" s="752">
        <v>9.01</v>
      </c>
      <c r="J16" s="752">
        <v>0</v>
      </c>
      <c r="K16" s="752">
        <v>3.4630000000000001</v>
      </c>
      <c r="L16" s="753">
        <f t="shared" si="2"/>
        <v>34.119999999999997</v>
      </c>
      <c r="M16" s="764">
        <v>11.757999999999999</v>
      </c>
      <c r="N16" s="765">
        <f>Table252346789101110121312141215161517[[#This Row],[Jones Creek Target (Mbopd)]]-Table252346789101110121312141215161517[[#This Row],[Jones Creek (Mbopd)]]</f>
        <v>-6.9999999999978968E-3</v>
      </c>
      <c r="O16" s="723">
        <f>Table252346789101110121312141215161517[[#This Row],[Odidi Target (Mbopd)]]-Table252346789101110121312141215161517[[#This Row],[Odidi (Mbopd)]]</f>
        <v>6.1219999999999999</v>
      </c>
      <c r="P16" s="721">
        <f>Table252346789101110121312141215161517[[#This Row],[Batan Target (Mbopd)]]-Table252346789101110121312141215161517[[#This Row],[Batan (Mbopd)]]</f>
        <v>8.9</v>
      </c>
      <c r="Q16" s="747">
        <f>Table252346789101110121312141215161517[[#This Row],[Egwa Target (Mbopd)]]-Table252346789101110121312141215161517[[#This Row],[Egwa (Mbopd)]]</f>
        <v>0.30699999999999994</v>
      </c>
      <c r="R16" s="745">
        <v>6.86</v>
      </c>
      <c r="S16" s="723">
        <v>24.27</v>
      </c>
      <c r="T16" s="723">
        <v>0</v>
      </c>
      <c r="U16" s="747">
        <v>1.47</v>
      </c>
      <c r="V16" s="746">
        <v>0.84</v>
      </c>
      <c r="W16" s="723">
        <v>0</v>
      </c>
      <c r="X16" s="723">
        <v>0</v>
      </c>
      <c r="Y16" s="721">
        <v>0</v>
      </c>
      <c r="Z16" s="746">
        <f>Table252346789101110121312141215161517[[#This Row],[J/C Prod gas (MMscf)]]-Table252346789101110121312141215161517[[#This Row],[J/C Utilised gas (MMscf)]]</f>
        <v>6.0200000000000005</v>
      </c>
      <c r="AA16" s="723">
        <f>Table252346789101110121312141215161517[[#This Row],[Odid Prod gas (MMscf)]]-Table252346789101110121312141215161517[[#This Row],[Gas Export (MMscf/d)]]-Table252346789101110121312141215161517[[#This Row],[Odid Utilised gas (MMscf)]]</f>
        <v>12.512</v>
      </c>
      <c r="AB16" s="723">
        <f>Table252346789101110121312141215161517[[#This Row],[Batn Prod gas (MMscf)]]-Table252346789101110121312141215161517[[#This Row],[Batn Utilised gas (MMscf)]]</f>
        <v>0</v>
      </c>
      <c r="AC16" s="747">
        <f>Table252346789101110121312141215161517[[#This Row],[Egwa Prod gas (MMscf)]]</f>
        <v>1.47</v>
      </c>
      <c r="AD16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32.6</v>
      </c>
      <c r="AE16" s="723">
        <f>Table252346789101110121312141215161517[[#This Row],[Gas Export (MMscf/d)]]</f>
        <v>11.757999999999999</v>
      </c>
      <c r="AF16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16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20.002000000000002</v>
      </c>
      <c r="AH16" s="142"/>
      <c r="AI16" s="729"/>
      <c r="AJ16" s="763"/>
      <c r="AK16" s="762"/>
      <c r="AL16" s="762"/>
      <c r="AM16" s="762"/>
      <c r="AN16" s="762"/>
      <c r="AO16" s="762"/>
      <c r="AP16" s="762"/>
      <c r="AS16" s="454"/>
      <c r="AT16" s="454"/>
      <c r="AU16" s="454"/>
      <c r="AV16" s="454"/>
      <c r="AW16" s="454"/>
      <c r="AX16" s="454"/>
      <c r="AY16" s="454"/>
    </row>
    <row r="17" spans="2:51" ht="21.6">
      <c r="B17" s="716">
        <v>44452</v>
      </c>
      <c r="C17" s="749">
        <v>21.64</v>
      </c>
      <c r="D17" s="750">
        <v>15.132</v>
      </c>
      <c r="E17" s="751">
        <v>8.9</v>
      </c>
      <c r="F17" s="749">
        <v>3.77</v>
      </c>
      <c r="G17" s="749">
        <f>SUM(Table252346789101110121312141215161517[[#This Row],[Jones Creek Target (Mbopd)]:[Egwa Target (Mbopd)]])</f>
        <v>49.442</v>
      </c>
      <c r="H17" s="752">
        <v>15.005000000000001</v>
      </c>
      <c r="I17" s="752">
        <v>9.1739999999999995</v>
      </c>
      <c r="J17" s="752">
        <v>0</v>
      </c>
      <c r="K17" s="752">
        <v>3.4910000000000001</v>
      </c>
      <c r="L17" s="753">
        <f t="shared" si="2"/>
        <v>27.67</v>
      </c>
      <c r="M17" s="721">
        <v>18.25</v>
      </c>
      <c r="N17" s="765">
        <f>Table252346789101110121312141215161517[[#This Row],[Jones Creek Target (Mbopd)]]-Table252346789101110121312141215161517[[#This Row],[Jones Creek (Mbopd)]]</f>
        <v>6.6349999999999998</v>
      </c>
      <c r="O17" s="723">
        <f>Table252346789101110121312141215161517[[#This Row],[Odidi Target (Mbopd)]]-Table252346789101110121312141215161517[[#This Row],[Odidi (Mbopd)]]</f>
        <v>5.9580000000000002</v>
      </c>
      <c r="P17" s="721">
        <f>Table252346789101110121312141215161517[[#This Row],[Batan Target (Mbopd)]]-Table252346789101110121312141215161517[[#This Row],[Batan (Mbopd)]]</f>
        <v>8.9</v>
      </c>
      <c r="Q17" s="747">
        <f>Table252346789101110121312141215161517[[#This Row],[Egwa Target (Mbopd)]]-Table252346789101110121312141215161517[[#This Row],[Egwa (Mbopd)]]</f>
        <v>0.27899999999999991</v>
      </c>
      <c r="R17" s="745">
        <v>6.0090000000000003</v>
      </c>
      <c r="S17" s="723">
        <v>25.84</v>
      </c>
      <c r="T17" s="723">
        <v>0</v>
      </c>
      <c r="U17" s="747">
        <v>1.6</v>
      </c>
      <c r="V17" s="746">
        <v>0.84</v>
      </c>
      <c r="W17" s="723">
        <v>0</v>
      </c>
      <c r="X17" s="723">
        <v>0</v>
      </c>
      <c r="Y17" s="721">
        <v>0</v>
      </c>
      <c r="Z17" s="746">
        <f>Table252346789101110121312141215161517[[#This Row],[J/C Prod gas (MMscf)]]-Table252346789101110121312141215161517[[#This Row],[J/C Utilised gas (MMscf)]]</f>
        <v>5.1690000000000005</v>
      </c>
      <c r="AA17" s="723">
        <f>Table252346789101110121312141215161517[[#This Row],[Odid Prod gas (MMscf)]]-Table252346789101110121312141215161517[[#This Row],[Gas Export (MMscf/d)]]-Table252346789101110121312141215161517[[#This Row],[Odid Utilised gas (MMscf)]]</f>
        <v>7.59</v>
      </c>
      <c r="AB17" s="723">
        <f>Table252346789101110121312141215161517[[#This Row],[Batn Prod gas (MMscf)]]-Table252346789101110121312141215161517[[#This Row],[Batn Utilised gas (MMscf)]]</f>
        <v>0</v>
      </c>
      <c r="AC17" s="747">
        <f>Table252346789101110121312141215161517[[#This Row],[Egwa Prod gas (MMscf)]]</f>
        <v>1.6</v>
      </c>
      <c r="AD17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33.448999999999998</v>
      </c>
      <c r="AE17" s="723">
        <f>Table252346789101110121312141215161517[[#This Row],[Gas Export (MMscf/d)]]</f>
        <v>18.25</v>
      </c>
      <c r="AF17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17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14.359</v>
      </c>
      <c r="AH17" s="142"/>
      <c r="AI17" s="729"/>
      <c r="AJ17" s="763"/>
      <c r="AK17" s="762"/>
      <c r="AL17" s="762"/>
      <c r="AM17" s="762"/>
      <c r="AN17" s="762"/>
      <c r="AO17" s="762"/>
      <c r="AP17" s="762"/>
      <c r="AS17" s="454"/>
      <c r="AT17" s="454"/>
      <c r="AU17" s="454"/>
      <c r="AV17" s="454"/>
      <c r="AW17" s="454"/>
      <c r="AX17" s="454"/>
      <c r="AY17" s="454"/>
    </row>
    <row r="18" spans="2:51" ht="21.6">
      <c r="B18" s="716">
        <v>44453</v>
      </c>
      <c r="C18" s="749">
        <v>21.64</v>
      </c>
      <c r="D18" s="750">
        <v>15.132</v>
      </c>
      <c r="E18" s="751">
        <v>8.9</v>
      </c>
      <c r="F18" s="749">
        <v>3.77</v>
      </c>
      <c r="G18" s="749">
        <f>SUM(Table252346789101110121312141215161517[[#This Row],[Jones Creek Target (Mbopd)]:[Egwa Target (Mbopd)]])</f>
        <v>49.442</v>
      </c>
      <c r="H18" s="752">
        <v>18.276</v>
      </c>
      <c r="I18" s="752">
        <v>10.227</v>
      </c>
      <c r="J18" s="752">
        <v>0</v>
      </c>
      <c r="K18" s="752">
        <v>3.5640000000000001</v>
      </c>
      <c r="L18" s="753">
        <f t="shared" si="2"/>
        <v>32.067</v>
      </c>
      <c r="M18" s="721">
        <v>20.986000000000001</v>
      </c>
      <c r="N18" s="765">
        <f>Table252346789101110121312141215161517[[#This Row],[Jones Creek Target (Mbopd)]]-Table252346789101110121312141215161517[[#This Row],[Jones Creek (Mbopd)]]</f>
        <v>3.3640000000000008</v>
      </c>
      <c r="O18" s="723">
        <f>Table252346789101110121312141215161517[[#This Row],[Odidi Target (Mbopd)]]-Table252346789101110121312141215161517[[#This Row],[Odidi (Mbopd)]]</f>
        <v>4.9049999999999994</v>
      </c>
      <c r="P18" s="721">
        <f>Table252346789101110121312141215161517[[#This Row],[Batan Target (Mbopd)]]-Table252346789101110121312141215161517[[#This Row],[Batan (Mbopd)]]</f>
        <v>8.9</v>
      </c>
      <c r="Q18" s="747">
        <f>Table252346789101110121312141215161517[[#This Row],[Egwa Target (Mbopd)]]-Table252346789101110121312141215161517[[#This Row],[Egwa (Mbopd)]]</f>
        <v>0.20599999999999996</v>
      </c>
      <c r="R18" s="745">
        <v>6.0090000000000003</v>
      </c>
      <c r="S18" s="723">
        <v>25.84</v>
      </c>
      <c r="T18" s="723">
        <v>0</v>
      </c>
      <c r="U18" s="747">
        <v>1.6</v>
      </c>
      <c r="V18" s="746">
        <v>0.84</v>
      </c>
      <c r="W18" s="723">
        <v>0</v>
      </c>
      <c r="X18" s="723">
        <v>0</v>
      </c>
      <c r="Y18" s="721">
        <v>0</v>
      </c>
      <c r="Z18" s="746">
        <f>Table252346789101110121312141215161517[[#This Row],[J/C Prod gas (MMscf)]]-Table252346789101110121312141215161517[[#This Row],[J/C Utilised gas (MMscf)]]</f>
        <v>5.1690000000000005</v>
      </c>
      <c r="AA18" s="723">
        <f>Table252346789101110121312141215161517[[#This Row],[Odid Prod gas (MMscf)]]-Table252346789101110121312141215161517[[#This Row],[Gas Export (MMscf/d)]]-Table252346789101110121312141215161517[[#This Row],[Odid Utilised gas (MMscf)]]</f>
        <v>4.8539999999999992</v>
      </c>
      <c r="AB18" s="723">
        <f>Table252346789101110121312141215161517[[#This Row],[Batn Prod gas (MMscf)]]-Table252346789101110121312141215161517[[#This Row],[Batn Utilised gas (MMscf)]]</f>
        <v>0</v>
      </c>
      <c r="AC18" s="747">
        <f>Table252346789101110121312141215161517[[#This Row],[Egwa Prod gas (MMscf)]]</f>
        <v>1.6</v>
      </c>
      <c r="AD18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33.448999999999998</v>
      </c>
      <c r="AE18" s="723">
        <f>Table252346789101110121312141215161517[[#This Row],[Gas Export (MMscf/d)]]</f>
        <v>20.986000000000001</v>
      </c>
      <c r="AF18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18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11.622999999999999</v>
      </c>
      <c r="AH18" s="142"/>
      <c r="AI18" s="729"/>
      <c r="AJ18" s="763"/>
      <c r="AK18" s="762"/>
      <c r="AL18" s="762"/>
      <c r="AM18" s="762"/>
      <c r="AN18" s="762"/>
      <c r="AO18" s="762"/>
      <c r="AP18" s="762"/>
      <c r="AS18" s="454"/>
      <c r="AT18" s="454"/>
      <c r="AU18" s="454"/>
      <c r="AV18" s="454"/>
      <c r="AW18" s="454"/>
      <c r="AX18" s="454"/>
      <c r="AY18" s="454"/>
    </row>
    <row r="19" spans="2:51" ht="21.6">
      <c r="B19" s="716">
        <v>44454</v>
      </c>
      <c r="C19" s="749">
        <v>21.64</v>
      </c>
      <c r="D19" s="750">
        <v>15.132</v>
      </c>
      <c r="E19" s="751">
        <v>8.9</v>
      </c>
      <c r="F19" s="749">
        <v>3.77</v>
      </c>
      <c r="G19" s="749">
        <f>SUM(Table252346789101110121312141215161517[[#This Row],[Jones Creek Target (Mbopd)]:[Egwa Target (Mbopd)]])</f>
        <v>49.442</v>
      </c>
      <c r="H19" s="754">
        <v>20.798999999999999</v>
      </c>
      <c r="I19" s="752">
        <v>9.7870000000000008</v>
      </c>
      <c r="J19" s="752">
        <v>0</v>
      </c>
      <c r="K19" s="752">
        <v>3.516</v>
      </c>
      <c r="L19" s="753">
        <f t="shared" si="2"/>
        <v>34.101999999999997</v>
      </c>
      <c r="M19" s="721">
        <v>19.71</v>
      </c>
      <c r="N19" s="765">
        <f>Table252346789101110121312141215161517[[#This Row],[Jones Creek Target (Mbopd)]]-Table252346789101110121312141215161517[[#This Row],[Jones Creek (Mbopd)]]</f>
        <v>0.84100000000000108</v>
      </c>
      <c r="O19" s="723">
        <f>Table252346789101110121312141215161517[[#This Row],[Odidi Target (Mbopd)]]-Table252346789101110121312141215161517[[#This Row],[Odidi (Mbopd)]]</f>
        <v>5.3449999999999989</v>
      </c>
      <c r="P19" s="721">
        <f>Table252346789101110121312141215161517[[#This Row],[Batan Target (Mbopd)]]-Table252346789101110121312141215161517[[#This Row],[Batan (Mbopd)]]</f>
        <v>8.9</v>
      </c>
      <c r="Q19" s="747">
        <f>Table252346789101110121312141215161517[[#This Row],[Egwa Target (Mbopd)]]-Table252346789101110121312141215161517[[#This Row],[Egwa (Mbopd)]]</f>
        <v>0.254</v>
      </c>
      <c r="R19" s="745">
        <v>6.57</v>
      </c>
      <c r="S19" s="723">
        <v>28.99</v>
      </c>
      <c r="T19" s="723">
        <v>0</v>
      </c>
      <c r="U19" s="747">
        <v>1.84</v>
      </c>
      <c r="V19" s="746">
        <v>0.84</v>
      </c>
      <c r="W19" s="723">
        <v>0</v>
      </c>
      <c r="X19" s="723">
        <v>0</v>
      </c>
      <c r="Y19" s="721">
        <v>0</v>
      </c>
      <c r="Z19" s="746">
        <f>Table252346789101110121312141215161517[[#This Row],[J/C Prod gas (MMscf)]]-Table252346789101110121312141215161517[[#This Row],[J/C Utilised gas (MMscf)]]</f>
        <v>5.73</v>
      </c>
      <c r="AA19" s="723">
        <f>Table252346789101110121312141215161517[[#This Row],[Odid Prod gas (MMscf)]]-Table252346789101110121312141215161517[[#This Row],[Gas Export (MMscf/d)]]-Table252346789101110121312141215161517[[#This Row],[Odid Utilised gas (MMscf)]]</f>
        <v>9.2799999999999976</v>
      </c>
      <c r="AB19" s="723">
        <f>Table252346789101110121312141215161517[[#This Row],[Batn Prod gas (MMscf)]]-Table252346789101110121312141215161517[[#This Row],[Batn Utilised gas (MMscf)]]</f>
        <v>0</v>
      </c>
      <c r="AC19" s="747">
        <f>Table252346789101110121312141215161517[[#This Row],[Egwa Prod gas (MMscf)]]</f>
        <v>1.84</v>
      </c>
      <c r="AD19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37.400000000000006</v>
      </c>
      <c r="AE19" s="723">
        <f>Table252346789101110121312141215161517[[#This Row],[Gas Export (MMscf/d)]]</f>
        <v>19.71</v>
      </c>
      <c r="AF19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19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16.849999999999998</v>
      </c>
      <c r="AH19" s="142"/>
      <c r="AI19" s="729"/>
      <c r="AJ19" s="763"/>
      <c r="AK19" s="762"/>
      <c r="AL19" s="762"/>
      <c r="AM19" s="762"/>
      <c r="AN19" s="762"/>
      <c r="AO19" s="762"/>
      <c r="AP19" s="762"/>
      <c r="AS19" s="454"/>
      <c r="AT19" s="454"/>
      <c r="AU19" s="454"/>
      <c r="AV19" s="454"/>
      <c r="AW19" s="454"/>
      <c r="AX19" s="454"/>
      <c r="AY19" s="454"/>
    </row>
    <row r="20" spans="2:51" ht="21.6">
      <c r="B20" s="716">
        <v>44455</v>
      </c>
      <c r="C20" s="749">
        <v>21.64</v>
      </c>
      <c r="D20" s="750">
        <v>15.132</v>
      </c>
      <c r="E20" s="751">
        <v>8.9</v>
      </c>
      <c r="F20" s="749">
        <v>3.77</v>
      </c>
      <c r="G20" s="749">
        <f>SUM(Table252346789101110121312141215161517[[#This Row],[Jones Creek Target (Mbopd)]:[Egwa Target (Mbopd)]])</f>
        <v>49.442</v>
      </c>
      <c r="H20" s="754">
        <v>21.873999999999999</v>
      </c>
      <c r="I20" s="752">
        <v>11.144</v>
      </c>
      <c r="J20" s="752">
        <v>0</v>
      </c>
      <c r="K20" s="752">
        <v>3.524</v>
      </c>
      <c r="L20" s="753">
        <f t="shared" si="2"/>
        <v>36.542000000000002</v>
      </c>
      <c r="M20" s="721">
        <v>18.475999999999999</v>
      </c>
      <c r="N20" s="765">
        <f>Table252346789101110121312141215161517[[#This Row],[Jones Creek Target (Mbopd)]]-Table252346789101110121312141215161517[[#This Row],[Jones Creek (Mbopd)]]</f>
        <v>-0.23399999999999821</v>
      </c>
      <c r="O20" s="723">
        <f>Table252346789101110121312141215161517[[#This Row],[Odidi Target (Mbopd)]]-Table252346789101110121312141215161517[[#This Row],[Odidi (Mbopd)]]</f>
        <v>3.9879999999999995</v>
      </c>
      <c r="P20" s="721">
        <f>Table252346789101110121312141215161517[[#This Row],[Batan Target (Mbopd)]]-Table252346789101110121312141215161517[[#This Row],[Batan (Mbopd)]]</f>
        <v>8.9</v>
      </c>
      <c r="Q20" s="747">
        <f>Table252346789101110121312141215161517[[#This Row],[Egwa Target (Mbopd)]]-Table252346789101110121312141215161517[[#This Row],[Egwa (Mbopd)]]</f>
        <v>0.246</v>
      </c>
      <c r="R20" s="745">
        <v>6.8689999999999998</v>
      </c>
      <c r="S20" s="723">
        <v>31.29</v>
      </c>
      <c r="T20" s="723">
        <v>0</v>
      </c>
      <c r="U20" s="747">
        <v>1.92</v>
      </c>
      <c r="V20" s="746">
        <v>0.84</v>
      </c>
      <c r="W20" s="723">
        <v>0</v>
      </c>
      <c r="X20" s="723">
        <v>0</v>
      </c>
      <c r="Y20" s="721">
        <v>0</v>
      </c>
      <c r="Z20" s="746">
        <f>Table252346789101110121312141215161517[[#This Row],[J/C Prod gas (MMscf)]]-Table252346789101110121312141215161517[[#This Row],[J/C Utilised gas (MMscf)]]</f>
        <v>6.0289999999999999</v>
      </c>
      <c r="AA20" s="723">
        <f>Table252346789101110121312141215161517[[#This Row],[Odid Prod gas (MMscf)]]-Table252346789101110121312141215161517[[#This Row],[Gas Export (MMscf/d)]]-Table252346789101110121312141215161517[[#This Row],[Odid Utilised gas (MMscf)]]</f>
        <v>12.814</v>
      </c>
      <c r="AB20" s="723">
        <f>Table252346789101110121312141215161517[[#This Row],[Batn Prod gas (MMscf)]]-Table252346789101110121312141215161517[[#This Row],[Batn Utilised gas (MMscf)]]</f>
        <v>0</v>
      </c>
      <c r="AC20" s="747">
        <f>Table252346789101110121312141215161517[[#This Row],[Egwa Prod gas (MMscf)]]</f>
        <v>1.92</v>
      </c>
      <c r="AD20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40.079000000000001</v>
      </c>
      <c r="AE20" s="723">
        <f>Table252346789101110121312141215161517[[#This Row],[Gas Export (MMscf/d)]]</f>
        <v>18.475999999999999</v>
      </c>
      <c r="AF20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20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20.762999999999998</v>
      </c>
      <c r="AH20" s="142"/>
      <c r="AI20" s="729"/>
      <c r="AJ20" s="763"/>
      <c r="AK20" s="762"/>
      <c r="AL20" s="762"/>
      <c r="AM20" s="762"/>
      <c r="AN20" s="762"/>
      <c r="AO20" s="762"/>
      <c r="AP20" s="762"/>
      <c r="AS20" s="454"/>
      <c r="AT20" s="454"/>
      <c r="AU20" s="454"/>
      <c r="AV20" s="454"/>
      <c r="AW20" s="454"/>
      <c r="AX20" s="454"/>
      <c r="AY20" s="454"/>
    </row>
    <row r="21" spans="2:51" ht="21.6">
      <c r="B21" s="716">
        <v>44456</v>
      </c>
      <c r="C21" s="749">
        <v>21.64</v>
      </c>
      <c r="D21" s="750">
        <v>15.132</v>
      </c>
      <c r="E21" s="751">
        <v>8.9</v>
      </c>
      <c r="F21" s="749">
        <v>3.77</v>
      </c>
      <c r="G21" s="749">
        <f>SUM(Table252346789101110121312141215161517[[#This Row],[Jones Creek Target (Mbopd)]:[Egwa Target (Mbopd)]])</f>
        <v>49.442</v>
      </c>
      <c r="H21" s="752">
        <v>21.369</v>
      </c>
      <c r="I21" s="752">
        <v>12.760999999999999</v>
      </c>
      <c r="J21" s="752">
        <v>0</v>
      </c>
      <c r="K21" s="752">
        <v>3.5419999999999998</v>
      </c>
      <c r="L21" s="753">
        <f t="shared" si="2"/>
        <v>37.671999999999997</v>
      </c>
      <c r="M21" s="721">
        <v>19.117999999999999</v>
      </c>
      <c r="N21" s="765">
        <f>Table252346789101110121312141215161517[[#This Row],[Jones Creek Target (Mbopd)]]-Table252346789101110121312141215161517[[#This Row],[Jones Creek (Mbopd)]]</f>
        <v>0.2710000000000008</v>
      </c>
      <c r="O21" s="723">
        <f>Table252346789101110121312141215161517[[#This Row],[Odidi Target (Mbopd)]]-Table252346789101110121312141215161517[[#This Row],[Odidi (Mbopd)]]</f>
        <v>2.3710000000000004</v>
      </c>
      <c r="P21" s="721">
        <f>Table252346789101110121312141215161517[[#This Row],[Batan Target (Mbopd)]]-Table252346789101110121312141215161517[[#This Row],[Batan (Mbopd)]]</f>
        <v>8.9</v>
      </c>
      <c r="Q21" s="747">
        <f>Table252346789101110121312141215161517[[#This Row],[Egwa Target (Mbopd)]]-Table252346789101110121312141215161517[[#This Row],[Egwa (Mbopd)]]</f>
        <v>0.2280000000000002</v>
      </c>
      <c r="R21" s="745">
        <v>6.8689999999999998</v>
      </c>
      <c r="S21" s="723">
        <v>32.020000000000003</v>
      </c>
      <c r="T21" s="723">
        <v>0</v>
      </c>
      <c r="U21" s="747">
        <v>2.02</v>
      </c>
      <c r="V21" s="746">
        <v>0.84</v>
      </c>
      <c r="W21" s="723">
        <v>0</v>
      </c>
      <c r="X21" s="723">
        <v>0</v>
      </c>
      <c r="Y21" s="721">
        <v>0</v>
      </c>
      <c r="Z21" s="746">
        <f>Table252346789101110121312141215161517[[#This Row],[J/C Prod gas (MMscf)]]-Table252346789101110121312141215161517[[#This Row],[J/C Utilised gas (MMscf)]]</f>
        <v>6.0289999999999999</v>
      </c>
      <c r="AA21" s="723">
        <f>Table252346789101110121312141215161517[[#This Row],[Odid Prod gas (MMscf)]]-Table252346789101110121312141215161517[[#This Row],[Gas Export (MMscf/d)]]-Table252346789101110121312141215161517[[#This Row],[Odid Utilised gas (MMscf)]]</f>
        <v>12.902000000000005</v>
      </c>
      <c r="AB21" s="723">
        <f>Table252346789101110121312141215161517[[#This Row],[Batn Prod gas (MMscf)]]-Table252346789101110121312141215161517[[#This Row],[Batn Utilised gas (MMscf)]]</f>
        <v>0</v>
      </c>
      <c r="AC21" s="747">
        <f>Table252346789101110121312141215161517[[#This Row],[Egwa Prod gas (MMscf)]]</f>
        <v>2.02</v>
      </c>
      <c r="AD21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40.909000000000006</v>
      </c>
      <c r="AE21" s="723">
        <f>Table252346789101110121312141215161517[[#This Row],[Gas Export (MMscf/d)]]</f>
        <v>19.117999999999999</v>
      </c>
      <c r="AF21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21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20.951000000000004</v>
      </c>
      <c r="AH21" s="142"/>
      <c r="AI21" s="729"/>
      <c r="AJ21" s="763"/>
      <c r="AK21" s="762"/>
      <c r="AL21" s="762"/>
      <c r="AM21" s="762"/>
      <c r="AN21" s="762"/>
      <c r="AO21" s="762"/>
      <c r="AP21" s="762"/>
      <c r="AS21" s="454"/>
      <c r="AT21" s="454"/>
      <c r="AU21" s="454"/>
      <c r="AV21" s="454"/>
      <c r="AW21" s="454"/>
      <c r="AX21" s="454"/>
      <c r="AY21" s="454"/>
    </row>
    <row r="22" spans="2:51" ht="21.6">
      <c r="B22" s="716">
        <v>44457</v>
      </c>
      <c r="C22" s="749">
        <v>21.64</v>
      </c>
      <c r="D22" s="750">
        <v>15.132</v>
      </c>
      <c r="E22" s="751">
        <v>8.9</v>
      </c>
      <c r="F22" s="749">
        <v>3.77</v>
      </c>
      <c r="G22" s="749">
        <f>SUM(Table252346789101110121312141215161517[[#This Row],[Jones Creek Target (Mbopd)]:[Egwa Target (Mbopd)]])</f>
        <v>49.442</v>
      </c>
      <c r="H22" s="752">
        <v>22.193000000000001</v>
      </c>
      <c r="I22" s="752">
        <v>12.09</v>
      </c>
      <c r="J22" s="752">
        <v>0</v>
      </c>
      <c r="K22" s="752">
        <v>3.53</v>
      </c>
      <c r="L22" s="753">
        <f t="shared" si="2"/>
        <v>37.813000000000002</v>
      </c>
      <c r="M22" s="721">
        <v>17.518999999999998</v>
      </c>
      <c r="N22" s="765">
        <f>Table252346789101110121312141215161517[[#This Row],[Jones Creek Target (Mbopd)]]-Table252346789101110121312141215161517[[#This Row],[Jones Creek (Mbopd)]]</f>
        <v>-0.55300000000000082</v>
      </c>
      <c r="O22" s="723">
        <f>Table252346789101110121312141215161517[[#This Row],[Odidi Target (Mbopd)]]-Table252346789101110121312141215161517[[#This Row],[Odidi (Mbopd)]]</f>
        <v>3.0419999999999998</v>
      </c>
      <c r="P22" s="721">
        <f>Table252346789101110121312141215161517[[#This Row],[Batan Target (Mbopd)]]-Table252346789101110121312141215161517[[#This Row],[Batan (Mbopd)]]</f>
        <v>8.9</v>
      </c>
      <c r="Q22" s="747">
        <f>Table252346789101110121312141215161517[[#This Row],[Egwa Target (Mbopd)]]-Table252346789101110121312141215161517[[#This Row],[Egwa (Mbopd)]]</f>
        <v>0.24000000000000021</v>
      </c>
      <c r="R22" s="745">
        <v>6.87</v>
      </c>
      <c r="S22" s="723">
        <v>32.71</v>
      </c>
      <c r="T22" s="723">
        <v>0</v>
      </c>
      <c r="U22" s="747">
        <v>2.0699999999999998</v>
      </c>
      <c r="V22" s="746">
        <v>0.84</v>
      </c>
      <c r="W22" s="723">
        <v>0</v>
      </c>
      <c r="X22" s="723">
        <v>0</v>
      </c>
      <c r="Y22" s="721">
        <v>0</v>
      </c>
      <c r="Z22" s="746">
        <f>Table252346789101110121312141215161517[[#This Row],[J/C Prod gas (MMscf)]]-Table252346789101110121312141215161517[[#This Row],[J/C Utilised gas (MMscf)]]</f>
        <v>6.03</v>
      </c>
      <c r="AA22" s="723">
        <f>Table252346789101110121312141215161517[[#This Row],[Odid Prod gas (MMscf)]]-Table252346789101110121312141215161517[[#This Row],[Gas Export (MMscf/d)]]-Table252346789101110121312141215161517[[#This Row],[Odid Utilised gas (MMscf)]]</f>
        <v>15.191000000000003</v>
      </c>
      <c r="AB22" s="723">
        <f>Table252346789101110121312141215161517[[#This Row],[Batn Prod gas (MMscf)]]-Table252346789101110121312141215161517[[#This Row],[Batn Utilised gas (MMscf)]]</f>
        <v>0</v>
      </c>
      <c r="AC22" s="747">
        <f>Table252346789101110121312141215161517[[#This Row],[Egwa Prod gas (MMscf)]]</f>
        <v>2.0699999999999998</v>
      </c>
      <c r="AD22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41.65</v>
      </c>
      <c r="AE22" s="723">
        <f>Table252346789101110121312141215161517[[#This Row],[Gas Export (MMscf/d)]]</f>
        <v>17.518999999999998</v>
      </c>
      <c r="AF22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22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23.291000000000004</v>
      </c>
      <c r="AH22" s="142"/>
      <c r="AI22" s="729"/>
      <c r="AJ22" s="763"/>
      <c r="AK22" s="762"/>
      <c r="AL22" s="762"/>
      <c r="AM22" s="762"/>
      <c r="AN22" s="762"/>
      <c r="AO22" s="762"/>
      <c r="AP22" s="762"/>
      <c r="AS22" s="454"/>
      <c r="AT22" s="454"/>
      <c r="AU22" s="454"/>
      <c r="AV22" s="454"/>
      <c r="AW22" s="454"/>
      <c r="AX22" s="454"/>
      <c r="AY22" s="454"/>
    </row>
    <row r="23" spans="2:51" ht="21.6">
      <c r="B23" s="716">
        <v>44458</v>
      </c>
      <c r="C23" s="749">
        <v>21.64</v>
      </c>
      <c r="D23" s="750">
        <v>15.132</v>
      </c>
      <c r="E23" s="751">
        <v>8.9</v>
      </c>
      <c r="F23" s="749">
        <v>3.77</v>
      </c>
      <c r="G23" s="749">
        <f>SUM(Table252346789101110121312141215161517[[#This Row],[Jones Creek Target (Mbopd)]:[Egwa Target (Mbopd)]])</f>
        <v>49.442</v>
      </c>
      <c r="H23" s="752">
        <v>20.298999999999999</v>
      </c>
      <c r="I23" s="752">
        <v>12.28</v>
      </c>
      <c r="J23" s="752">
        <v>0</v>
      </c>
      <c r="K23" s="752">
        <v>3.5270000000000001</v>
      </c>
      <c r="L23" s="753">
        <f t="shared" si="2"/>
        <v>36.106000000000002</v>
      </c>
      <c r="M23" s="721">
        <v>19.260000000000002</v>
      </c>
      <c r="N23" s="765">
        <f>Table252346789101110121312141215161517[[#This Row],[Jones Creek Target (Mbopd)]]-Table252346789101110121312141215161517[[#This Row],[Jones Creek (Mbopd)]]</f>
        <v>1.3410000000000011</v>
      </c>
      <c r="O23" s="723">
        <f>Table252346789101110121312141215161517[[#This Row],[Odidi Target (Mbopd)]]-Table252346789101110121312141215161517[[#This Row],[Odidi (Mbopd)]]</f>
        <v>2.8520000000000003</v>
      </c>
      <c r="P23" s="721">
        <f>Table252346789101110121312141215161517[[#This Row],[Batan Target (Mbopd)]]-Table252346789101110121312141215161517[[#This Row],[Batan (Mbopd)]]</f>
        <v>8.9</v>
      </c>
      <c r="Q23" s="747">
        <f>Table252346789101110121312141215161517[[#This Row],[Egwa Target (Mbopd)]]-Table252346789101110121312141215161517[[#This Row],[Egwa (Mbopd)]]</f>
        <v>0.24299999999999988</v>
      </c>
      <c r="R23" s="745">
        <v>6.8</v>
      </c>
      <c r="S23" s="723">
        <v>33.08</v>
      </c>
      <c r="T23" s="723">
        <v>0</v>
      </c>
      <c r="U23" s="747">
        <v>2.15</v>
      </c>
      <c r="V23" s="746">
        <v>0.84</v>
      </c>
      <c r="W23" s="723">
        <v>0</v>
      </c>
      <c r="X23" s="723">
        <v>0</v>
      </c>
      <c r="Y23" s="721">
        <v>0</v>
      </c>
      <c r="Z23" s="746">
        <f>Table252346789101110121312141215161517[[#This Row],[J/C Prod gas (MMscf)]]-Table252346789101110121312141215161517[[#This Row],[J/C Utilised gas (MMscf)]]</f>
        <v>5.96</v>
      </c>
      <c r="AA23" s="723">
        <f>Table252346789101110121312141215161517[[#This Row],[Odid Prod gas (MMscf)]]-Table252346789101110121312141215161517[[#This Row],[Gas Export (MMscf/d)]]-Table252346789101110121312141215161517[[#This Row],[Odid Utilised gas (MMscf)]]</f>
        <v>13.819999999999997</v>
      </c>
      <c r="AB23" s="723">
        <f>Table252346789101110121312141215161517[[#This Row],[Batn Prod gas (MMscf)]]-Table252346789101110121312141215161517[[#This Row],[Batn Utilised gas (MMscf)]]</f>
        <v>0</v>
      </c>
      <c r="AC23" s="747">
        <f>Table252346789101110121312141215161517[[#This Row],[Egwa Prod gas (MMscf)]]</f>
        <v>2.15</v>
      </c>
      <c r="AD23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42.029999999999994</v>
      </c>
      <c r="AE23" s="723">
        <f>Table252346789101110121312141215161517[[#This Row],[Gas Export (MMscf/d)]]</f>
        <v>19.260000000000002</v>
      </c>
      <c r="AF23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23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21.929999999999996</v>
      </c>
      <c r="AH23" s="142"/>
      <c r="AI23" s="729"/>
      <c r="AJ23" s="763"/>
      <c r="AK23" s="762"/>
      <c r="AL23" s="762"/>
      <c r="AM23" s="762"/>
      <c r="AN23" s="762"/>
      <c r="AO23" s="762"/>
      <c r="AP23" s="762"/>
      <c r="AS23" s="454"/>
      <c r="AT23" s="454"/>
      <c r="AU23" s="454"/>
      <c r="AV23" s="454"/>
      <c r="AW23" s="454"/>
      <c r="AX23" s="454"/>
      <c r="AY23" s="454"/>
    </row>
    <row r="24" spans="2:51" ht="21.6">
      <c r="B24" s="716">
        <v>44459</v>
      </c>
      <c r="C24" s="749">
        <v>21.64</v>
      </c>
      <c r="D24" s="750">
        <v>15.132</v>
      </c>
      <c r="E24" s="751">
        <v>8.9</v>
      </c>
      <c r="F24" s="749">
        <v>3.77</v>
      </c>
      <c r="G24" s="749">
        <f>SUM(Table252346789101110121312141215161517[[#This Row],[Jones Creek Target (Mbopd)]:[Egwa Target (Mbopd)]])</f>
        <v>49.442</v>
      </c>
      <c r="H24" s="752">
        <v>21.715</v>
      </c>
      <c r="I24" s="752">
        <v>13.157</v>
      </c>
      <c r="J24" s="752">
        <v>0</v>
      </c>
      <c r="K24" s="752">
        <v>1.419</v>
      </c>
      <c r="L24" s="753">
        <f t="shared" si="2"/>
        <v>36.290999999999997</v>
      </c>
      <c r="M24" s="721">
        <v>18.501999999999999</v>
      </c>
      <c r="N24" s="765">
        <f>Table252346789101110121312141215161517[[#This Row],[Jones Creek Target (Mbopd)]]-Table252346789101110121312141215161517[[#This Row],[Jones Creek (Mbopd)]]</f>
        <v>-7.4999999999999289E-2</v>
      </c>
      <c r="O24" s="723">
        <f>Table252346789101110121312141215161517[[#This Row],[Odidi Target (Mbopd)]]-Table252346789101110121312141215161517[[#This Row],[Odidi (Mbopd)]]</f>
        <v>1.9749999999999996</v>
      </c>
      <c r="P24" s="721">
        <f>Table252346789101110121312141215161517[[#This Row],[Batan Target (Mbopd)]]-Table252346789101110121312141215161517[[#This Row],[Batan (Mbopd)]]</f>
        <v>8.9</v>
      </c>
      <c r="Q24" s="747">
        <f>Table252346789101110121312141215161517[[#This Row],[Egwa Target (Mbopd)]]-Table252346789101110121312141215161517[[#This Row],[Egwa (Mbopd)]]</f>
        <v>2.351</v>
      </c>
      <c r="R24" s="745">
        <v>6.867</v>
      </c>
      <c r="S24" s="723">
        <v>33.79</v>
      </c>
      <c r="T24" s="723">
        <v>0</v>
      </c>
      <c r="U24" s="747">
        <v>0.77</v>
      </c>
      <c r="V24" s="746">
        <v>0.84</v>
      </c>
      <c r="W24" s="723">
        <v>0</v>
      </c>
      <c r="X24" s="723">
        <v>0</v>
      </c>
      <c r="Y24" s="721">
        <v>0</v>
      </c>
      <c r="Z24" s="746">
        <f>Table252346789101110121312141215161517[[#This Row],[J/C Prod gas (MMscf)]]-Table252346789101110121312141215161517[[#This Row],[J/C Utilised gas (MMscf)]]</f>
        <v>6.0270000000000001</v>
      </c>
      <c r="AA24" s="723">
        <f>Table252346789101110121312141215161517[[#This Row],[Odid Prod gas (MMscf)]]-Table252346789101110121312141215161517[[#This Row],[Gas Export (MMscf/d)]]-Table252346789101110121312141215161517[[#This Row],[Odid Utilised gas (MMscf)]]</f>
        <v>15.288</v>
      </c>
      <c r="AB24" s="723">
        <f>Table252346789101110121312141215161517[[#This Row],[Batn Prod gas (MMscf)]]-Table252346789101110121312141215161517[[#This Row],[Batn Utilised gas (MMscf)]]</f>
        <v>0</v>
      </c>
      <c r="AC24" s="747">
        <f>Table252346789101110121312141215161517[[#This Row],[Egwa Prod gas (MMscf)]]</f>
        <v>0.77</v>
      </c>
      <c r="AD24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41.427</v>
      </c>
      <c r="AE24" s="723">
        <f>Table252346789101110121312141215161517[[#This Row],[Gas Export (MMscf/d)]]</f>
        <v>18.501999999999999</v>
      </c>
      <c r="AF24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24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22.085000000000001</v>
      </c>
      <c r="AH24" s="142"/>
      <c r="AI24" s="729"/>
      <c r="AJ24" s="763"/>
      <c r="AK24" s="762"/>
      <c r="AL24" s="762"/>
      <c r="AM24" s="762"/>
      <c r="AN24" s="762"/>
      <c r="AO24" s="762"/>
      <c r="AP24" s="762"/>
      <c r="AS24" s="454"/>
      <c r="AT24" s="454"/>
      <c r="AU24" s="454"/>
      <c r="AV24" s="454"/>
      <c r="AW24" s="454"/>
      <c r="AX24" s="454"/>
      <c r="AY24" s="454"/>
    </row>
    <row r="25" spans="2:51" ht="21.6">
      <c r="B25" s="716">
        <v>44460</v>
      </c>
      <c r="C25" s="749">
        <v>21.64</v>
      </c>
      <c r="D25" s="750">
        <v>15.132</v>
      </c>
      <c r="E25" s="751">
        <v>8.9</v>
      </c>
      <c r="F25" s="749">
        <v>3.77</v>
      </c>
      <c r="G25" s="749">
        <f>SUM(Table252346789101110121312141215161517[[#This Row],[Jones Creek Target (Mbopd)]:[Egwa Target (Mbopd)]])</f>
        <v>49.442</v>
      </c>
      <c r="H25" s="752">
        <v>21.026</v>
      </c>
      <c r="I25" s="752">
        <v>13.063000000000001</v>
      </c>
      <c r="J25" s="752">
        <v>0</v>
      </c>
      <c r="K25" s="752">
        <v>1.359</v>
      </c>
      <c r="L25" s="753">
        <f t="shared" si="2"/>
        <v>35.448</v>
      </c>
      <c r="M25" s="721">
        <v>18.696999999999999</v>
      </c>
      <c r="N25" s="765">
        <f>Table252346789101110121312141215161517[[#This Row],[Jones Creek Target (Mbopd)]]-Table252346789101110121312141215161517[[#This Row],[Jones Creek (Mbopd)]]</f>
        <v>0.61400000000000077</v>
      </c>
      <c r="O25" s="723">
        <f>Table252346789101110121312141215161517[[#This Row],[Odidi Target (Mbopd)]]-Table252346789101110121312141215161517[[#This Row],[Odidi (Mbopd)]]</f>
        <v>2.0689999999999991</v>
      </c>
      <c r="P25" s="721">
        <f>Table252346789101110121312141215161517[[#This Row],[Batan Target (Mbopd)]]-Table252346789101110121312141215161517[[#This Row],[Batan (Mbopd)]]</f>
        <v>8.9</v>
      </c>
      <c r="Q25" s="747">
        <f>Table252346789101110121312141215161517[[#This Row],[Egwa Target (Mbopd)]]-Table252346789101110121312141215161517[[#This Row],[Egwa (Mbopd)]]</f>
        <v>2.411</v>
      </c>
      <c r="R25" s="745">
        <v>6.79</v>
      </c>
      <c r="S25" s="723">
        <v>34.15</v>
      </c>
      <c r="T25" s="723">
        <v>0</v>
      </c>
      <c r="U25" s="747">
        <v>0.9</v>
      </c>
      <c r="V25" s="746">
        <v>0.84</v>
      </c>
      <c r="W25" s="723">
        <v>0</v>
      </c>
      <c r="X25" s="723">
        <v>0</v>
      </c>
      <c r="Y25" s="721">
        <v>0</v>
      </c>
      <c r="Z25" s="746">
        <f>Table252346789101110121312141215161517[[#This Row],[J/C Prod gas (MMscf)]]-Table252346789101110121312141215161517[[#This Row],[J/C Utilised gas (MMscf)]]</f>
        <v>5.95</v>
      </c>
      <c r="AA25" s="723">
        <f>Table252346789101110121312141215161517[[#This Row],[Odid Prod gas (MMscf)]]-Table252346789101110121312141215161517[[#This Row],[Gas Export (MMscf/d)]]-Table252346789101110121312141215161517[[#This Row],[Odid Utilised gas (MMscf)]]</f>
        <v>15.452999999999999</v>
      </c>
      <c r="AB25" s="723">
        <f>Table252346789101110121312141215161517[[#This Row],[Batn Prod gas (MMscf)]]-Table252346789101110121312141215161517[[#This Row],[Batn Utilised gas (MMscf)]]</f>
        <v>0</v>
      </c>
      <c r="AC25" s="747">
        <f>Table252346789101110121312141215161517[[#This Row],[Egwa Prod gas (MMscf)]]</f>
        <v>0.9</v>
      </c>
      <c r="AD25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41.839999999999996</v>
      </c>
      <c r="AE25" s="723">
        <f>Table252346789101110121312141215161517[[#This Row],[Gas Export (MMscf/d)]]</f>
        <v>18.696999999999999</v>
      </c>
      <c r="AF25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25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22.302999999999997</v>
      </c>
      <c r="AH25" s="142"/>
      <c r="AI25" s="729"/>
      <c r="AJ25" s="763"/>
      <c r="AK25" s="762"/>
      <c r="AL25" s="762"/>
      <c r="AM25" s="762"/>
      <c r="AN25" s="762"/>
      <c r="AO25" s="762"/>
      <c r="AP25" s="762"/>
      <c r="AS25" s="454"/>
      <c r="AT25" s="454"/>
      <c r="AU25" s="454"/>
      <c r="AV25" s="454"/>
      <c r="AW25" s="454"/>
      <c r="AX25" s="454"/>
      <c r="AY25" s="454"/>
    </row>
    <row r="26" spans="2:51" ht="21.6">
      <c r="B26" s="716">
        <v>44461</v>
      </c>
      <c r="C26" s="749">
        <v>21.64</v>
      </c>
      <c r="D26" s="750">
        <v>15.132</v>
      </c>
      <c r="E26" s="751">
        <v>8.9</v>
      </c>
      <c r="F26" s="749">
        <v>3.77</v>
      </c>
      <c r="G26" s="749">
        <f>SUM(Table252346789101110121312141215161517[[#This Row],[Jones Creek Target (Mbopd)]:[Egwa Target (Mbopd)]])</f>
        <v>49.442</v>
      </c>
      <c r="H26" s="752">
        <v>20.841000000000001</v>
      </c>
      <c r="I26" s="752">
        <v>13.172000000000001</v>
      </c>
      <c r="J26" s="752">
        <v>0</v>
      </c>
      <c r="K26" s="752">
        <v>1.4419999999999999</v>
      </c>
      <c r="L26" s="753">
        <f t="shared" si="2"/>
        <v>35.455000000000005</v>
      </c>
      <c r="M26" s="721">
        <v>19.832000000000001</v>
      </c>
      <c r="N26" s="765">
        <f>Table252346789101110121312141215161517[[#This Row],[Jones Creek Target (Mbopd)]]-Table252346789101110121312141215161517[[#This Row],[Jones Creek (Mbopd)]]</f>
        <v>0.79899999999999949</v>
      </c>
      <c r="O26" s="723">
        <f>Table252346789101110121312141215161517[[#This Row],[Odidi Target (Mbopd)]]-Table252346789101110121312141215161517[[#This Row],[Odidi (Mbopd)]]</f>
        <v>1.9599999999999991</v>
      </c>
      <c r="P26" s="721">
        <f>Table252346789101110121312141215161517[[#This Row],[Batan Target (Mbopd)]]-Table252346789101110121312141215161517[[#This Row],[Batan (Mbopd)]]</f>
        <v>8.9</v>
      </c>
      <c r="Q26" s="747">
        <f>Table252346789101110121312141215161517[[#This Row],[Egwa Target (Mbopd)]]-Table252346789101110121312141215161517[[#This Row],[Egwa (Mbopd)]]</f>
        <v>2.3280000000000003</v>
      </c>
      <c r="R26" s="745">
        <v>6.8970000000000002</v>
      </c>
      <c r="S26" s="723">
        <v>34.15</v>
      </c>
      <c r="T26" s="723">
        <v>0</v>
      </c>
      <c r="U26" s="747">
        <v>0.9</v>
      </c>
      <c r="V26" s="746">
        <v>0.84</v>
      </c>
      <c r="W26" s="723">
        <v>0</v>
      </c>
      <c r="X26" s="723">
        <v>0</v>
      </c>
      <c r="Y26" s="721">
        <v>0</v>
      </c>
      <c r="Z26" s="746">
        <f>Table252346789101110121312141215161517[[#This Row],[J/C Prod gas (MMscf)]]-Table252346789101110121312141215161517[[#This Row],[J/C Utilised gas (MMscf)]]</f>
        <v>6.0570000000000004</v>
      </c>
      <c r="AA26" s="723">
        <f>Table252346789101110121312141215161517[[#This Row],[Odid Prod gas (MMscf)]]-Table252346789101110121312141215161517[[#This Row],[Gas Export (MMscf/d)]]-Table252346789101110121312141215161517[[#This Row],[Odid Utilised gas (MMscf)]]</f>
        <v>14.317999999999998</v>
      </c>
      <c r="AB26" s="723">
        <f>Table252346789101110121312141215161517[[#This Row],[Batn Prod gas (MMscf)]]-Table252346789101110121312141215161517[[#This Row],[Batn Utilised gas (MMscf)]]</f>
        <v>0</v>
      </c>
      <c r="AC26" s="747">
        <f>Table252346789101110121312141215161517[[#This Row],[Egwa Prod gas (MMscf)]]</f>
        <v>0.9</v>
      </c>
      <c r="AD26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41.946999999999996</v>
      </c>
      <c r="AE26" s="723">
        <f>Table252346789101110121312141215161517[[#This Row],[Gas Export (MMscf/d)]]</f>
        <v>19.832000000000001</v>
      </c>
      <c r="AF26" s="723">
        <f>Table252346789101110121312141215161517[[#This Row],[J/C Utilised gas (MMscf)]]+Table252346789101110121312141215161517[[#This Row],[Odid Utilised gas (MMscf)]]+Table252346789101110121312141215161517[[#This Row],[Batn Utilised gas (MMscf)]]+Table252346789101110121312141215161517[[#This Row],[Egwa Utilised gas (MMscf)]]</f>
        <v>0.84</v>
      </c>
      <c r="AG26" s="747">
        <f>Table252346789101110121312141215161517[[#This Row],[Egwa Flared Gas (MMscf/d)]]+Table252346789101110121312141215161517[[#This Row],[ Batan Flared Gas (MMscf/d)]]+Table252346789101110121312141215161517[[#This Row],[ Odidi Flared Gas (MMscf/d)]]+Table252346789101110121312141215161517[[#This Row],[ J/C Flared Gas (MMscf/d)]]</f>
        <v>21.274999999999999</v>
      </c>
      <c r="AH26" s="142"/>
      <c r="AI26" s="729"/>
      <c r="AJ26" s="763"/>
      <c r="AK26" s="762"/>
      <c r="AL26" s="762"/>
      <c r="AM26" s="762"/>
      <c r="AN26" s="762"/>
      <c r="AO26" s="762"/>
      <c r="AP26" s="762"/>
      <c r="AS26" s="454"/>
      <c r="AT26" s="454"/>
      <c r="AU26" s="454"/>
      <c r="AV26" s="454"/>
      <c r="AW26" s="454"/>
      <c r="AX26" s="454"/>
      <c r="AY26" s="454"/>
    </row>
    <row r="27" spans="2:51" ht="21.6">
      <c r="B27" s="716">
        <v>44462</v>
      </c>
      <c r="C27" s="749">
        <v>21.64</v>
      </c>
      <c r="D27" s="750">
        <v>15.132</v>
      </c>
      <c r="E27" s="751">
        <v>8.9</v>
      </c>
      <c r="F27" s="749">
        <v>3.77</v>
      </c>
      <c r="G27" s="749">
        <f>SUM(Table252346789101110121312141215161517[[#This Row],[Jones Creek Target (Mbopd)]:[Egwa Target (Mbopd)]])</f>
        <v>49.442</v>
      </c>
      <c r="H27" s="752">
        <v>20.788</v>
      </c>
      <c r="I27" s="752">
        <v>13.24</v>
      </c>
      <c r="J27" s="752">
        <v>0</v>
      </c>
      <c r="K27" s="752">
        <v>2.48</v>
      </c>
      <c r="L27" s="753">
        <f t="shared" si="2"/>
        <v>36.507999999999996</v>
      </c>
      <c r="M27" s="721">
        <v>19.975000000000001</v>
      </c>
      <c r="N27" s="765">
        <f>Table252346789101110121312141215161517[[#This Row],[Jones Creek Target (Mbopd)]]-Table252346789101110121312141215161517[[#This Row],[Jones Creek (Mbopd)]]</f>
        <v>0.85200000000000031</v>
      </c>
      <c r="O27" s="723">
        <f>Table252346789101110121312141215161517[[#This Row],[Odidi Target (Mbopd)]]-Table252346789101110121312141215161517[[#This Row],[Odidi (Mbopd)]]</f>
        <v>1.8919999999999995</v>
      </c>
      <c r="P27" s="721">
        <f>Table252346789101110121312141215161517[[#This Row],[Batan Target (Mbopd)]]-Table252346789101110121312141215161517[[#This Row],[Batan (Mbopd)]]</f>
        <v>8.9</v>
      </c>
      <c r="Q27" s="747">
        <f>Table252346789101110121312141215161517[[#This Row],[Egwa Target (Mbopd)]]-Table252346789101110121312141215161517[[#This Row],[Egwa (Mbopd)]]</f>
        <v>1.29</v>
      </c>
      <c r="R27" s="745">
        <v>6.3</v>
      </c>
      <c r="S27" s="723">
        <v>34.15</v>
      </c>
      <c r="T27" s="723">
        <v>0</v>
      </c>
      <c r="U27" s="747">
        <v>1.53</v>
      </c>
      <c r="V27" s="746">
        <v>0.84</v>
      </c>
      <c r="W27" s="723">
        <v>0</v>
      </c>
      <c r="X27" s="723">
        <v>0</v>
      </c>
      <c r="Y27" s="721">
        <v>0</v>
      </c>
      <c r="Z27" s="746">
        <f>Table252346789101110121312141215161517[[#This Row],[J/C Prod gas (MMscf)]]-Table252346789101110121312141215161517[[#This Row],[J/C Utilised gas (MMscf)]]</f>
        <v>5.46</v>
      </c>
      <c r="AA27" s="723">
        <f>Table252346789101110121312141215161517[[#This Row],[Odid Prod gas (MMscf)]]-Table252346789101110121312141215161517[[#This Row],[Gas Export (MMscf/d)]]-Table252346789101110121312141215161517[[#This Row],[Odid Utilised gas (MMscf)]]</f>
        <v>14.174999999999997</v>
      </c>
      <c r="AB27" s="723">
        <f>Table252346789101110121312141215161517[[#This Row],[Batn Prod gas (MMscf)]]-Table252346789101110121312141215161517[[#This Row],[Batn Utilised gas (MMscf)]]</f>
        <v>0</v>
      </c>
      <c r="AC27" s="747">
        <f>Table252346789101110121312141215161517[[#This Row],[Egwa Prod gas (MMscf)]]</f>
        <v>1.53</v>
      </c>
      <c r="AD27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41.98</v>
      </c>
      <c r="AE27" s="723">
        <f>Table252346789101110121312141215161517[[#This Row],[Gas Export (MMscf/d)]]</f>
        <v>19.975000000000001</v>
      </c>
      <c r="AF27" s="723"/>
      <c r="AG27" s="747"/>
      <c r="AH27" s="142"/>
      <c r="AI27" s="729"/>
      <c r="AJ27" s="763"/>
      <c r="AK27" s="762"/>
      <c r="AL27" s="762"/>
      <c r="AM27" s="762"/>
      <c r="AN27" s="762"/>
      <c r="AO27" s="762"/>
      <c r="AP27" s="762"/>
      <c r="AS27" s="454"/>
      <c r="AT27" s="454"/>
      <c r="AU27" s="454"/>
      <c r="AV27" s="454"/>
      <c r="AW27" s="454"/>
      <c r="AX27" s="454"/>
      <c r="AY27" s="454"/>
    </row>
    <row r="28" spans="2:51" ht="21.6">
      <c r="B28" s="716">
        <v>44463</v>
      </c>
      <c r="C28" s="749">
        <v>21.64</v>
      </c>
      <c r="D28" s="750">
        <v>15.132</v>
      </c>
      <c r="E28" s="751">
        <v>8.9</v>
      </c>
      <c r="F28" s="749">
        <v>3.77</v>
      </c>
      <c r="G28" s="749">
        <f>SUM(Table252346789101110121312141215161517[[#This Row],[Jones Creek Target (Mbopd)]:[Egwa Target (Mbopd)]])</f>
        <v>49.442</v>
      </c>
      <c r="H28" s="752">
        <v>20.88</v>
      </c>
      <c r="I28" s="752">
        <v>13.246</v>
      </c>
      <c r="J28" s="752">
        <v>0</v>
      </c>
      <c r="K28" s="752">
        <v>2.4</v>
      </c>
      <c r="L28" s="753">
        <f t="shared" si="2"/>
        <v>36.525999999999996</v>
      </c>
      <c r="M28" s="721">
        <v>19.658999999999999</v>
      </c>
      <c r="N28" s="765">
        <f>Table252346789101110121312141215161517[[#This Row],[Jones Creek Target (Mbopd)]]-Table252346789101110121312141215161517[[#This Row],[Jones Creek (Mbopd)]]</f>
        <v>0.76000000000000156</v>
      </c>
      <c r="O28" s="723">
        <f>Table252346789101110121312141215161517[[#This Row],[Odidi Target (Mbopd)]]-Table252346789101110121312141215161517[[#This Row],[Odidi (Mbopd)]]</f>
        <v>1.8859999999999992</v>
      </c>
      <c r="P28" s="721">
        <f>Table252346789101110121312141215161517[[#This Row],[Batan Target (Mbopd)]]-Table252346789101110121312141215161517[[#This Row],[Batan (Mbopd)]]</f>
        <v>8.9</v>
      </c>
      <c r="Q28" s="747">
        <f>Table252346789101110121312141215161517[[#This Row],[Egwa Target (Mbopd)]]-Table252346789101110121312141215161517[[#This Row],[Egwa (Mbopd)]]</f>
        <v>1.37</v>
      </c>
      <c r="R28" s="745">
        <v>6.2218</v>
      </c>
      <c r="S28" s="723">
        <v>34.15</v>
      </c>
      <c r="T28" s="723">
        <v>0</v>
      </c>
      <c r="U28" s="747">
        <v>1.1100000000000001</v>
      </c>
      <c r="V28" s="746">
        <v>0.84</v>
      </c>
      <c r="W28" s="723">
        <v>0</v>
      </c>
      <c r="X28" s="723">
        <v>0</v>
      </c>
      <c r="Y28" s="721">
        <v>0</v>
      </c>
      <c r="Z28" s="746">
        <f>Table252346789101110121312141215161517[[#This Row],[J/C Prod gas (MMscf)]]-Table252346789101110121312141215161517[[#This Row],[J/C Utilised gas (MMscf)]]</f>
        <v>5.3818000000000001</v>
      </c>
      <c r="AA28" s="723">
        <f>Table252346789101110121312141215161517[[#This Row],[Odid Prod gas (MMscf)]]-Table252346789101110121312141215161517[[#This Row],[Gas Export (MMscf/d)]]-Table252346789101110121312141215161517[[#This Row],[Odid Utilised gas (MMscf)]]</f>
        <v>14.491</v>
      </c>
      <c r="AB28" s="723">
        <f>Table252346789101110121312141215161517[[#This Row],[Batn Prod gas (MMscf)]]-Table252346789101110121312141215161517[[#This Row],[Batn Utilised gas (MMscf)]]</f>
        <v>0</v>
      </c>
      <c r="AC28" s="747">
        <f>Table252346789101110121312141215161517[[#This Row],[Egwa Prod gas (MMscf)]]</f>
        <v>1.1100000000000001</v>
      </c>
      <c r="AD28" s="745">
        <f>Table252346789101110121312141215161517[[#This Row],[J/C Prod gas (MMscf)]]+Table252346789101110121312141215161517[[#This Row],[Odid Prod gas (MMscf)]]+Table252346789101110121312141215161517[[#This Row],[Batn Prod gas (MMscf)]]+Table252346789101110121312141215161517[[#This Row],[Egwa Prod gas (MMscf)]]</f>
        <v>41.4818</v>
      </c>
      <c r="AE28" s="723">
        <f>Table252346789101110121312141215161517[[#This Row],[Gas Export (MMscf/d)]]</f>
        <v>19.658999999999999</v>
      </c>
      <c r="AF28" s="723"/>
      <c r="AG28" s="747"/>
      <c r="AH28" s="142"/>
      <c r="AI28" s="729"/>
      <c r="AJ28" s="763"/>
      <c r="AK28" s="762"/>
      <c r="AL28" s="762"/>
      <c r="AM28" s="762"/>
      <c r="AN28" s="762"/>
      <c r="AO28" s="762"/>
      <c r="AP28" s="762"/>
      <c r="AS28" s="454"/>
      <c r="AT28" s="454"/>
      <c r="AU28" s="454"/>
      <c r="AV28" s="454"/>
      <c r="AW28" s="454"/>
      <c r="AX28" s="454"/>
      <c r="AY28" s="454"/>
    </row>
    <row r="29" spans="2:51" ht="21.6">
      <c r="B29" s="716">
        <v>44464</v>
      </c>
      <c r="C29" s="749">
        <v>21.64</v>
      </c>
      <c r="D29" s="750">
        <v>15.132</v>
      </c>
      <c r="E29" s="751">
        <v>8.9</v>
      </c>
      <c r="F29" s="749">
        <v>3.77</v>
      </c>
      <c r="G29" s="749">
        <f>SUM(Table252346789101110121312141215161517[[#This Row],[Jones Creek Target (Mbopd)]:[Egwa Target (Mbopd)]])</f>
        <v>49.442</v>
      </c>
      <c r="H29" s="752">
        <v>11.823</v>
      </c>
      <c r="I29" s="752">
        <v>7.6180000000000003</v>
      </c>
      <c r="J29" s="752">
        <v>0</v>
      </c>
      <c r="K29" s="752">
        <v>5.6000000000000001E-2</v>
      </c>
      <c r="L29" s="753">
        <f t="shared" si="2"/>
        <v>19.497000000000003</v>
      </c>
      <c r="M29" s="721">
        <v>8.39</v>
      </c>
      <c r="N29" s="765">
        <f>Table252346789101110121312141215161517[[#This Row],[Jones Creek Target (Mbopd)]]-Table252346789101110121312141215161517[[#This Row],[Jones Creek (Mbopd)]]</f>
        <v>9.8170000000000002</v>
      </c>
      <c r="O29" s="723">
        <f>Table252346789101110121312141215161517[[#This Row],[Odidi Target (Mbopd)]]-Table252346789101110121312141215161517[[#This Row],[Odidi (Mbopd)]]</f>
        <v>7.5139999999999993</v>
      </c>
      <c r="P29" s="721">
        <f>Table252346789101110121312141215161517[[#This Row],[Batan Target (Mbopd)]]-Table252346789101110121312141215161517[[#This Row],[Batan (Mbopd)]]</f>
        <v>8.9</v>
      </c>
      <c r="Q29" s="747">
        <f>Table252346789101110121312141215161517[[#This Row],[Egwa Target (Mbopd)]]-Table252346789101110121312141215161517[[#This Row],[Egwa (Mbopd)]]</f>
        <v>3.714</v>
      </c>
      <c r="R29" s="745"/>
      <c r="S29" s="723"/>
      <c r="T29" s="723"/>
      <c r="U29" s="747"/>
      <c r="V29" s="746"/>
      <c r="W29" s="723"/>
      <c r="X29" s="723"/>
      <c r="Y29" s="721"/>
      <c r="Z29" s="746"/>
      <c r="AA29" s="723"/>
      <c r="AB29" s="723"/>
      <c r="AC29" s="747"/>
      <c r="AD29" s="745"/>
      <c r="AE29" s="723"/>
      <c r="AF29" s="723"/>
      <c r="AG29" s="747"/>
      <c r="AH29" s="142"/>
      <c r="AI29" s="729"/>
      <c r="AJ29" s="763"/>
      <c r="AK29" s="762"/>
      <c r="AL29" s="762"/>
      <c r="AM29" s="762"/>
      <c r="AN29" s="762"/>
      <c r="AO29" s="762"/>
      <c r="AP29" s="762"/>
      <c r="AS29" s="454"/>
      <c r="AT29" s="454"/>
      <c r="AU29" s="454"/>
      <c r="AV29" s="454"/>
      <c r="AW29" s="454"/>
      <c r="AX29" s="454"/>
      <c r="AY29" s="454"/>
    </row>
    <row r="30" spans="2:51" ht="21.6">
      <c r="B30" s="716">
        <v>44465</v>
      </c>
      <c r="C30" s="749">
        <v>21.64</v>
      </c>
      <c r="D30" s="750">
        <v>15.132</v>
      </c>
      <c r="E30" s="751">
        <v>8.9</v>
      </c>
      <c r="F30" s="749">
        <v>3.77</v>
      </c>
      <c r="G30" s="749">
        <f>SUM(Table252346789101110121312141215161517[[#This Row],[Jones Creek Target (Mbopd)]:[Egwa Target (Mbopd)]])</f>
        <v>49.442</v>
      </c>
      <c r="H30" s="752">
        <v>0</v>
      </c>
      <c r="I30" s="752">
        <v>0</v>
      </c>
      <c r="J30" s="752">
        <v>0</v>
      </c>
      <c r="K30" s="752">
        <v>0</v>
      </c>
      <c r="L30" s="753">
        <f t="shared" si="2"/>
        <v>0</v>
      </c>
      <c r="M30" s="721">
        <v>0</v>
      </c>
      <c r="N30" s="765">
        <f>Table252346789101110121312141215161517[[#This Row],[Jones Creek Target (Mbopd)]]-Table252346789101110121312141215161517[[#This Row],[Jones Creek (Mbopd)]]</f>
        <v>21.64</v>
      </c>
      <c r="O30" s="723">
        <f>Table252346789101110121312141215161517[[#This Row],[Odidi Target (Mbopd)]]-Table252346789101110121312141215161517[[#This Row],[Odidi (Mbopd)]]</f>
        <v>15.132</v>
      </c>
      <c r="P30" s="721">
        <f>Table252346789101110121312141215161517[[#This Row],[Batan Target (Mbopd)]]-Table252346789101110121312141215161517[[#This Row],[Batan (Mbopd)]]</f>
        <v>8.9</v>
      </c>
      <c r="Q30" s="747">
        <f>Table252346789101110121312141215161517[[#This Row],[Egwa Target (Mbopd)]]-Table252346789101110121312141215161517[[#This Row],[Egwa (Mbopd)]]</f>
        <v>3.77</v>
      </c>
      <c r="R30" s="745"/>
      <c r="S30" s="723"/>
      <c r="T30" s="723"/>
      <c r="U30" s="747"/>
      <c r="V30" s="746"/>
      <c r="W30" s="723"/>
      <c r="X30" s="723"/>
      <c r="Y30" s="721"/>
      <c r="Z30" s="746"/>
      <c r="AA30" s="723"/>
      <c r="AB30" s="723"/>
      <c r="AC30" s="747"/>
      <c r="AD30" s="745"/>
      <c r="AE30" s="723"/>
      <c r="AF30" s="723"/>
      <c r="AG30" s="747"/>
      <c r="AH30" s="142"/>
      <c r="AI30" s="729"/>
      <c r="AJ30" s="763"/>
      <c r="AK30" s="762"/>
      <c r="AL30" s="762"/>
      <c r="AM30" s="762"/>
      <c r="AN30" s="762"/>
      <c r="AO30" s="762"/>
      <c r="AP30" s="762"/>
      <c r="AS30" s="454"/>
      <c r="AT30" s="454"/>
      <c r="AU30" s="454"/>
      <c r="AV30" s="454"/>
      <c r="AW30" s="454"/>
      <c r="AX30" s="454"/>
      <c r="AY30" s="454"/>
    </row>
    <row r="31" spans="2:51" ht="21.6">
      <c r="B31" s="716">
        <v>44466</v>
      </c>
      <c r="C31" s="749">
        <v>21.64</v>
      </c>
      <c r="D31" s="750">
        <v>15.132</v>
      </c>
      <c r="E31" s="751">
        <v>8.9</v>
      </c>
      <c r="F31" s="749">
        <v>3.77</v>
      </c>
      <c r="G31" s="749">
        <f>SUM(Table252346789101110121312141215161517[[#This Row],[Jones Creek Target (Mbopd)]:[Egwa Target (Mbopd)]])</f>
        <v>49.442</v>
      </c>
      <c r="H31" s="752">
        <v>0</v>
      </c>
      <c r="I31" s="752">
        <v>0</v>
      </c>
      <c r="J31" s="752">
        <v>0</v>
      </c>
      <c r="K31" s="752">
        <v>0</v>
      </c>
      <c r="L31" s="753">
        <f t="shared" ref="L31:L41" si="3">H31+I31+J31+K31</f>
        <v>0</v>
      </c>
      <c r="M31" s="721">
        <v>0</v>
      </c>
      <c r="N31" s="765">
        <f>Table252346789101110121312141215161517[[#This Row],[Jones Creek Target (Mbopd)]]-Table252346789101110121312141215161517[[#This Row],[Jones Creek (Mbopd)]]</f>
        <v>21.64</v>
      </c>
      <c r="O31" s="723">
        <f>Table252346789101110121312141215161517[[#This Row],[Odidi Target (Mbopd)]]-Table252346789101110121312141215161517[[#This Row],[Odidi (Mbopd)]]</f>
        <v>15.132</v>
      </c>
      <c r="P31" s="721">
        <f>Table252346789101110121312141215161517[[#This Row],[Batan Target (Mbopd)]]-Table252346789101110121312141215161517[[#This Row],[Batan (Mbopd)]]</f>
        <v>8.9</v>
      </c>
      <c r="Q31" s="747">
        <f>Table252346789101110121312141215161517[[#This Row],[Egwa Target (Mbopd)]]-Table252346789101110121312141215161517[[#This Row],[Egwa (Mbopd)]]</f>
        <v>3.77</v>
      </c>
      <c r="R31" s="745"/>
      <c r="S31" s="723"/>
      <c r="T31" s="723"/>
      <c r="U31" s="747"/>
      <c r="V31" s="746"/>
      <c r="W31" s="723"/>
      <c r="X31" s="723"/>
      <c r="Y31" s="721"/>
      <c r="Z31" s="746"/>
      <c r="AA31" s="723"/>
      <c r="AB31" s="723"/>
      <c r="AC31" s="747"/>
      <c r="AD31" s="745"/>
      <c r="AE31" s="723"/>
      <c r="AF31" s="723"/>
      <c r="AG31" s="747"/>
      <c r="AH31" s="142"/>
      <c r="AI31" s="729"/>
      <c r="AJ31" s="763"/>
      <c r="AK31" s="762"/>
      <c r="AL31" s="762"/>
      <c r="AM31" s="762"/>
      <c r="AN31" s="762"/>
      <c r="AO31" s="762"/>
      <c r="AP31" s="762"/>
      <c r="AS31" s="454"/>
      <c r="AT31" s="454"/>
      <c r="AU31" s="454"/>
      <c r="AV31" s="454"/>
      <c r="AW31" s="454"/>
      <c r="AX31" s="454"/>
      <c r="AY31" s="454"/>
    </row>
    <row r="32" spans="2:51" ht="21.6">
      <c r="B32" s="716">
        <v>44467</v>
      </c>
      <c r="C32" s="749">
        <v>21.64</v>
      </c>
      <c r="D32" s="750">
        <v>15.132</v>
      </c>
      <c r="E32" s="751">
        <v>8.9</v>
      </c>
      <c r="F32" s="749">
        <v>3.77</v>
      </c>
      <c r="G32" s="749">
        <f>SUM(Table252346789101110121312141215161517[[#This Row],[Jones Creek Target (Mbopd)]:[Egwa Target (Mbopd)]])</f>
        <v>49.442</v>
      </c>
      <c r="H32" s="752">
        <v>0</v>
      </c>
      <c r="I32" s="752">
        <v>0</v>
      </c>
      <c r="J32" s="752">
        <v>0</v>
      </c>
      <c r="K32" s="752">
        <v>0</v>
      </c>
      <c r="L32" s="753">
        <f t="shared" si="3"/>
        <v>0</v>
      </c>
      <c r="M32" s="721">
        <v>0</v>
      </c>
      <c r="N32" s="765">
        <f>Table252346789101110121312141215161517[[#This Row],[Jones Creek Target (Mbopd)]]-Table252346789101110121312141215161517[[#This Row],[Jones Creek (Mbopd)]]</f>
        <v>21.64</v>
      </c>
      <c r="O32" s="723">
        <f>Table252346789101110121312141215161517[[#This Row],[Odidi Target (Mbopd)]]-Table252346789101110121312141215161517[[#This Row],[Odidi (Mbopd)]]</f>
        <v>15.132</v>
      </c>
      <c r="P32" s="721">
        <f>Table252346789101110121312141215161517[[#This Row],[Batan Target (Mbopd)]]-Table252346789101110121312141215161517[[#This Row],[Batan (Mbopd)]]</f>
        <v>8.9</v>
      </c>
      <c r="Q32" s="747">
        <f>Table252346789101110121312141215161517[[#This Row],[Egwa Target (Mbopd)]]-Table252346789101110121312141215161517[[#This Row],[Egwa (Mbopd)]]</f>
        <v>3.77</v>
      </c>
      <c r="R32" s="745"/>
      <c r="S32" s="723"/>
      <c r="T32" s="723"/>
      <c r="U32" s="747"/>
      <c r="V32" s="746"/>
      <c r="W32" s="723"/>
      <c r="X32" s="723"/>
      <c r="Y32" s="721"/>
      <c r="Z32" s="746"/>
      <c r="AA32" s="723"/>
      <c r="AB32" s="723"/>
      <c r="AC32" s="747"/>
      <c r="AD32" s="745"/>
      <c r="AE32" s="723"/>
      <c r="AF32" s="723"/>
      <c r="AG32" s="747"/>
      <c r="AH32" s="142"/>
      <c r="AI32" s="729"/>
      <c r="AJ32" s="763"/>
      <c r="AK32" s="762"/>
      <c r="AL32" s="762"/>
      <c r="AM32" s="762"/>
      <c r="AN32" s="762"/>
      <c r="AO32" s="762"/>
      <c r="AP32" s="762"/>
      <c r="AS32" s="454"/>
      <c r="AT32" s="454"/>
      <c r="AU32" s="454"/>
      <c r="AV32" s="454"/>
      <c r="AW32" s="454"/>
      <c r="AX32" s="454"/>
      <c r="AY32" s="454"/>
    </row>
    <row r="33" spans="2:51" ht="21.6">
      <c r="B33" s="716">
        <v>44468</v>
      </c>
      <c r="C33" s="749">
        <v>21.64</v>
      </c>
      <c r="D33" s="750">
        <v>15.132</v>
      </c>
      <c r="E33" s="751">
        <v>8.9</v>
      </c>
      <c r="F33" s="749">
        <v>3.77</v>
      </c>
      <c r="G33" s="749">
        <f>SUM(Table252346789101110121312141215161517[[#This Row],[Jones Creek Target (Mbopd)]:[Egwa Target (Mbopd)]])</f>
        <v>49.442</v>
      </c>
      <c r="H33" s="752">
        <v>0</v>
      </c>
      <c r="I33" s="752">
        <v>0</v>
      </c>
      <c r="J33" s="752">
        <v>0</v>
      </c>
      <c r="K33" s="752">
        <v>0</v>
      </c>
      <c r="L33" s="753">
        <f t="shared" si="3"/>
        <v>0</v>
      </c>
      <c r="M33" s="721">
        <v>0</v>
      </c>
      <c r="N33" s="765">
        <f>Table252346789101110121312141215161517[[#This Row],[Jones Creek Target (Mbopd)]]-Table252346789101110121312141215161517[[#This Row],[Jones Creek (Mbopd)]]</f>
        <v>21.64</v>
      </c>
      <c r="O33" s="723">
        <f>Table252346789101110121312141215161517[[#This Row],[Odidi Target (Mbopd)]]-Table252346789101110121312141215161517[[#This Row],[Odidi (Mbopd)]]</f>
        <v>15.132</v>
      </c>
      <c r="P33" s="721">
        <f>Table252346789101110121312141215161517[[#This Row],[Batan Target (Mbopd)]]-Table252346789101110121312141215161517[[#This Row],[Batan (Mbopd)]]</f>
        <v>8.9</v>
      </c>
      <c r="Q33" s="747">
        <f>Table252346789101110121312141215161517[[#This Row],[Egwa Target (Mbopd)]]-Table252346789101110121312141215161517[[#This Row],[Egwa (Mbopd)]]</f>
        <v>3.77</v>
      </c>
      <c r="R33" s="745"/>
      <c r="S33" s="723"/>
      <c r="T33" s="723"/>
      <c r="U33" s="747"/>
      <c r="V33" s="746"/>
      <c r="W33" s="723"/>
      <c r="X33" s="723"/>
      <c r="Y33" s="721"/>
      <c r="Z33" s="746"/>
      <c r="AA33" s="723"/>
      <c r="AB33" s="723"/>
      <c r="AC33" s="747"/>
      <c r="AD33" s="745"/>
      <c r="AE33" s="723"/>
      <c r="AF33" s="723"/>
      <c r="AG33" s="747"/>
      <c r="AH33" s="142"/>
      <c r="AI33" s="729"/>
      <c r="AJ33" s="763"/>
      <c r="AK33" s="762"/>
      <c r="AL33" s="762"/>
      <c r="AM33" s="762"/>
      <c r="AN33" s="762"/>
      <c r="AO33" s="762"/>
      <c r="AP33" s="762"/>
      <c r="AS33" s="454"/>
      <c r="AT33" s="454"/>
      <c r="AU33" s="454"/>
      <c r="AV33" s="454"/>
      <c r="AW33" s="454"/>
      <c r="AX33" s="454"/>
      <c r="AY33" s="454"/>
    </row>
    <row r="34" spans="2:51" ht="21.6">
      <c r="B34" s="716">
        <v>44469</v>
      </c>
      <c r="C34" s="749">
        <v>21.64</v>
      </c>
      <c r="D34" s="750">
        <v>15.132</v>
      </c>
      <c r="E34" s="751">
        <v>8.9</v>
      </c>
      <c r="F34" s="749">
        <v>3.77</v>
      </c>
      <c r="G34" s="749">
        <f>SUM(Table252346789101110121312141215161517[[#This Row],[Jones Creek Target (Mbopd)]:[Egwa Target (Mbopd)]])</f>
        <v>49.442</v>
      </c>
      <c r="H34" s="752">
        <v>0</v>
      </c>
      <c r="I34" s="752">
        <v>0</v>
      </c>
      <c r="J34" s="752">
        <v>0.98599999999999999</v>
      </c>
      <c r="K34" s="752">
        <v>0</v>
      </c>
      <c r="L34" s="753">
        <f t="shared" si="3"/>
        <v>0.98599999999999999</v>
      </c>
      <c r="M34" s="721">
        <v>0</v>
      </c>
      <c r="N34" s="765">
        <f>Table252346789101110121312141215161517[[#This Row],[Jones Creek Target (Mbopd)]]-Table252346789101110121312141215161517[[#This Row],[Jones Creek (Mbopd)]]</f>
        <v>21.64</v>
      </c>
      <c r="O34" s="723">
        <f>Table252346789101110121312141215161517[[#This Row],[Odidi Target (Mbopd)]]-Table252346789101110121312141215161517[[#This Row],[Odidi (Mbopd)]]</f>
        <v>15.132</v>
      </c>
      <c r="P34" s="721">
        <f>Table252346789101110121312141215161517[[#This Row],[Batan Target (Mbopd)]]-Table252346789101110121312141215161517[[#This Row],[Batan (Mbopd)]]</f>
        <v>7.9140000000000006</v>
      </c>
      <c r="Q34" s="747">
        <f>Table252346789101110121312141215161517[[#This Row],[Egwa Target (Mbopd)]]-Table252346789101110121312141215161517[[#This Row],[Egwa (Mbopd)]]</f>
        <v>3.77</v>
      </c>
      <c r="R34" s="745"/>
      <c r="S34" s="723"/>
      <c r="T34" s="723"/>
      <c r="U34" s="747"/>
      <c r="V34" s="746"/>
      <c r="W34" s="723"/>
      <c r="X34" s="723"/>
      <c r="Y34" s="721"/>
      <c r="Z34" s="746"/>
      <c r="AA34" s="723"/>
      <c r="AB34" s="723"/>
      <c r="AC34" s="747"/>
      <c r="AD34" s="745"/>
      <c r="AE34" s="723"/>
      <c r="AF34" s="723"/>
      <c r="AG34" s="747"/>
      <c r="AH34" s="142"/>
      <c r="AI34" s="729"/>
      <c r="AJ34" s="763"/>
      <c r="AK34" s="762"/>
      <c r="AL34" s="762"/>
      <c r="AM34" s="762"/>
      <c r="AN34" s="762"/>
      <c r="AO34" s="762"/>
      <c r="AP34" s="762"/>
      <c r="AS34" s="454"/>
      <c r="AT34" s="454"/>
      <c r="AU34" s="454"/>
      <c r="AV34" s="454"/>
      <c r="AW34" s="454"/>
      <c r="AX34" s="454"/>
      <c r="AY34" s="454"/>
    </row>
    <row r="35" spans="2:51" ht="21.6">
      <c r="B35" s="716">
        <v>44470</v>
      </c>
      <c r="C35" s="749">
        <v>21.64</v>
      </c>
      <c r="D35" s="750">
        <v>15.132</v>
      </c>
      <c r="E35" s="751">
        <v>8.9</v>
      </c>
      <c r="F35" s="749">
        <v>3.77</v>
      </c>
      <c r="G35" s="749">
        <f>SUM(Table252346789101110121312141215161517[[#This Row],[Jones Creek Target (Mbopd)]:[Egwa Target (Mbopd)]])</f>
        <v>49.442</v>
      </c>
      <c r="H35" s="752">
        <v>0</v>
      </c>
      <c r="I35" s="752">
        <v>0</v>
      </c>
      <c r="J35" s="752">
        <v>3.6829999999999998</v>
      </c>
      <c r="K35" s="752">
        <v>0</v>
      </c>
      <c r="L35" s="753">
        <f t="shared" si="3"/>
        <v>3.6829999999999998</v>
      </c>
      <c r="M35" s="721">
        <v>0</v>
      </c>
      <c r="N35" s="765">
        <f>Table252346789101110121312141215161517[[#This Row],[Jones Creek Target (Mbopd)]]-Table252346789101110121312141215161517[[#This Row],[Jones Creek (Mbopd)]]</f>
        <v>21.64</v>
      </c>
      <c r="O35" s="723">
        <f>Table252346789101110121312141215161517[[#This Row],[Odidi Target (Mbopd)]]-Table252346789101110121312141215161517[[#This Row],[Odidi (Mbopd)]]</f>
        <v>15.132</v>
      </c>
      <c r="P35" s="721">
        <f>Table252346789101110121312141215161517[[#This Row],[Batan Target (Mbopd)]]-Table252346789101110121312141215161517[[#This Row],[Batan (Mbopd)]]</f>
        <v>5.2170000000000005</v>
      </c>
      <c r="Q35" s="747">
        <f>Table252346789101110121312141215161517[[#This Row],[Egwa Target (Mbopd)]]-Table252346789101110121312141215161517[[#This Row],[Egwa (Mbopd)]]</f>
        <v>3.77</v>
      </c>
      <c r="R35" s="745"/>
      <c r="S35" s="723"/>
      <c r="T35" s="723"/>
      <c r="U35" s="747"/>
      <c r="V35" s="746"/>
      <c r="W35" s="723"/>
      <c r="X35" s="723"/>
      <c r="Y35" s="721"/>
      <c r="Z35" s="746"/>
      <c r="AA35" s="723"/>
      <c r="AB35" s="723"/>
      <c r="AC35" s="747"/>
      <c r="AD35" s="745"/>
      <c r="AE35" s="723"/>
      <c r="AF35" s="723"/>
      <c r="AG35" s="747"/>
      <c r="AH35" s="142"/>
      <c r="AI35" s="729"/>
      <c r="AJ35" s="763"/>
      <c r="AK35" s="762"/>
      <c r="AL35" s="762"/>
      <c r="AM35" s="762"/>
      <c r="AN35" s="762"/>
      <c r="AO35" s="762"/>
      <c r="AP35" s="762"/>
      <c r="AS35" s="454"/>
      <c r="AT35" s="454"/>
      <c r="AU35" s="454"/>
      <c r="AV35" s="454"/>
      <c r="AW35" s="454"/>
      <c r="AX35" s="454"/>
      <c r="AY35" s="454"/>
    </row>
    <row r="36" spans="2:51" ht="21.6">
      <c r="B36" s="716">
        <v>44471</v>
      </c>
      <c r="C36" s="749">
        <v>21.64</v>
      </c>
      <c r="D36" s="750">
        <v>15.132</v>
      </c>
      <c r="E36" s="751">
        <v>8.9</v>
      </c>
      <c r="F36" s="749">
        <v>3.77</v>
      </c>
      <c r="G36" s="749">
        <f>SUM(Table252346789101110121312141215161517[[#This Row],[Jones Creek Target (Mbopd)]:[Egwa Target (Mbopd)]])</f>
        <v>49.442</v>
      </c>
      <c r="H36" s="752">
        <v>0</v>
      </c>
      <c r="I36" s="752">
        <v>0</v>
      </c>
      <c r="J36" s="752">
        <v>2.9550000000000001</v>
      </c>
      <c r="K36" s="752">
        <v>0</v>
      </c>
      <c r="L36" s="753">
        <f t="shared" si="3"/>
        <v>2.9550000000000001</v>
      </c>
      <c r="M36" s="721">
        <v>0</v>
      </c>
      <c r="N36" s="765">
        <f>Table252346789101110121312141215161517[[#This Row],[Jones Creek Target (Mbopd)]]-Table252346789101110121312141215161517[[#This Row],[Jones Creek (Mbopd)]]</f>
        <v>21.64</v>
      </c>
      <c r="O36" s="723">
        <f>Table252346789101110121312141215161517[[#This Row],[Odidi Target (Mbopd)]]-Table252346789101110121312141215161517[[#This Row],[Odidi (Mbopd)]]</f>
        <v>15.132</v>
      </c>
      <c r="P36" s="721">
        <f>Table252346789101110121312141215161517[[#This Row],[Batan Target (Mbopd)]]-Table252346789101110121312141215161517[[#This Row],[Batan (Mbopd)]]</f>
        <v>5.9450000000000003</v>
      </c>
      <c r="Q36" s="747">
        <f>Table252346789101110121312141215161517[[#This Row],[Egwa Target (Mbopd)]]-Table252346789101110121312141215161517[[#This Row],[Egwa (Mbopd)]]</f>
        <v>3.77</v>
      </c>
      <c r="R36" s="745"/>
      <c r="S36" s="723"/>
      <c r="T36" s="723"/>
      <c r="U36" s="747"/>
      <c r="V36" s="746"/>
      <c r="W36" s="723"/>
      <c r="X36" s="723"/>
      <c r="Y36" s="721"/>
      <c r="Z36" s="746"/>
      <c r="AA36" s="723"/>
      <c r="AB36" s="723"/>
      <c r="AC36" s="747"/>
      <c r="AD36" s="745"/>
      <c r="AE36" s="723"/>
      <c r="AF36" s="723"/>
      <c r="AG36" s="747"/>
      <c r="AH36" s="142"/>
    </row>
    <row r="37" spans="2:51" ht="21.6">
      <c r="B37" s="716">
        <v>44472</v>
      </c>
      <c r="C37" s="749">
        <v>21.64</v>
      </c>
      <c r="D37" s="750">
        <v>15.132</v>
      </c>
      <c r="E37" s="751">
        <v>8.9</v>
      </c>
      <c r="F37" s="749">
        <v>3.77</v>
      </c>
      <c r="G37" s="749">
        <f>SUM(Table252346789101110121312141215161517[[#This Row],[Jones Creek Target (Mbopd)]:[Egwa Target (Mbopd)]])</f>
        <v>49.442</v>
      </c>
      <c r="H37" s="752">
        <v>3.952</v>
      </c>
      <c r="I37" s="752">
        <v>7.0460000000000003</v>
      </c>
      <c r="J37" s="752">
        <v>2.8570000000000002</v>
      </c>
      <c r="K37" s="752">
        <v>2.59</v>
      </c>
      <c r="L37" s="753">
        <f t="shared" si="3"/>
        <v>16.445</v>
      </c>
      <c r="M37" s="721">
        <v>0</v>
      </c>
      <c r="N37" s="765">
        <f>Table252346789101110121312141215161517[[#This Row],[Jones Creek Target (Mbopd)]]-Table252346789101110121312141215161517[[#This Row],[Jones Creek (Mbopd)]]</f>
        <v>17.688000000000002</v>
      </c>
      <c r="O37" s="723">
        <f>Table252346789101110121312141215161517[[#This Row],[Odidi Target (Mbopd)]]-Table252346789101110121312141215161517[[#This Row],[Odidi (Mbopd)]]</f>
        <v>8.0859999999999985</v>
      </c>
      <c r="P37" s="721">
        <f>Table252346789101110121312141215161517[[#This Row],[Batan Target (Mbopd)]]-Table252346789101110121312141215161517[[#This Row],[Batan (Mbopd)]]</f>
        <v>6.0430000000000001</v>
      </c>
      <c r="Q37" s="747">
        <f>Table252346789101110121312141215161517[[#This Row],[Egwa Target (Mbopd)]]-Table252346789101110121312141215161517[[#This Row],[Egwa (Mbopd)]]</f>
        <v>1.1800000000000002</v>
      </c>
      <c r="R37" s="745"/>
      <c r="S37" s="723"/>
      <c r="T37" s="723"/>
      <c r="U37" s="747"/>
      <c r="V37" s="746"/>
      <c r="W37" s="723"/>
      <c r="X37" s="723"/>
      <c r="Y37" s="721"/>
      <c r="Z37" s="746"/>
      <c r="AA37" s="723"/>
      <c r="AB37" s="723"/>
      <c r="AC37" s="747"/>
      <c r="AD37" s="745"/>
      <c r="AE37" s="723"/>
      <c r="AF37" s="723"/>
      <c r="AG37" s="747"/>
      <c r="AH37" s="142"/>
    </row>
    <row r="38" spans="2:51" ht="21.6">
      <c r="B38" s="716">
        <v>44473</v>
      </c>
      <c r="C38" s="749">
        <v>21.64</v>
      </c>
      <c r="D38" s="750">
        <v>15.132</v>
      </c>
      <c r="E38" s="751">
        <v>8.9</v>
      </c>
      <c r="F38" s="749">
        <v>3.77</v>
      </c>
      <c r="G38" s="749">
        <f>SUM(Table252346789101110121312141215161517[[#This Row],[Jones Creek Target (Mbopd)]:[Egwa Target (Mbopd)]])</f>
        <v>49.442</v>
      </c>
      <c r="H38" s="752">
        <v>19.808</v>
      </c>
      <c r="I38" s="752">
        <v>12.683</v>
      </c>
      <c r="J38" s="752">
        <v>0.19800000000000001</v>
      </c>
      <c r="K38" s="754">
        <v>3.3439999999999999</v>
      </c>
      <c r="L38" s="753">
        <f t="shared" si="3"/>
        <v>36.033000000000001</v>
      </c>
      <c r="M38" s="721">
        <v>15.256</v>
      </c>
      <c r="N38" s="765">
        <f>Table252346789101110121312141215161517[[#This Row],[Jones Creek Target (Mbopd)]]-Table252346789101110121312141215161517[[#This Row],[Jones Creek (Mbopd)]]</f>
        <v>1.8320000000000007</v>
      </c>
      <c r="O38" s="723">
        <f>Table252346789101110121312141215161517[[#This Row],[Odidi Target (Mbopd)]]-Table252346789101110121312141215161517[[#This Row],[Odidi (Mbopd)]]</f>
        <v>2.4489999999999998</v>
      </c>
      <c r="P38" s="721">
        <f>Table252346789101110121312141215161517[[#This Row],[Batan Target (Mbopd)]]-Table252346789101110121312141215161517[[#This Row],[Batan (Mbopd)]]</f>
        <v>8.702</v>
      </c>
      <c r="Q38" s="747">
        <f>Table252346789101110121312141215161517[[#This Row],[Egwa Target (Mbopd)]]-Table252346789101110121312141215161517[[#This Row],[Egwa (Mbopd)]]</f>
        <v>0.42600000000000016</v>
      </c>
      <c r="R38" s="745"/>
      <c r="S38" s="723"/>
      <c r="T38" s="723"/>
      <c r="U38" s="747"/>
      <c r="V38" s="746"/>
      <c r="W38" s="723"/>
      <c r="X38" s="723"/>
      <c r="Y38" s="721"/>
      <c r="Z38" s="746"/>
      <c r="AA38" s="723"/>
      <c r="AB38" s="723"/>
      <c r="AC38" s="747"/>
      <c r="AD38" s="745"/>
      <c r="AE38" s="723"/>
      <c r="AF38" s="723"/>
      <c r="AG38" s="747"/>
      <c r="AH38" s="142"/>
    </row>
    <row r="39" spans="2:51" ht="21.6">
      <c r="B39" s="716">
        <v>44474</v>
      </c>
      <c r="C39" s="749">
        <v>21.64</v>
      </c>
      <c r="D39" s="750">
        <v>15.132</v>
      </c>
      <c r="E39" s="751">
        <v>8.9</v>
      </c>
      <c r="F39" s="749">
        <v>3.77</v>
      </c>
      <c r="G39" s="749">
        <f>SUM(Table252346789101110121312141215161517[[#This Row],[Jones Creek Target (Mbopd)]:[Egwa Target (Mbopd)]])</f>
        <v>49.442</v>
      </c>
      <c r="H39" s="752"/>
      <c r="I39" s="752">
        <v>12.433999999999999</v>
      </c>
      <c r="J39" s="752">
        <v>0</v>
      </c>
      <c r="K39" s="752">
        <v>3.4449999999999998</v>
      </c>
      <c r="L39" s="753">
        <f t="shared" si="3"/>
        <v>15.879</v>
      </c>
      <c r="M39" s="721">
        <v>19.277999999999999</v>
      </c>
      <c r="N39" s="765">
        <f>Table252346789101110121312141215161517[[#This Row],[Jones Creek Target (Mbopd)]]-Table252346789101110121312141215161517[[#This Row],[Jones Creek (Mbopd)]]</f>
        <v>21.64</v>
      </c>
      <c r="O39" s="723">
        <f>Table252346789101110121312141215161517[[#This Row],[Odidi Target (Mbopd)]]-Table252346789101110121312141215161517[[#This Row],[Odidi (Mbopd)]]</f>
        <v>2.6980000000000004</v>
      </c>
      <c r="P39" s="721">
        <f>Table252346789101110121312141215161517[[#This Row],[Batan Target (Mbopd)]]-Table252346789101110121312141215161517[[#This Row],[Batan (Mbopd)]]</f>
        <v>8.9</v>
      </c>
      <c r="Q39" s="747">
        <f>Table252346789101110121312141215161517[[#This Row],[Egwa Target (Mbopd)]]-Table252346789101110121312141215161517[[#This Row],[Egwa (Mbopd)]]</f>
        <v>0.32500000000000018</v>
      </c>
      <c r="R39" s="745"/>
      <c r="S39" s="723"/>
      <c r="T39" s="723"/>
      <c r="U39" s="747"/>
      <c r="V39" s="746"/>
      <c r="W39" s="723"/>
      <c r="X39" s="723"/>
      <c r="Y39" s="721"/>
      <c r="Z39" s="746"/>
      <c r="AA39" s="723"/>
      <c r="AB39" s="723"/>
      <c r="AC39" s="747"/>
      <c r="AD39" s="745"/>
      <c r="AE39" s="723"/>
      <c r="AF39" s="723"/>
      <c r="AG39" s="747"/>
      <c r="AH39" s="142"/>
    </row>
    <row r="40" spans="2:51" ht="21.6">
      <c r="B40" s="716">
        <v>44475</v>
      </c>
      <c r="C40" s="749">
        <v>21.64</v>
      </c>
      <c r="D40" s="750">
        <v>15.132</v>
      </c>
      <c r="E40" s="751">
        <v>8.9</v>
      </c>
      <c r="F40" s="749">
        <v>3.77</v>
      </c>
      <c r="G40" s="749">
        <f>SUM(Table252346789101110121312141215161517[[#This Row],[Jones Creek Target (Mbopd)]:[Egwa Target (Mbopd)]])</f>
        <v>49.442</v>
      </c>
      <c r="H40" s="754"/>
      <c r="I40" s="752">
        <v>12.393000000000001</v>
      </c>
      <c r="J40" s="752">
        <v>0</v>
      </c>
      <c r="K40" s="754">
        <v>1.802</v>
      </c>
      <c r="L40" s="753">
        <f t="shared" si="3"/>
        <v>14.195</v>
      </c>
      <c r="M40" s="721">
        <v>19.600000000000001</v>
      </c>
      <c r="N40" s="765">
        <f>Table252346789101110121312141215161517[[#This Row],[Jones Creek Target (Mbopd)]]-Table252346789101110121312141215161517[[#This Row],[Jones Creek (Mbopd)]]</f>
        <v>21.64</v>
      </c>
      <c r="O40" s="723">
        <f>Table252346789101110121312141215161517[[#This Row],[Odidi Target (Mbopd)]]-Table252346789101110121312141215161517[[#This Row],[Odidi (Mbopd)]]</f>
        <v>2.738999999999999</v>
      </c>
      <c r="P40" s="721">
        <f>Table252346789101110121312141215161517[[#This Row],[Batan Target (Mbopd)]]-Table252346789101110121312141215161517[[#This Row],[Batan (Mbopd)]]</f>
        <v>8.9</v>
      </c>
      <c r="Q40" s="747">
        <f>Table252346789101110121312141215161517[[#This Row],[Egwa Target (Mbopd)]]-Table252346789101110121312141215161517[[#This Row],[Egwa (Mbopd)]]</f>
        <v>1.968</v>
      </c>
      <c r="R40" s="745"/>
      <c r="S40" s="723"/>
      <c r="T40" s="723"/>
      <c r="U40" s="747"/>
      <c r="V40" s="746"/>
      <c r="W40" s="723"/>
      <c r="X40" s="723"/>
      <c r="Y40" s="721"/>
      <c r="Z40" s="746"/>
      <c r="AA40" s="723"/>
      <c r="AB40" s="723"/>
      <c r="AC40" s="747"/>
      <c r="AD40" s="745"/>
      <c r="AE40" s="723"/>
      <c r="AF40" s="723"/>
      <c r="AG40" s="747"/>
      <c r="AH40" s="142"/>
    </row>
    <row r="41" spans="2:51" ht="21.6">
      <c r="B41" s="716">
        <v>44476</v>
      </c>
      <c r="C41" s="749">
        <v>21.64</v>
      </c>
      <c r="D41" s="750">
        <v>15.132</v>
      </c>
      <c r="E41" s="751">
        <v>8.9</v>
      </c>
      <c r="F41" s="749">
        <v>3.77</v>
      </c>
      <c r="G41" s="749">
        <f>SUM(Table252346789101110121312141215161517[[#This Row],[Jones Creek Target (Mbopd)]:[Egwa Target (Mbopd)]])</f>
        <v>49.442</v>
      </c>
      <c r="H41" s="754"/>
      <c r="I41" s="754">
        <v>11.635999999999999</v>
      </c>
      <c r="J41" s="754">
        <v>0</v>
      </c>
      <c r="K41" s="754">
        <v>2.085</v>
      </c>
      <c r="L41" s="753">
        <f t="shared" si="3"/>
        <v>13.721</v>
      </c>
      <c r="M41" s="721"/>
      <c r="N41" s="765"/>
      <c r="O41" s="723"/>
      <c r="P41" s="721"/>
      <c r="Q41" s="747"/>
      <c r="R41" s="745"/>
      <c r="S41" s="723"/>
      <c r="T41" s="723"/>
      <c r="U41" s="747"/>
      <c r="V41" s="746"/>
      <c r="W41" s="723"/>
      <c r="X41" s="723"/>
      <c r="Y41" s="721"/>
      <c r="Z41" s="746"/>
      <c r="AA41" s="723"/>
      <c r="AB41" s="723"/>
      <c r="AC41" s="747"/>
      <c r="AD41" s="745"/>
      <c r="AE41" s="723"/>
      <c r="AF41" s="723"/>
      <c r="AG41" s="747"/>
      <c r="AH41" s="142"/>
    </row>
    <row r="42" spans="2:51" ht="21.6">
      <c r="B42" s="716">
        <v>44477</v>
      </c>
      <c r="C42" s="749">
        <v>21.64</v>
      </c>
      <c r="D42" s="750">
        <v>15.132</v>
      </c>
      <c r="E42" s="751">
        <v>8.9</v>
      </c>
      <c r="F42" s="749">
        <v>3.77</v>
      </c>
      <c r="G42" s="749">
        <f>SUM(Table252346789101110121312141215161517[[#This Row],[Jones Creek Target (Mbopd)]:[Egwa Target (Mbopd)]])</f>
        <v>49.442</v>
      </c>
      <c r="H42" s="754"/>
      <c r="I42" s="754"/>
      <c r="J42" s="754"/>
      <c r="K42" s="754"/>
      <c r="L42" s="753"/>
      <c r="M42" s="721"/>
      <c r="N42" s="746"/>
      <c r="O42" s="723"/>
      <c r="P42" s="721"/>
      <c r="Q42" s="747"/>
      <c r="R42" s="745"/>
      <c r="S42" s="723"/>
      <c r="T42" s="723"/>
      <c r="U42" s="747"/>
      <c r="V42" s="746"/>
      <c r="W42" s="723"/>
      <c r="X42" s="723"/>
      <c r="Y42" s="721"/>
      <c r="Z42" s="746"/>
      <c r="AA42" s="723"/>
      <c r="AB42" s="723"/>
      <c r="AC42" s="747"/>
      <c r="AD42" s="745"/>
      <c r="AE42" s="723"/>
      <c r="AF42" s="723"/>
      <c r="AG42" s="747"/>
      <c r="AH42" s="142"/>
      <c r="AI42" s="730"/>
    </row>
    <row r="43" spans="2:51" ht="21.6">
      <c r="B43" s="716">
        <v>44478</v>
      </c>
      <c r="C43" s="749">
        <v>21.64</v>
      </c>
      <c r="D43" s="750">
        <v>15.132</v>
      </c>
      <c r="E43" s="751">
        <v>8.9</v>
      </c>
      <c r="F43" s="749">
        <v>3.77</v>
      </c>
      <c r="G43" s="749">
        <f>SUM(Table252346789101110121312141215161517[[#This Row],[Jones Creek Target (Mbopd)]:[Egwa Target (Mbopd)]])</f>
        <v>49.442</v>
      </c>
      <c r="H43" s="781"/>
      <c r="I43" s="781"/>
      <c r="J43" s="781"/>
      <c r="K43" s="723"/>
      <c r="L43" s="753"/>
      <c r="M43" s="721"/>
      <c r="N43" s="746"/>
      <c r="O43" s="723"/>
      <c r="P43" s="721"/>
      <c r="Q43" s="747"/>
      <c r="R43" s="745"/>
      <c r="S43" s="723"/>
      <c r="T43" s="723"/>
      <c r="U43" s="747"/>
      <c r="V43" s="746"/>
      <c r="W43" s="723"/>
      <c r="X43" s="723"/>
      <c r="Y43" s="721"/>
      <c r="Z43" s="746"/>
      <c r="AA43" s="723"/>
      <c r="AB43" s="723"/>
      <c r="AC43" s="747"/>
      <c r="AD43" s="745"/>
      <c r="AE43" s="723"/>
      <c r="AF43" s="723"/>
      <c r="AG43" s="747"/>
      <c r="AH43" s="142"/>
    </row>
    <row r="44" spans="2:51" ht="21.6">
      <c r="B44" s="716">
        <v>44479</v>
      </c>
      <c r="C44" s="749">
        <v>21.64</v>
      </c>
      <c r="D44" s="750">
        <v>15.132</v>
      </c>
      <c r="E44" s="751">
        <v>8.9</v>
      </c>
      <c r="F44" s="749">
        <v>3.77</v>
      </c>
      <c r="G44" s="749">
        <f>SUM(Table252346789101110121312141215161517[[#This Row],[Jones Creek Target (Mbopd)]:[Egwa Target (Mbopd)]])</f>
        <v>49.442</v>
      </c>
      <c r="H44" s="720"/>
      <c r="I44" s="720"/>
      <c r="J44" s="720"/>
      <c r="K44" s="722"/>
      <c r="L44" s="753"/>
      <c r="M44" s="721"/>
      <c r="N44" s="719"/>
      <c r="O44" s="722"/>
      <c r="P44" s="743"/>
      <c r="Q44" s="755"/>
      <c r="R44" s="745"/>
      <c r="S44" s="723"/>
      <c r="T44" s="723"/>
      <c r="U44" s="747"/>
      <c r="V44" s="746"/>
      <c r="W44" s="723"/>
      <c r="X44" s="723"/>
      <c r="Y44" s="721"/>
      <c r="Z44" s="746"/>
      <c r="AA44" s="723"/>
      <c r="AB44" s="723"/>
      <c r="AC44" s="747"/>
      <c r="AD44" s="745"/>
      <c r="AE44" s="723"/>
      <c r="AF44" s="723"/>
      <c r="AG44" s="747"/>
      <c r="AH44" s="142"/>
    </row>
    <row r="46" spans="2:51" ht="19.899999999999999" thickBot="1"/>
    <row r="47" spans="2:51" ht="33.950000000000003" customHeight="1" thickBot="1">
      <c r="B47" s="1345" t="s">
        <v>149</v>
      </c>
      <c r="C47" s="1346"/>
      <c r="D47" s="1346"/>
      <c r="E47" s="1346"/>
      <c r="F47" s="1346"/>
      <c r="G47" s="1346"/>
      <c r="H47" s="1346"/>
      <c r="I47" s="1346"/>
      <c r="J47" s="1346"/>
      <c r="K47" s="1346"/>
      <c r="L47" s="1346"/>
      <c r="M47" s="1346"/>
      <c r="N47" s="1346"/>
      <c r="O47" s="1346"/>
      <c r="P47" s="1346"/>
      <c r="Q47" s="1347"/>
      <c r="R47" s="683"/>
      <c r="S47" s="683"/>
      <c r="T47" s="683"/>
      <c r="U47" s="683"/>
      <c r="V47" s="683"/>
      <c r="W47" s="683"/>
      <c r="X47" s="683"/>
      <c r="Y47" s="683"/>
      <c r="Z47" s="683"/>
      <c r="AA47" s="683"/>
      <c r="AB47" s="683"/>
      <c r="AC47" s="683"/>
      <c r="AD47" s="683"/>
      <c r="AE47" s="683"/>
      <c r="AF47" s="683"/>
      <c r="AI47" s="142"/>
      <c r="AJ47" s="731"/>
    </row>
    <row r="48" spans="2:51" ht="41.45" customHeight="1">
      <c r="B48" s="655" t="s">
        <v>22</v>
      </c>
      <c r="C48" s="651" t="s">
        <v>358</v>
      </c>
      <c r="D48" s="1334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7"/>
      <c r="N48" s="1307"/>
      <c r="O48" s="1307"/>
      <c r="P48" s="1307"/>
      <c r="Q48" s="1308"/>
      <c r="R48" s="683"/>
      <c r="S48" s="683"/>
      <c r="T48" s="683"/>
      <c r="U48" s="683"/>
      <c r="V48" s="683"/>
      <c r="W48" s="683"/>
      <c r="X48" s="683"/>
      <c r="Y48" s="683"/>
      <c r="Z48" s="683"/>
      <c r="AA48" s="683"/>
      <c r="AB48" s="683"/>
      <c r="AC48" s="683"/>
      <c r="AD48" s="683"/>
      <c r="AE48" s="683"/>
      <c r="AF48" s="683"/>
      <c r="AI48" s="242"/>
      <c r="AJ48" s="732"/>
    </row>
    <row r="49" spans="2:36" ht="27.95" customHeight="1">
      <c r="B49" s="656" t="s">
        <v>17</v>
      </c>
      <c r="C49" s="652">
        <v>0.8</v>
      </c>
      <c r="D49" s="1335" t="s">
        <v>459</v>
      </c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10"/>
      <c r="R49" s="684"/>
      <c r="S49" s="684"/>
      <c r="T49" s="684"/>
      <c r="U49" s="684"/>
      <c r="V49" s="684"/>
      <c r="W49" s="684"/>
      <c r="X49" s="684"/>
      <c r="Y49" s="684"/>
      <c r="Z49" s="684"/>
      <c r="AA49" s="684"/>
      <c r="AB49" s="684"/>
      <c r="AC49" s="684"/>
      <c r="AD49" s="684"/>
      <c r="AE49" s="684"/>
      <c r="AF49" s="684"/>
      <c r="AI49" s="242"/>
      <c r="AJ49" s="732"/>
    </row>
    <row r="50" spans="2:36" ht="21.6">
      <c r="B50" s="656" t="s">
        <v>19</v>
      </c>
      <c r="C50" s="652">
        <v>2.7</v>
      </c>
      <c r="D50" s="1336" t="s">
        <v>460</v>
      </c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6"/>
      <c r="R50" s="685"/>
      <c r="S50" s="685"/>
      <c r="T50" s="685"/>
      <c r="U50" s="685"/>
      <c r="V50" s="685"/>
      <c r="W50" s="685"/>
      <c r="X50" s="685"/>
      <c r="Y50" s="685"/>
      <c r="Z50" s="685"/>
      <c r="AA50" s="685"/>
      <c r="AB50" s="685"/>
      <c r="AC50" s="685"/>
      <c r="AD50" s="685"/>
      <c r="AE50" s="685"/>
      <c r="AF50" s="685"/>
      <c r="AI50" s="142"/>
    </row>
    <row r="51" spans="2:36" ht="21.6">
      <c r="B51" s="656" t="s">
        <v>16</v>
      </c>
      <c r="C51" s="652">
        <v>8.9</v>
      </c>
      <c r="D51" s="1336" t="s">
        <v>461</v>
      </c>
      <c r="E51" s="1285"/>
      <c r="F51" s="1285"/>
      <c r="G51" s="1285"/>
      <c r="H51" s="1285"/>
      <c r="I51" s="1285"/>
      <c r="J51" s="1285"/>
      <c r="K51" s="1285"/>
      <c r="L51" s="1285"/>
      <c r="M51" s="1285"/>
      <c r="N51" s="1285"/>
      <c r="O51" s="1285"/>
      <c r="P51" s="1285"/>
      <c r="Q51" s="1286"/>
      <c r="R51" s="685"/>
      <c r="S51" s="685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I51" s="242"/>
      <c r="AJ51" s="733"/>
    </row>
    <row r="52" spans="2:36" ht="22.15" thickBot="1">
      <c r="B52" s="657" t="s">
        <v>18</v>
      </c>
      <c r="C52" s="653">
        <v>2.41</v>
      </c>
      <c r="D52" s="1328" t="s">
        <v>152</v>
      </c>
      <c r="E52" s="1329"/>
      <c r="F52" s="1329"/>
      <c r="G52" s="1329"/>
      <c r="H52" s="1329"/>
      <c r="I52" s="1329"/>
      <c r="J52" s="1329"/>
      <c r="K52" s="1329"/>
      <c r="L52" s="1329"/>
      <c r="M52" s="1329"/>
      <c r="N52" s="1329"/>
      <c r="O52" s="1329"/>
      <c r="P52" s="1329"/>
      <c r="Q52" s="1330"/>
      <c r="R52" s="685"/>
      <c r="S52" s="685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I52" s="242"/>
      <c r="AJ52" s="732"/>
    </row>
    <row r="53" spans="2:36" ht="22.15" thickBot="1">
      <c r="B53" s="658" t="s">
        <v>187</v>
      </c>
      <c r="C53" s="654">
        <f>SUM(C49:C52)</f>
        <v>14.81</v>
      </c>
      <c r="D53" s="1331" t="s">
        <v>462</v>
      </c>
      <c r="E53" s="1332"/>
      <c r="F53" s="1332"/>
      <c r="G53" s="1332"/>
      <c r="H53" s="1332"/>
      <c r="I53" s="1332"/>
      <c r="J53" s="1332"/>
      <c r="K53" s="1332"/>
      <c r="L53" s="1332"/>
      <c r="M53" s="1332"/>
      <c r="N53" s="1332"/>
      <c r="O53" s="1332"/>
      <c r="P53" s="1332"/>
      <c r="Q53" s="1333"/>
      <c r="R53" s="684"/>
      <c r="S53" s="684"/>
      <c r="T53" s="684"/>
      <c r="U53" s="684"/>
      <c r="V53" s="684"/>
      <c r="W53" s="684"/>
      <c r="X53" s="684"/>
      <c r="Y53" s="684"/>
      <c r="Z53" s="684"/>
      <c r="AA53" s="684"/>
      <c r="AB53" s="684"/>
      <c r="AC53" s="684"/>
      <c r="AD53" s="684"/>
      <c r="AE53" s="684"/>
      <c r="AF53" s="684"/>
      <c r="AG53" s="790"/>
      <c r="AH53" s="734"/>
    </row>
    <row r="56" spans="2:36" ht="24.6">
      <c r="D56" s="778">
        <f>D57+5.11</f>
        <v>8.33</v>
      </c>
      <c r="F56" s="735">
        <f>6.71+4.78</f>
        <v>11.49</v>
      </c>
      <c r="G56" s="735">
        <f>4.78-0.33</f>
        <v>4.45</v>
      </c>
    </row>
    <row r="57" spans="2:36" ht="27.75" customHeight="1">
      <c r="C57" s="736"/>
      <c r="D57" s="735">
        <f>0.89+2.33</f>
        <v>3.22</v>
      </c>
      <c r="H57" s="737"/>
      <c r="I57" s="737"/>
      <c r="J57" s="737"/>
    </row>
    <row r="58" spans="2:36" ht="24.75" customHeight="1">
      <c r="D58" s="735"/>
      <c r="H58" s="738"/>
      <c r="I58" s="738"/>
      <c r="J58" s="738"/>
    </row>
    <row r="59" spans="2:36" ht="20.25" customHeight="1">
      <c r="G59" s="142"/>
      <c r="H59" s="142"/>
      <c r="I59" s="794"/>
      <c r="J59" s="142"/>
      <c r="K59" s="142"/>
      <c r="M59" s="142"/>
      <c r="N59" s="142"/>
      <c r="V59" s="142"/>
      <c r="W59" s="142"/>
      <c r="X59" s="142"/>
      <c r="Y59" s="142"/>
      <c r="AE59" s="142"/>
      <c r="AF59" s="142"/>
    </row>
    <row r="60" spans="2:36" ht="21.6">
      <c r="C60" s="739"/>
      <c r="G60" s="734"/>
      <c r="H60" s="142"/>
      <c r="I60" s="142"/>
      <c r="J60" s="142"/>
      <c r="K60" s="142"/>
      <c r="M60" s="142"/>
      <c r="N60" s="142"/>
      <c r="V60" s="142"/>
      <c r="W60" s="142"/>
      <c r="X60" s="142"/>
      <c r="Y60" s="142"/>
      <c r="AE60" s="142"/>
      <c r="AF60" s="142"/>
    </row>
    <row r="61" spans="2:36" ht="21.6">
      <c r="C61" s="741"/>
      <c r="D61" s="741"/>
      <c r="F61" s="741"/>
      <c r="G61" s="793"/>
      <c r="H61" s="142"/>
      <c r="I61" s="142"/>
      <c r="J61" s="142"/>
      <c r="K61" s="142"/>
      <c r="M61" s="142"/>
      <c r="N61" s="142"/>
      <c r="V61" s="142"/>
      <c r="W61" s="142"/>
      <c r="X61" s="142"/>
      <c r="Y61" s="142"/>
      <c r="AE61" s="142"/>
      <c r="AF61" s="142"/>
    </row>
    <row r="62" spans="2:36" ht="21.6">
      <c r="C62" s="741"/>
      <c r="D62" s="796"/>
      <c r="F62" s="741"/>
      <c r="G62" s="741"/>
    </row>
    <row r="63" spans="2:36">
      <c r="C63" s="741"/>
      <c r="D63" s="741"/>
      <c r="F63" s="741"/>
      <c r="G63" s="741"/>
    </row>
    <row r="64" spans="2:36">
      <c r="C64" s="741"/>
      <c r="D64" s="741"/>
      <c r="F64" s="741"/>
      <c r="G64" s="741"/>
    </row>
    <row r="84" spans="36:36" ht="24.6">
      <c r="AJ84" s="735"/>
    </row>
  </sheetData>
  <mergeCells count="8">
    <mergeCell ref="D52:Q52"/>
    <mergeCell ref="D53:Q53"/>
    <mergeCell ref="AL3:AP3"/>
    <mergeCell ref="B47:Q47"/>
    <mergeCell ref="D48:Q48"/>
    <mergeCell ref="D49:Q49"/>
    <mergeCell ref="D50:Q50"/>
    <mergeCell ref="D51:Q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1:AC999"/>
  <sheetViews>
    <sheetView zoomScale="90" zoomScaleNormal="90" workbookViewId="0">
      <selection activeCell="E7" sqref="E7:J7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9.21875" style="580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7.6640625" style="580" customWidth="1"/>
    <col min="12" max="12" width="11.21875" style="580" bestFit="1" customWidth="1"/>
    <col min="13" max="13" width="9.21875" style="580"/>
    <col min="14" max="14" width="10.109375" style="580" bestFit="1" customWidth="1"/>
    <col min="15" max="16384" width="9.21875" style="580"/>
  </cols>
  <sheetData>
    <row r="1" spans="2:29" ht="22.9" thickBot="1">
      <c r="B1"/>
      <c r="C1" s="1226" t="s">
        <v>413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 thickBo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24.75" customHeight="1" thickBot="1">
      <c r="B3"/>
      <c r="C3" s="1252" t="s">
        <v>463</v>
      </c>
      <c r="D3" s="1291"/>
      <c r="E3" s="1291"/>
      <c r="F3" s="1291"/>
      <c r="G3" s="1291"/>
      <c r="H3" s="1291"/>
      <c r="I3" s="1291"/>
      <c r="J3" s="1291"/>
      <c r="K3" s="1292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40.15" thickBot="1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 ht="19.899999999999999" thickBot="1">
      <c r="B5" s="808">
        <v>1</v>
      </c>
      <c r="C5" s="809" t="s">
        <v>41</v>
      </c>
      <c r="D5" s="810" t="s">
        <v>42</v>
      </c>
      <c r="E5" s="811">
        <v>28</v>
      </c>
      <c r="F5" s="812">
        <v>1706</v>
      </c>
      <c r="G5" s="812">
        <v>580</v>
      </c>
      <c r="H5" s="812">
        <v>66</v>
      </c>
      <c r="I5" s="812">
        <v>995</v>
      </c>
      <c r="J5" s="812">
        <v>494</v>
      </c>
      <c r="K5" s="813" t="s">
        <v>235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 ht="19.899999999999999" thickBot="1">
      <c r="B6" s="814">
        <v>2</v>
      </c>
      <c r="C6" s="815" t="s">
        <v>43</v>
      </c>
      <c r="D6" s="219" t="s">
        <v>44</v>
      </c>
      <c r="E6" s="220">
        <v>28</v>
      </c>
      <c r="F6" s="221">
        <v>1132</v>
      </c>
      <c r="G6" s="278">
        <v>566</v>
      </c>
      <c r="H6" s="221">
        <v>50</v>
      </c>
      <c r="I6" s="221">
        <v>607</v>
      </c>
      <c r="J6" s="221">
        <v>147</v>
      </c>
      <c r="K6" s="816" t="s">
        <v>235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 ht="19.899999999999999" thickBot="1">
      <c r="B7" s="814">
        <v>3</v>
      </c>
      <c r="C7" s="815" t="s">
        <v>45</v>
      </c>
      <c r="D7" s="219" t="s">
        <v>44</v>
      </c>
      <c r="E7" s="220">
        <v>32</v>
      </c>
      <c r="F7" s="221">
        <v>2221</v>
      </c>
      <c r="G7" s="278">
        <v>1044</v>
      </c>
      <c r="H7" s="221">
        <v>53</v>
      </c>
      <c r="I7" s="221">
        <v>669</v>
      </c>
      <c r="J7" s="221">
        <v>249</v>
      </c>
      <c r="K7" s="816" t="s">
        <v>235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 ht="19.899999999999999" thickBot="1">
      <c r="B8" s="817">
        <v>4</v>
      </c>
      <c r="C8" s="818" t="s">
        <v>46</v>
      </c>
      <c r="D8" s="192" t="s">
        <v>47</v>
      </c>
      <c r="E8" s="193">
        <v>40</v>
      </c>
      <c r="F8" s="194">
        <v>1753</v>
      </c>
      <c r="G8" s="188">
        <v>1157</v>
      </c>
      <c r="H8" s="194">
        <v>34</v>
      </c>
      <c r="I8" s="194">
        <v>323</v>
      </c>
      <c r="J8" s="194">
        <v>129</v>
      </c>
      <c r="K8" s="81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 ht="21" customHeight="1" thickBot="1">
      <c r="B9" s="817">
        <v>5</v>
      </c>
      <c r="C9" s="818" t="s">
        <v>48</v>
      </c>
      <c r="D9" s="192" t="s">
        <v>47</v>
      </c>
      <c r="E9" s="193" t="s">
        <v>49</v>
      </c>
      <c r="F9" s="194">
        <v>1538</v>
      </c>
      <c r="G9" s="188">
        <v>1000</v>
      </c>
      <c r="H9" s="194">
        <v>35</v>
      </c>
      <c r="I9" s="194">
        <v>310</v>
      </c>
      <c r="J9" s="194">
        <v>163</v>
      </c>
      <c r="K9" s="81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 ht="19.899999999999999" thickBot="1">
      <c r="B10" s="814">
        <v>6</v>
      </c>
      <c r="C10" s="815" t="s">
        <v>373</v>
      </c>
      <c r="D10" s="219" t="s">
        <v>47</v>
      </c>
      <c r="E10" s="220">
        <v>24</v>
      </c>
      <c r="F10" s="221"/>
      <c r="G10" s="278"/>
      <c r="H10" s="221"/>
      <c r="I10" s="221"/>
      <c r="J10" s="221"/>
      <c r="K10" s="816" t="s">
        <v>402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 ht="19.899999999999999" thickBot="1">
      <c r="B11" s="814">
        <v>7</v>
      </c>
      <c r="C11" s="815" t="s">
        <v>50</v>
      </c>
      <c r="D11" s="219" t="s">
        <v>47</v>
      </c>
      <c r="E11" s="220" t="s">
        <v>51</v>
      </c>
      <c r="F11" s="221">
        <v>1480</v>
      </c>
      <c r="G11" s="278">
        <v>444</v>
      </c>
      <c r="H11" s="221">
        <v>70</v>
      </c>
      <c r="I11" s="221">
        <v>762</v>
      </c>
      <c r="J11" s="221">
        <v>173</v>
      </c>
      <c r="K11" s="816" t="s">
        <v>235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 ht="19.899999999999999" thickBot="1">
      <c r="B12" s="814">
        <v>8</v>
      </c>
      <c r="C12" s="815" t="s">
        <v>52</v>
      </c>
      <c r="D12" s="219" t="s">
        <v>47</v>
      </c>
      <c r="E12" s="220">
        <v>40</v>
      </c>
      <c r="F12" s="221">
        <v>1652</v>
      </c>
      <c r="G12" s="278">
        <v>760</v>
      </c>
      <c r="H12" s="221">
        <v>54</v>
      </c>
      <c r="I12" s="221">
        <v>447</v>
      </c>
      <c r="J12" s="221">
        <v>159</v>
      </c>
      <c r="K12" s="816" t="s">
        <v>235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 ht="19.899999999999999" thickBot="1">
      <c r="B13" s="814">
        <v>9</v>
      </c>
      <c r="C13" s="815" t="s">
        <v>53</v>
      </c>
      <c r="D13" s="219" t="s">
        <v>47</v>
      </c>
      <c r="E13" s="220">
        <v>28</v>
      </c>
      <c r="F13" s="221">
        <v>1410</v>
      </c>
      <c r="G13" s="278">
        <v>663</v>
      </c>
      <c r="H13" s="221">
        <v>53.33</v>
      </c>
      <c r="I13" s="221">
        <v>430</v>
      </c>
      <c r="J13" s="221">
        <v>342</v>
      </c>
      <c r="K13" s="698" t="s">
        <v>235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 ht="19.899999999999999" thickBot="1">
      <c r="B14" s="814">
        <v>10</v>
      </c>
      <c r="C14" s="815" t="s">
        <v>54</v>
      </c>
      <c r="D14" s="219" t="s">
        <v>47</v>
      </c>
      <c r="E14" s="220" t="s">
        <v>55</v>
      </c>
      <c r="F14" s="221">
        <v>1633</v>
      </c>
      <c r="G14" s="278">
        <v>784</v>
      </c>
      <c r="H14" s="221">
        <v>52</v>
      </c>
      <c r="I14" s="221">
        <v>492</v>
      </c>
      <c r="J14" s="221">
        <v>377</v>
      </c>
      <c r="K14" s="698" t="s">
        <v>415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19.899999999999999" thickBot="1">
      <c r="B15" s="820">
        <v>11</v>
      </c>
      <c r="C15" s="818" t="s">
        <v>56</v>
      </c>
      <c r="D15" s="192" t="s">
        <v>47</v>
      </c>
      <c r="E15" s="193">
        <v>44</v>
      </c>
      <c r="F15" s="194">
        <v>3857</v>
      </c>
      <c r="G15" s="188">
        <v>1620</v>
      </c>
      <c r="H15" s="194">
        <v>58</v>
      </c>
      <c r="I15" s="194">
        <v>329</v>
      </c>
      <c r="J15" s="194">
        <v>352</v>
      </c>
      <c r="K15" s="821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 ht="19.899999999999999" thickBot="1">
      <c r="B16" s="854">
        <v>12</v>
      </c>
      <c r="C16" s="855" t="s">
        <v>57</v>
      </c>
      <c r="D16" s="856" t="s">
        <v>47</v>
      </c>
      <c r="E16" s="857">
        <v>28</v>
      </c>
      <c r="F16" s="858">
        <v>1706</v>
      </c>
      <c r="G16" s="859">
        <v>273</v>
      </c>
      <c r="H16" s="858">
        <v>84</v>
      </c>
      <c r="I16" s="858">
        <v>377</v>
      </c>
      <c r="J16" s="858">
        <v>305</v>
      </c>
      <c r="K16" s="860"/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 ht="19.899999999999999" thickBot="1">
      <c r="B17"/>
      <c r="C17" s="204"/>
      <c r="D17" s="205"/>
      <c r="E17" s="205"/>
      <c r="F17" s="224">
        <f>SUM(F5:F16)</f>
        <v>20088</v>
      </c>
      <c r="G17" s="224">
        <f>SUM(G5:G16)</f>
        <v>8891</v>
      </c>
      <c r="H17" s="207"/>
      <c r="I17" s="408"/>
      <c r="J17" s="207"/>
      <c r="K17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 ht="19.899999999999999" thickBot="1">
      <c r="B18"/>
      <c r="C18"/>
      <c r="D18" s="1253"/>
      <c r="E18" s="1253"/>
      <c r="F18" s="1"/>
      <c r="G18" s="208">
        <f>ROUNDUP(G17,-1)</f>
        <v>8900</v>
      </c>
      <c r="H18" s="373"/>
      <c r="I18" s="418"/>
      <c r="J18" s="699"/>
      <c r="K18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 ht="19.5" customHeight="1" thickBot="1">
      <c r="B19"/>
      <c r="C19"/>
      <c r="D19" s="1"/>
      <c r="E19" s="1"/>
      <c r="F19" s="1"/>
      <c r="G19" s="1"/>
      <c r="H19" s="1"/>
      <c r="I19"/>
      <c r="J19" s="1"/>
      <c r="K19"/>
      <c r="L19" s="579">
        <f>27450+5500</f>
        <v>32950</v>
      </c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19.899999999999999" thickBot="1">
      <c r="B20"/>
      <c r="C20"/>
      <c r="D20" s="1"/>
      <c r="E20" s="1"/>
      <c r="F20" s="1"/>
      <c r="G20" s="1"/>
      <c r="H20" s="1"/>
      <c r="I20" s="1"/>
      <c r="J20" s="1"/>
      <c r="K20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26.25" customHeight="1" thickBot="1">
      <c r="B21" s="303"/>
      <c r="C21" s="1252" t="s">
        <v>464</v>
      </c>
      <c r="D21" s="1291"/>
      <c r="E21" s="1291"/>
      <c r="F21" s="1291"/>
      <c r="G21" s="1291"/>
      <c r="H21" s="1291"/>
      <c r="I21" s="1291"/>
      <c r="J21" s="1291"/>
      <c r="K21" s="1292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ht="40.15" thickBot="1">
      <c r="B22" s="829" t="s">
        <v>156</v>
      </c>
      <c r="C22" s="830" t="s">
        <v>31</v>
      </c>
      <c r="D22" s="803" t="s">
        <v>32</v>
      </c>
      <c r="E22" s="803" t="s">
        <v>33</v>
      </c>
      <c r="F22" s="803" t="s">
        <v>34</v>
      </c>
      <c r="G22" s="803" t="s">
        <v>35</v>
      </c>
      <c r="H22" s="803" t="s">
        <v>37</v>
      </c>
      <c r="I22" s="803" t="s">
        <v>38</v>
      </c>
      <c r="J22" s="803" t="s">
        <v>39</v>
      </c>
      <c r="K22" s="803" t="s">
        <v>40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</row>
    <row r="23" spans="2:29" ht="19.899999999999999" thickBot="1">
      <c r="B23" s="798">
        <v>1</v>
      </c>
      <c r="C23" s="799" t="s">
        <v>417</v>
      </c>
      <c r="D23" s="799" t="s">
        <v>418</v>
      </c>
      <c r="E23" s="800">
        <v>24</v>
      </c>
      <c r="F23" s="801">
        <v>547</v>
      </c>
      <c r="G23" s="802">
        <v>241</v>
      </c>
      <c r="H23" s="802">
        <v>56</v>
      </c>
      <c r="I23" s="802">
        <v>1724</v>
      </c>
      <c r="J23" s="802">
        <v>600</v>
      </c>
      <c r="K23" s="782" t="s">
        <v>235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19.899999999999999" thickBot="1">
      <c r="B24" s="831">
        <v>2</v>
      </c>
      <c r="C24" s="832" t="s">
        <v>376</v>
      </c>
      <c r="D24" s="832" t="s">
        <v>89</v>
      </c>
      <c r="E24" s="833">
        <v>24</v>
      </c>
      <c r="F24" s="834">
        <v>1203</v>
      </c>
      <c r="G24" s="861">
        <v>412</v>
      </c>
      <c r="H24" s="835">
        <v>56</v>
      </c>
      <c r="I24" s="835">
        <v>340</v>
      </c>
      <c r="J24" s="835">
        <v>600</v>
      </c>
      <c r="K24" s="836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 ht="19.899999999999999" thickBot="1">
      <c r="B25" s="831">
        <v>3</v>
      </c>
      <c r="C25" s="837" t="s">
        <v>61</v>
      </c>
      <c r="D25" s="837" t="s">
        <v>62</v>
      </c>
      <c r="E25" s="838">
        <v>28</v>
      </c>
      <c r="F25" s="834">
        <v>888</v>
      </c>
      <c r="G25" s="861">
        <v>355</v>
      </c>
      <c r="H25" s="835">
        <v>56</v>
      </c>
      <c r="I25" s="835">
        <v>782</v>
      </c>
      <c r="J25" s="835">
        <v>370</v>
      </c>
      <c r="K25" s="836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 ht="19.899999999999999" thickBot="1">
      <c r="B26" s="772">
        <v>4</v>
      </c>
      <c r="C26" s="773" t="s">
        <v>64</v>
      </c>
      <c r="D26" s="773" t="s">
        <v>65</v>
      </c>
      <c r="E26" s="774">
        <v>32</v>
      </c>
      <c r="F26" s="775">
        <v>2161</v>
      </c>
      <c r="G26" s="776">
        <v>1404</v>
      </c>
      <c r="H26" s="776">
        <v>33</v>
      </c>
      <c r="I26" s="776">
        <v>430</v>
      </c>
      <c r="J26" s="776">
        <v>400</v>
      </c>
      <c r="K26" s="782" t="s">
        <v>235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 ht="19.899999999999999" thickBot="1">
      <c r="B27" s="783">
        <v>5</v>
      </c>
      <c r="C27" s="784" t="s">
        <v>69</v>
      </c>
      <c r="D27" s="784" t="s">
        <v>70</v>
      </c>
      <c r="E27" s="785">
        <v>24</v>
      </c>
      <c r="F27" s="786">
        <v>963</v>
      </c>
      <c r="G27" s="787">
        <v>347</v>
      </c>
      <c r="H27" s="787">
        <v>65</v>
      </c>
      <c r="I27" s="787">
        <v>2411</v>
      </c>
      <c r="J27" s="787">
        <v>750</v>
      </c>
      <c r="K27" s="782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19.899999999999999" thickBot="1">
      <c r="B28" s="783">
        <v>6</v>
      </c>
      <c r="C28" s="784" t="s">
        <v>71</v>
      </c>
      <c r="D28" s="784" t="s">
        <v>72</v>
      </c>
      <c r="E28" s="785">
        <v>28</v>
      </c>
      <c r="F28" s="786">
        <v>859</v>
      </c>
      <c r="G28" s="787">
        <v>326</v>
      </c>
      <c r="H28" s="787">
        <v>67</v>
      </c>
      <c r="I28" s="787">
        <v>3000</v>
      </c>
      <c r="J28" s="787">
        <v>750</v>
      </c>
      <c r="K28" s="777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19.899999999999999" thickBot="1">
      <c r="B29" s="783">
        <v>7</v>
      </c>
      <c r="C29" s="784" t="s">
        <v>73</v>
      </c>
      <c r="D29" s="784" t="s">
        <v>72</v>
      </c>
      <c r="E29" s="785">
        <v>44</v>
      </c>
      <c r="F29" s="786">
        <v>1099</v>
      </c>
      <c r="G29" s="787">
        <v>659</v>
      </c>
      <c r="H29" s="787">
        <v>23</v>
      </c>
      <c r="I29" s="787">
        <v>3206</v>
      </c>
      <c r="J29" s="787">
        <v>480</v>
      </c>
      <c r="K29" s="791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ht="19.899999999999999" thickBot="1">
      <c r="B30" s="831">
        <v>8</v>
      </c>
      <c r="C30" s="837" t="s">
        <v>74</v>
      </c>
      <c r="D30" s="837" t="s">
        <v>75</v>
      </c>
      <c r="E30" s="838">
        <v>36</v>
      </c>
      <c r="F30" s="834">
        <v>3196</v>
      </c>
      <c r="G30" s="861">
        <v>1406</v>
      </c>
      <c r="H30" s="835">
        <v>55</v>
      </c>
      <c r="I30" s="835">
        <v>1306</v>
      </c>
      <c r="J30" s="835">
        <v>850</v>
      </c>
      <c r="K30" s="836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</row>
    <row r="31" spans="2:29" ht="19.899999999999999" thickBot="1">
      <c r="B31" s="831">
        <v>9</v>
      </c>
      <c r="C31" s="837" t="s">
        <v>76</v>
      </c>
      <c r="D31" s="837" t="s">
        <v>77</v>
      </c>
      <c r="E31" s="838">
        <v>20</v>
      </c>
      <c r="F31" s="834">
        <v>717</v>
      </c>
      <c r="G31" s="861">
        <v>323</v>
      </c>
      <c r="H31" s="835">
        <v>56</v>
      </c>
      <c r="I31" s="835">
        <v>264</v>
      </c>
      <c r="J31" s="835">
        <v>180</v>
      </c>
      <c r="K31" s="836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</row>
    <row r="32" spans="2:29" ht="19.899999999999999" thickBot="1">
      <c r="B32" s="783">
        <v>10</v>
      </c>
      <c r="C32" s="784" t="s">
        <v>78</v>
      </c>
      <c r="D32" s="784" t="s">
        <v>79</v>
      </c>
      <c r="E32" s="785">
        <v>52</v>
      </c>
      <c r="F32" s="786">
        <v>1046</v>
      </c>
      <c r="G32" s="787">
        <v>1025</v>
      </c>
      <c r="H32" s="787">
        <v>1</v>
      </c>
      <c r="I32" s="787">
        <v>553</v>
      </c>
      <c r="J32" s="787">
        <v>200</v>
      </c>
      <c r="K32" s="788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</row>
    <row r="33" spans="2:29" s="647" customFormat="1" ht="19.899999999999999" thickBot="1">
      <c r="B33" s="783">
        <v>11</v>
      </c>
      <c r="C33" s="784" t="s">
        <v>80</v>
      </c>
      <c r="D33" s="784" t="s">
        <v>81</v>
      </c>
      <c r="E33" s="785">
        <v>32</v>
      </c>
      <c r="F33" s="786">
        <v>1639</v>
      </c>
      <c r="G33" s="861">
        <v>492</v>
      </c>
      <c r="H33" s="787">
        <v>70</v>
      </c>
      <c r="I33" s="787">
        <v>1849</v>
      </c>
      <c r="J33" s="787">
        <v>435</v>
      </c>
      <c r="K33" s="788"/>
      <c r="L33" s="646"/>
      <c r="M33" s="646"/>
      <c r="N33" s="646"/>
      <c r="O33" s="646"/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</row>
    <row r="34" spans="2:29" ht="19.899999999999999" thickBot="1">
      <c r="B34" s="831">
        <v>12</v>
      </c>
      <c r="C34" s="837" t="s">
        <v>82</v>
      </c>
      <c r="D34" s="837" t="s">
        <v>65</v>
      </c>
      <c r="E34" s="838">
        <v>28</v>
      </c>
      <c r="F34" s="834">
        <v>1023</v>
      </c>
      <c r="G34" s="861">
        <v>1003</v>
      </c>
      <c r="H34" s="835">
        <v>15</v>
      </c>
      <c r="I34" s="835">
        <v>587</v>
      </c>
      <c r="J34" s="835">
        <v>400</v>
      </c>
      <c r="K34" s="836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</row>
    <row r="35" spans="2:29" s="647" customFormat="1" ht="19.899999999999999" thickBot="1">
      <c r="B35" s="783">
        <v>13</v>
      </c>
      <c r="C35" s="784" t="s">
        <v>379</v>
      </c>
      <c r="D35" s="784" t="s">
        <v>380</v>
      </c>
      <c r="E35" s="785">
        <v>20</v>
      </c>
      <c r="F35" s="786">
        <v>758</v>
      </c>
      <c r="G35" s="787">
        <v>286</v>
      </c>
      <c r="H35" s="787">
        <v>63</v>
      </c>
      <c r="I35" s="787">
        <v>2273</v>
      </c>
      <c r="J35" s="787">
        <v>762</v>
      </c>
      <c r="K35" s="788"/>
      <c r="L35" s="646"/>
      <c r="M35" s="646"/>
      <c r="N35" s="646"/>
      <c r="O35" s="646"/>
      <c r="P35" s="646"/>
      <c r="Q35" s="646"/>
      <c r="R35" s="646"/>
      <c r="S35" s="646"/>
      <c r="T35" s="646"/>
      <c r="U35" s="646"/>
      <c r="V35" s="646"/>
      <c r="W35" s="646"/>
      <c r="X35" s="646"/>
      <c r="Y35" s="646"/>
      <c r="Z35" s="646"/>
      <c r="AA35" s="646"/>
      <c r="AB35" s="646"/>
      <c r="AC35" s="646"/>
    </row>
    <row r="36" spans="2:29" ht="19.899999999999999" thickBot="1">
      <c r="B36" s="772">
        <v>14</v>
      </c>
      <c r="C36" s="773" t="s">
        <v>351</v>
      </c>
      <c r="D36" s="773" t="s">
        <v>352</v>
      </c>
      <c r="E36" s="774">
        <v>24</v>
      </c>
      <c r="F36" s="775">
        <v>750</v>
      </c>
      <c r="G36" s="776">
        <v>300</v>
      </c>
      <c r="H36" s="776">
        <v>60</v>
      </c>
      <c r="I36" s="776" t="s">
        <v>164</v>
      </c>
      <c r="J36" s="776">
        <v>1000</v>
      </c>
      <c r="K36" s="782" t="s">
        <v>235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</row>
    <row r="37" spans="2:29" s="647" customFormat="1" ht="19.899999999999999" thickBot="1">
      <c r="B37" s="783">
        <v>15</v>
      </c>
      <c r="C37" s="784" t="s">
        <v>83</v>
      </c>
      <c r="D37" s="784" t="s">
        <v>84</v>
      </c>
      <c r="E37" s="785">
        <v>44</v>
      </c>
      <c r="F37" s="786">
        <v>3273</v>
      </c>
      <c r="G37" s="787">
        <v>1047</v>
      </c>
      <c r="H37" s="787">
        <v>64</v>
      </c>
      <c r="I37" s="787">
        <v>4131</v>
      </c>
      <c r="J37" s="787">
        <v>1150</v>
      </c>
      <c r="K37" s="788"/>
      <c r="L37" s="780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</row>
    <row r="38" spans="2:29" ht="19.899999999999999" thickBot="1">
      <c r="B38" s="783">
        <v>16</v>
      </c>
      <c r="C38" s="784" t="s">
        <v>85</v>
      </c>
      <c r="D38" s="784" t="s">
        <v>72</v>
      </c>
      <c r="E38" s="785">
        <v>32</v>
      </c>
      <c r="F38" s="786">
        <v>1427</v>
      </c>
      <c r="G38" s="787">
        <v>899</v>
      </c>
      <c r="H38" s="787">
        <v>37</v>
      </c>
      <c r="I38" s="787">
        <v>1058</v>
      </c>
      <c r="J38" s="787">
        <v>522</v>
      </c>
      <c r="K38" s="788"/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</row>
    <row r="39" spans="2:29" s="647" customFormat="1" ht="19.899999999999999" thickBot="1">
      <c r="B39" s="831">
        <v>17</v>
      </c>
      <c r="C39" s="837" t="s">
        <v>86</v>
      </c>
      <c r="D39" s="837" t="s">
        <v>87</v>
      </c>
      <c r="E39" s="838">
        <v>28</v>
      </c>
      <c r="F39" s="834">
        <v>901</v>
      </c>
      <c r="G39" s="835">
        <v>405</v>
      </c>
      <c r="H39" s="835">
        <v>55</v>
      </c>
      <c r="I39" s="835">
        <v>5513</v>
      </c>
      <c r="J39" s="835">
        <v>1450</v>
      </c>
      <c r="K39" s="836"/>
      <c r="L39" s="646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</row>
    <row r="40" spans="2:29" ht="19.899999999999999" thickBot="1">
      <c r="B40" s="783">
        <v>18</v>
      </c>
      <c r="C40" s="784" t="s">
        <v>88</v>
      </c>
      <c r="D40" s="784" t="s">
        <v>89</v>
      </c>
      <c r="E40" s="785">
        <v>28</v>
      </c>
      <c r="F40" s="786">
        <v>1172</v>
      </c>
      <c r="G40" s="787">
        <v>527</v>
      </c>
      <c r="H40" s="787">
        <v>55</v>
      </c>
      <c r="I40" s="787">
        <v>2051</v>
      </c>
      <c r="J40" s="787">
        <v>522</v>
      </c>
      <c r="K40" s="788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</row>
    <row r="41" spans="2:29" s="647" customFormat="1" ht="19.899999999999999" thickBot="1">
      <c r="B41" s="783">
        <v>19</v>
      </c>
      <c r="C41" s="784" t="s">
        <v>90</v>
      </c>
      <c r="D41" s="784" t="s">
        <v>84</v>
      </c>
      <c r="E41" s="785">
        <v>48</v>
      </c>
      <c r="F41" s="786">
        <v>547</v>
      </c>
      <c r="G41" s="787">
        <v>509</v>
      </c>
      <c r="H41" s="787">
        <v>7</v>
      </c>
      <c r="I41" s="787">
        <v>6498</v>
      </c>
      <c r="J41" s="787">
        <v>550</v>
      </c>
      <c r="K41" s="788"/>
      <c r="L41" s="646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ht="19.899999999999999" thickBot="1">
      <c r="B42" s="772">
        <v>20</v>
      </c>
      <c r="C42" s="773" t="s">
        <v>91</v>
      </c>
      <c r="D42" s="773" t="s">
        <v>89</v>
      </c>
      <c r="E42" s="774">
        <v>36</v>
      </c>
      <c r="F42" s="775">
        <v>497</v>
      </c>
      <c r="G42" s="776">
        <v>496</v>
      </c>
      <c r="H42" s="776">
        <v>0</v>
      </c>
      <c r="I42" s="776">
        <v>1297</v>
      </c>
      <c r="J42" s="776">
        <v>200</v>
      </c>
      <c r="K42" s="782" t="s">
        <v>235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</row>
    <row r="43" spans="2:29" ht="19.899999999999999" thickBot="1">
      <c r="B43" s="772">
        <v>21</v>
      </c>
      <c r="C43" s="773" t="s">
        <v>92</v>
      </c>
      <c r="D43" s="773" t="s">
        <v>93</v>
      </c>
      <c r="E43" s="774">
        <v>24</v>
      </c>
      <c r="F43" s="775">
        <v>651</v>
      </c>
      <c r="G43" s="776">
        <v>378</v>
      </c>
      <c r="H43" s="776">
        <v>38</v>
      </c>
      <c r="I43" s="776">
        <v>373</v>
      </c>
      <c r="J43" s="776">
        <v>180</v>
      </c>
      <c r="K43" s="782" t="s">
        <v>235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</row>
    <row r="44" spans="2:29" s="647" customFormat="1" ht="19.899999999999999" thickBot="1">
      <c r="B44" s="783">
        <v>22</v>
      </c>
      <c r="C44" s="784" t="s">
        <v>94</v>
      </c>
      <c r="D44" s="784" t="s">
        <v>67</v>
      </c>
      <c r="E44" s="785">
        <v>24</v>
      </c>
      <c r="F44" s="786">
        <v>1600</v>
      </c>
      <c r="G44" s="787">
        <v>912</v>
      </c>
      <c r="H44" s="787">
        <v>41</v>
      </c>
      <c r="I44" s="787">
        <v>258</v>
      </c>
      <c r="J44" s="787">
        <v>370</v>
      </c>
      <c r="K44" s="788"/>
      <c r="L44" s="646"/>
      <c r="M44" s="646"/>
      <c r="N44" s="646"/>
      <c r="O44" s="646"/>
      <c r="P44" s="646"/>
      <c r="Q44" s="646"/>
      <c r="R44" s="646"/>
      <c r="S44" s="646"/>
      <c r="T44" s="646"/>
      <c r="U44" s="646"/>
      <c r="V44" s="646"/>
      <c r="W44" s="646"/>
      <c r="X44" s="646"/>
      <c r="Y44" s="646"/>
      <c r="Z44" s="646"/>
      <c r="AA44" s="646"/>
      <c r="AB44" s="646"/>
      <c r="AC44" s="646"/>
    </row>
    <row r="45" spans="2:29" ht="19.899999999999999" thickBot="1">
      <c r="B45" s="783">
        <v>23</v>
      </c>
      <c r="C45" s="784" t="s">
        <v>95</v>
      </c>
      <c r="D45" s="784" t="s">
        <v>65</v>
      </c>
      <c r="E45" s="792">
        <v>20</v>
      </c>
      <c r="F45" s="786">
        <v>576</v>
      </c>
      <c r="G45" s="861">
        <v>426</v>
      </c>
      <c r="H45" s="787">
        <v>51</v>
      </c>
      <c r="I45" s="787">
        <v>415</v>
      </c>
      <c r="J45" s="787">
        <v>300</v>
      </c>
      <c r="K45" s="791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</row>
    <row r="46" spans="2:29" ht="19.899999999999999" thickBot="1">
      <c r="B46" s="756">
        <v>24</v>
      </c>
      <c r="C46" s="757" t="s">
        <v>96</v>
      </c>
      <c r="D46" s="757" t="s">
        <v>67</v>
      </c>
      <c r="E46" s="758">
        <v>36</v>
      </c>
      <c r="F46" s="759">
        <v>2120</v>
      </c>
      <c r="G46" s="862">
        <v>954</v>
      </c>
      <c r="H46" s="760">
        <v>53</v>
      </c>
      <c r="I46" s="760">
        <v>450</v>
      </c>
      <c r="J46" s="760">
        <v>400</v>
      </c>
      <c r="K46" s="788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.75" customHeight="1" thickBot="1">
      <c r="B47" s="839"/>
      <c r="C47" s="700"/>
      <c r="D47" s="701"/>
      <c r="E47" s="701"/>
      <c r="F47" s="224">
        <f>SUM(F24:F46)</f>
        <v>29066</v>
      </c>
      <c r="G47" s="224">
        <f>SUM(G23:G46)</f>
        <v>15132</v>
      </c>
      <c r="H47" s="840"/>
      <c r="I47" s="841"/>
      <c r="J47" s="840"/>
      <c r="K47" s="83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" customHeight="1" thickBot="1">
      <c r="B48" s="839"/>
      <c r="C48" s="1343"/>
      <c r="D48" s="1343"/>
      <c r="E48" s="1343"/>
      <c r="F48" s="842"/>
      <c r="G48" s="208">
        <f>ROUNDUP(G47,-1)</f>
        <v>15140</v>
      </c>
      <c r="H48" s="842"/>
      <c r="I48" s="843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8.75" customHeight="1" thickBot="1">
      <c r="B49" s="839"/>
      <c r="C49" s="839"/>
      <c r="D49" s="842"/>
      <c r="E49" s="842"/>
      <c r="F49" s="842"/>
      <c r="G49"/>
      <c r="H49" s="842"/>
      <c r="I49" s="842"/>
      <c r="J49" s="839"/>
      <c r="K49" s="83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5" customHeight="1" thickBot="1">
      <c r="B50" s="844"/>
      <c r="C50" s="844"/>
      <c r="D50" s="844"/>
      <c r="E50" s="844"/>
      <c r="F50" s="844"/>
      <c r="G50" s="844"/>
      <c r="H50" s="844"/>
      <c r="I50" s="844"/>
      <c r="J50" s="844"/>
      <c r="K50" s="845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19.899999999999999" thickBot="1">
      <c r="B51" s="844"/>
      <c r="C51" s="844"/>
      <c r="D51" s="844"/>
      <c r="E51" s="844"/>
      <c r="F51" s="844"/>
      <c r="G51" s="844"/>
      <c r="H51" s="844"/>
      <c r="I51" s="844"/>
      <c r="J51" s="844"/>
      <c r="K51" s="845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19.899999999999999" thickBot="1">
      <c r="B52" s="844"/>
      <c r="C52" s="1252" t="s">
        <v>465</v>
      </c>
      <c r="D52" s="1291"/>
      <c r="E52" s="1291"/>
      <c r="F52" s="1291"/>
      <c r="G52" s="1291"/>
      <c r="H52" s="1291"/>
      <c r="I52" s="1291"/>
      <c r="J52" s="1291"/>
      <c r="K52" s="1292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40.15" thickBot="1">
      <c r="B53" s="179" t="s">
        <v>156</v>
      </c>
      <c r="C53" s="179" t="s">
        <v>31</v>
      </c>
      <c r="D53" s="180" t="s">
        <v>32</v>
      </c>
      <c r="E53" s="180" t="s">
        <v>33</v>
      </c>
      <c r="F53" s="180" t="s">
        <v>34</v>
      </c>
      <c r="G53" s="180" t="s">
        <v>35</v>
      </c>
      <c r="H53" s="180" t="s">
        <v>37</v>
      </c>
      <c r="I53" s="182" t="s">
        <v>38</v>
      </c>
      <c r="J53" s="182" t="s">
        <v>39</v>
      </c>
      <c r="K53" s="183" t="s">
        <v>40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</row>
    <row r="54" spans="2:29" ht="19.899999999999999" thickBot="1">
      <c r="B54" s="210">
        <v>1</v>
      </c>
      <c r="C54" s="216" t="s">
        <v>98</v>
      </c>
      <c r="D54" s="192" t="s">
        <v>99</v>
      </c>
      <c r="E54" s="193">
        <v>36</v>
      </c>
      <c r="F54" s="194">
        <f>((100/(100-H54))*G54)</f>
        <v>2403.2258064516127</v>
      </c>
      <c r="G54" s="194">
        <v>1490</v>
      </c>
      <c r="H54" s="194">
        <v>38</v>
      </c>
      <c r="I54" s="193">
        <v>439</v>
      </c>
      <c r="J54" s="193">
        <v>330</v>
      </c>
      <c r="K54" s="846"/>
      <c r="L54" s="621"/>
      <c r="M54" s="621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8.75" customHeight="1" thickBot="1">
      <c r="B55" s="210">
        <v>2</v>
      </c>
      <c r="C55" s="216" t="s">
        <v>100</v>
      </c>
      <c r="D55" s="192" t="s">
        <v>101</v>
      </c>
      <c r="E55" s="193">
        <v>36</v>
      </c>
      <c r="F55" s="194">
        <v>968</v>
      </c>
      <c r="G55" s="194">
        <v>968</v>
      </c>
      <c r="H55" s="194">
        <v>0</v>
      </c>
      <c r="I55" s="193">
        <v>345</v>
      </c>
      <c r="J55" s="193">
        <v>120</v>
      </c>
      <c r="K55" s="846"/>
      <c r="L55" s="602"/>
      <c r="M55" s="602"/>
      <c r="N55" s="602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 ht="15" customHeight="1" thickBot="1">
      <c r="B56" s="210">
        <v>3</v>
      </c>
      <c r="C56" s="216" t="s">
        <v>104</v>
      </c>
      <c r="D56" s="192" t="s">
        <v>99</v>
      </c>
      <c r="E56" s="193">
        <v>24</v>
      </c>
      <c r="F56" s="194">
        <f>((100/(100-H56))*G56)</f>
        <v>1108.1081081081081</v>
      </c>
      <c r="G56" s="194">
        <v>410</v>
      </c>
      <c r="H56" s="194">
        <v>63</v>
      </c>
      <c r="I56" s="193">
        <v>373</v>
      </c>
      <c r="J56" s="193">
        <v>220</v>
      </c>
      <c r="K56" s="846"/>
      <c r="L56" s="621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 ht="19.899999999999999" thickBot="1">
      <c r="B57" s="210">
        <v>4</v>
      </c>
      <c r="C57" s="216" t="s">
        <v>106</v>
      </c>
      <c r="D57" s="192" t="s">
        <v>103</v>
      </c>
      <c r="E57" s="193">
        <v>28</v>
      </c>
      <c r="F57" s="194">
        <v>778</v>
      </c>
      <c r="G57" s="194">
        <v>630</v>
      </c>
      <c r="H57" s="194">
        <v>19</v>
      </c>
      <c r="I57" s="193">
        <v>959</v>
      </c>
      <c r="J57" s="193">
        <v>370</v>
      </c>
      <c r="K57" s="846"/>
      <c r="L57" s="621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5" customHeight="1" thickBot="1">
      <c r="B58" s="210">
        <v>6</v>
      </c>
      <c r="C58" s="216" t="s">
        <v>109</v>
      </c>
      <c r="D58" s="192" t="s">
        <v>110</v>
      </c>
      <c r="E58" s="193">
        <v>28</v>
      </c>
      <c r="F58" s="194">
        <v>1096</v>
      </c>
      <c r="G58" s="194">
        <v>526</v>
      </c>
      <c r="H58" s="194">
        <v>52</v>
      </c>
      <c r="I58" s="193">
        <v>308</v>
      </c>
      <c r="J58" s="193">
        <v>240</v>
      </c>
      <c r="K58" s="846"/>
      <c r="L58" s="621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 ht="19.899999999999999" thickBot="1">
      <c r="B59" s="210">
        <v>7</v>
      </c>
      <c r="C59" s="216" t="s">
        <v>111</v>
      </c>
      <c r="D59" s="192" t="s">
        <v>99</v>
      </c>
      <c r="E59" s="193">
        <v>36</v>
      </c>
      <c r="F59" s="194">
        <v>2705</v>
      </c>
      <c r="G59" s="194">
        <v>1271</v>
      </c>
      <c r="H59" s="194">
        <v>53</v>
      </c>
      <c r="I59" s="193">
        <v>439</v>
      </c>
      <c r="J59" s="193">
        <v>370</v>
      </c>
      <c r="K59" s="846"/>
      <c r="L59" s="621"/>
      <c r="M59" s="621"/>
      <c r="N59" s="621"/>
      <c r="O59" s="621"/>
      <c r="P59" s="621"/>
      <c r="Q59" s="621"/>
      <c r="R59" s="621"/>
      <c r="S59" s="621"/>
      <c r="T59" s="62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 ht="19.899999999999999" thickBot="1">
      <c r="B60" s="210">
        <v>8</v>
      </c>
      <c r="C60" s="216" t="s">
        <v>112</v>
      </c>
      <c r="D60" s="192" t="s">
        <v>103</v>
      </c>
      <c r="E60" s="193">
        <v>56</v>
      </c>
      <c r="F60" s="194">
        <v>5814</v>
      </c>
      <c r="G60" s="194">
        <v>5814</v>
      </c>
      <c r="H60" s="194">
        <v>0</v>
      </c>
      <c r="I60" s="193">
        <v>439</v>
      </c>
      <c r="J60" s="193">
        <v>602</v>
      </c>
      <c r="K60" s="846"/>
      <c r="L60" s="621"/>
      <c r="M60" s="621"/>
      <c r="N60" s="680"/>
      <c r="O60" s="680"/>
      <c r="P60" s="680"/>
      <c r="Q60" s="680"/>
      <c r="R60" s="680"/>
      <c r="S60" s="680"/>
      <c r="T60" s="680"/>
      <c r="U60" s="680"/>
      <c r="V60" s="680"/>
      <c r="W60" s="680"/>
      <c r="X60" s="680"/>
      <c r="Y60" s="680"/>
      <c r="Z60" s="680"/>
      <c r="AA60" s="680"/>
      <c r="AB60" s="621"/>
      <c r="AC60" s="621"/>
    </row>
    <row r="61" spans="2:29" ht="19.899999999999999" thickBot="1">
      <c r="B61" s="210">
        <v>9</v>
      </c>
      <c r="C61" s="216" t="s">
        <v>113</v>
      </c>
      <c r="D61" s="192" t="s">
        <v>103</v>
      </c>
      <c r="E61" s="193">
        <v>36</v>
      </c>
      <c r="F61" s="194">
        <v>2199</v>
      </c>
      <c r="G61" s="194">
        <v>2001</v>
      </c>
      <c r="H61" s="194">
        <v>9</v>
      </c>
      <c r="I61" s="193">
        <v>346</v>
      </c>
      <c r="J61" s="193">
        <v>440</v>
      </c>
      <c r="K61" s="846"/>
      <c r="L61" s="621"/>
      <c r="M61" s="583"/>
      <c r="N61" s="621"/>
      <c r="O61" s="621"/>
      <c r="P61" s="621"/>
      <c r="Q61" s="621"/>
      <c r="R61" s="621"/>
      <c r="S61" s="621"/>
      <c r="T61" s="621"/>
      <c r="U61" s="621"/>
      <c r="V61" s="621"/>
      <c r="W61" s="621"/>
      <c r="X61" s="621"/>
      <c r="Y61" s="621"/>
      <c r="Z61" s="621"/>
      <c r="AA61" s="583"/>
      <c r="AB61" s="621"/>
      <c r="AC61" s="621"/>
    </row>
    <row r="62" spans="2:29" ht="19.899999999999999" thickBot="1">
      <c r="B62" s="210">
        <v>11</v>
      </c>
      <c r="C62" s="216" t="s">
        <v>114</v>
      </c>
      <c r="D62" s="192" t="s">
        <v>99</v>
      </c>
      <c r="E62" s="193">
        <v>40</v>
      </c>
      <c r="F62" s="194">
        <v>1958</v>
      </c>
      <c r="G62" s="194">
        <v>1155</v>
      </c>
      <c r="H62" s="194">
        <v>41</v>
      </c>
      <c r="I62" s="193">
        <v>396</v>
      </c>
      <c r="J62" s="193">
        <v>300</v>
      </c>
      <c r="K62" s="846"/>
      <c r="L62" s="621"/>
      <c r="M62" s="621"/>
      <c r="N62" s="621"/>
      <c r="O62" s="621"/>
      <c r="P62" s="621"/>
      <c r="Q62" s="621"/>
      <c r="R62" s="621"/>
      <c r="S62" s="621"/>
      <c r="T62" s="621"/>
      <c r="U62" s="621"/>
      <c r="V62" s="621"/>
      <c r="W62" s="621"/>
      <c r="X62" s="621"/>
      <c r="Y62" s="621"/>
      <c r="Z62" s="621"/>
      <c r="AA62" s="621"/>
      <c r="AB62" s="621"/>
      <c r="AC62" s="621"/>
    </row>
    <row r="63" spans="2:29" ht="19.899999999999999" thickBot="1">
      <c r="B63" s="210">
        <v>10</v>
      </c>
      <c r="C63" s="216" t="s">
        <v>115</v>
      </c>
      <c r="D63" s="192" t="s">
        <v>105</v>
      </c>
      <c r="E63" s="193">
        <v>20</v>
      </c>
      <c r="F63" s="194">
        <v>738</v>
      </c>
      <c r="G63" s="194">
        <v>649</v>
      </c>
      <c r="H63" s="194">
        <v>12</v>
      </c>
      <c r="I63" s="193">
        <v>293</v>
      </c>
      <c r="J63" s="193">
        <v>510</v>
      </c>
      <c r="K63" s="846"/>
      <c r="L63" s="621"/>
      <c r="M63" s="621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 ht="19.899999999999999" thickBot="1">
      <c r="B64" s="210">
        <v>12</v>
      </c>
      <c r="C64" s="216" t="s">
        <v>116</v>
      </c>
      <c r="D64" s="192" t="s">
        <v>117</v>
      </c>
      <c r="E64" s="193">
        <v>28</v>
      </c>
      <c r="F64" s="194">
        <v>771</v>
      </c>
      <c r="G64" s="194">
        <v>172</v>
      </c>
      <c r="H64" s="194">
        <v>78</v>
      </c>
      <c r="I64" s="193">
        <v>669</v>
      </c>
      <c r="J64" s="193">
        <v>200</v>
      </c>
      <c r="K64" s="846"/>
      <c r="L64" s="621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 ht="19.899999999999999" thickBot="1">
      <c r="B65" s="210">
        <v>14</v>
      </c>
      <c r="C65" s="216" t="s">
        <v>119</v>
      </c>
      <c r="D65" s="192" t="s">
        <v>103</v>
      </c>
      <c r="E65" s="193">
        <v>28</v>
      </c>
      <c r="F65" s="194">
        <v>628</v>
      </c>
      <c r="G65" s="194">
        <v>308</v>
      </c>
      <c r="H65" s="194">
        <v>51</v>
      </c>
      <c r="I65" s="193">
        <v>340</v>
      </c>
      <c r="J65" s="193">
        <v>120</v>
      </c>
      <c r="K65" s="846"/>
      <c r="L65" s="621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 ht="19.899999999999999" thickBot="1">
      <c r="B66" s="210">
        <v>15</v>
      </c>
      <c r="C66" s="216" t="s">
        <v>120</v>
      </c>
      <c r="D66" s="192" t="s">
        <v>101</v>
      </c>
      <c r="E66" s="193">
        <v>20</v>
      </c>
      <c r="F66" s="194">
        <v>240</v>
      </c>
      <c r="G66" s="194">
        <v>113</v>
      </c>
      <c r="H66" s="194">
        <v>53</v>
      </c>
      <c r="I66" s="193">
        <v>393</v>
      </c>
      <c r="J66" s="193">
        <v>160</v>
      </c>
      <c r="K66" s="846"/>
      <c r="L66" s="621"/>
      <c r="M66" s="621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 ht="19.899999999999999" thickBot="1">
      <c r="B67" s="210">
        <v>16</v>
      </c>
      <c r="C67" s="216" t="s">
        <v>121</v>
      </c>
      <c r="D67" s="192" t="s">
        <v>105</v>
      </c>
      <c r="E67" s="193">
        <v>24</v>
      </c>
      <c r="F67" s="194">
        <v>360</v>
      </c>
      <c r="G67" s="194">
        <v>227</v>
      </c>
      <c r="H67" s="194">
        <v>40</v>
      </c>
      <c r="I67" s="193">
        <v>217</v>
      </c>
      <c r="J67" s="193">
        <v>140</v>
      </c>
      <c r="K67" s="846"/>
      <c r="L67" s="621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 ht="19.899999999999999" thickBot="1">
      <c r="B68" s="263">
        <v>17</v>
      </c>
      <c r="C68" s="253" t="s">
        <v>122</v>
      </c>
      <c r="D68" s="254" t="s">
        <v>110</v>
      </c>
      <c r="E68" s="255">
        <v>24</v>
      </c>
      <c r="F68" s="197">
        <v>908</v>
      </c>
      <c r="G68" s="197">
        <v>835</v>
      </c>
      <c r="H68" s="197">
        <v>8</v>
      </c>
      <c r="I68" s="255">
        <v>332</v>
      </c>
      <c r="J68" s="255">
        <v>570</v>
      </c>
      <c r="K68" s="779"/>
      <c r="L68" s="621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 ht="19.899999999999999" thickBot="1">
      <c r="B69" s="210">
        <v>18</v>
      </c>
      <c r="C69" s="216" t="s">
        <v>123</v>
      </c>
      <c r="D69" s="192" t="s">
        <v>124</v>
      </c>
      <c r="E69" s="193">
        <v>24</v>
      </c>
      <c r="F69" s="194">
        <v>903</v>
      </c>
      <c r="G69" s="194">
        <v>289</v>
      </c>
      <c r="H69" s="194">
        <v>68</v>
      </c>
      <c r="I69" s="193">
        <v>1025</v>
      </c>
      <c r="J69" s="193">
        <v>330</v>
      </c>
      <c r="K69" s="846"/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 ht="15" customHeight="1" thickBot="1">
      <c r="B70" s="222">
        <v>19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7" t="s">
        <v>235</v>
      </c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 ht="19.899999999999999" thickBot="1">
      <c r="B71" s="210">
        <v>20</v>
      </c>
      <c r="C71" s="216" t="s">
        <v>128</v>
      </c>
      <c r="D71" s="192" t="s">
        <v>105</v>
      </c>
      <c r="E71" s="193">
        <v>24</v>
      </c>
      <c r="F71" s="194">
        <v>741</v>
      </c>
      <c r="G71" s="194">
        <v>200</v>
      </c>
      <c r="H71" s="194">
        <v>73</v>
      </c>
      <c r="I71" s="193">
        <v>300</v>
      </c>
      <c r="J71" s="193">
        <v>180</v>
      </c>
      <c r="K71" s="846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16.5" customHeight="1" thickBot="1">
      <c r="B72" s="222">
        <v>21</v>
      </c>
      <c r="C72" s="218" t="s">
        <v>129</v>
      </c>
      <c r="D72" s="219" t="s">
        <v>99</v>
      </c>
      <c r="E72" s="220">
        <v>20</v>
      </c>
      <c r="F72" s="221">
        <v>700</v>
      </c>
      <c r="G72" s="221">
        <v>427</v>
      </c>
      <c r="H72" s="221">
        <v>39</v>
      </c>
      <c r="I72" s="220">
        <v>345</v>
      </c>
      <c r="J72" s="220">
        <v>100</v>
      </c>
      <c r="K72" s="848" t="s">
        <v>68</v>
      </c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 ht="15" customHeight="1" thickBot="1">
      <c r="B73" s="222">
        <v>22</v>
      </c>
      <c r="C73" s="218" t="s">
        <v>130</v>
      </c>
      <c r="D73" s="219" t="s">
        <v>105</v>
      </c>
      <c r="E73" s="220">
        <v>16</v>
      </c>
      <c r="F73" s="221">
        <v>791</v>
      </c>
      <c r="G73" s="220">
        <v>340</v>
      </c>
      <c r="H73" s="221">
        <v>57</v>
      </c>
      <c r="I73" s="220">
        <v>309</v>
      </c>
      <c r="J73" s="220">
        <v>182</v>
      </c>
      <c r="K73" s="848" t="s">
        <v>68</v>
      </c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18" customHeight="1" thickBot="1">
      <c r="B74" s="222">
        <v>23</v>
      </c>
      <c r="C74" s="218" t="s">
        <v>131</v>
      </c>
      <c r="D74" s="219" t="s">
        <v>110</v>
      </c>
      <c r="E74" s="220">
        <v>24</v>
      </c>
      <c r="F74" s="221">
        <v>878</v>
      </c>
      <c r="G74" s="220">
        <v>430</v>
      </c>
      <c r="H74" s="221">
        <v>51</v>
      </c>
      <c r="I74" s="220">
        <v>486</v>
      </c>
      <c r="J74" s="220">
        <v>377</v>
      </c>
      <c r="K74" s="848" t="s">
        <v>68</v>
      </c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27" thickBot="1">
      <c r="B75" s="210">
        <v>24</v>
      </c>
      <c r="C75" s="216" t="s">
        <v>132</v>
      </c>
      <c r="D75" s="192" t="s">
        <v>133</v>
      </c>
      <c r="E75" s="193">
        <v>24</v>
      </c>
      <c r="F75" s="194">
        <v>595</v>
      </c>
      <c r="G75" s="194">
        <v>304</v>
      </c>
      <c r="H75" s="194">
        <v>49</v>
      </c>
      <c r="I75" s="193">
        <v>333</v>
      </c>
      <c r="J75" s="193">
        <v>170</v>
      </c>
      <c r="K75" s="846"/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1" customHeight="1" thickBot="1">
      <c r="B76" s="210">
        <v>25</v>
      </c>
      <c r="C76" s="216" t="s">
        <v>134</v>
      </c>
      <c r="D76" s="192" t="s">
        <v>135</v>
      </c>
      <c r="E76" s="193">
        <v>20</v>
      </c>
      <c r="F76" s="194">
        <v>475</v>
      </c>
      <c r="G76" s="194">
        <v>190</v>
      </c>
      <c r="H76" s="194">
        <v>60</v>
      </c>
      <c r="I76" s="193">
        <v>1836</v>
      </c>
      <c r="J76" s="193">
        <v>563</v>
      </c>
      <c r="K76" s="848"/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18.75" customHeight="1" thickBot="1">
      <c r="B77" s="222">
        <v>26</v>
      </c>
      <c r="C77" s="218" t="s">
        <v>136</v>
      </c>
      <c r="D77" s="219" t="s">
        <v>105</v>
      </c>
      <c r="E77" s="220">
        <v>40</v>
      </c>
      <c r="F77" s="221">
        <v>2922</v>
      </c>
      <c r="G77" s="221">
        <v>1169</v>
      </c>
      <c r="H77" s="221">
        <v>60</v>
      </c>
      <c r="I77" s="221">
        <v>319</v>
      </c>
      <c r="J77" s="221">
        <v>310</v>
      </c>
      <c r="K77" s="847" t="s">
        <v>235</v>
      </c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21" customHeight="1" thickBot="1">
      <c r="B78" s="222">
        <v>27</v>
      </c>
      <c r="C78" s="218" t="s">
        <v>137</v>
      </c>
      <c r="D78" s="219" t="s">
        <v>110</v>
      </c>
      <c r="E78" s="220">
        <v>40</v>
      </c>
      <c r="F78" s="849">
        <v>2222</v>
      </c>
      <c r="G78" s="849">
        <v>822</v>
      </c>
      <c r="H78" s="221">
        <v>63</v>
      </c>
      <c r="I78" s="220">
        <v>348</v>
      </c>
      <c r="J78" s="220">
        <v>260</v>
      </c>
      <c r="K78" s="847" t="s">
        <v>235</v>
      </c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.75" customHeight="1" thickBot="1">
      <c r="B79"/>
      <c r="C79" s="1344"/>
      <c r="D79" s="1344"/>
      <c r="E79" s="1344"/>
      <c r="F79" s="850">
        <f>SUM(F54:F78)</f>
        <v>35984.33391455972</v>
      </c>
      <c r="G79" s="851">
        <f>SUM(G54:G78)</f>
        <v>21634</v>
      </c>
      <c r="H79" s="225"/>
      <c r="I79" s="408"/>
      <c r="J79" s="225"/>
      <c r="K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</row>
    <row r="80" spans="2:29" ht="21" customHeight="1" thickBot="1">
      <c r="B80"/>
      <c r="C80"/>
      <c r="D80"/>
      <c r="E80"/>
      <c r="F80" s="1"/>
      <c r="G80" s="852">
        <f>ROUNDUP(G79,-1)</f>
        <v>21640</v>
      </c>
      <c r="H80" s="1"/>
      <c r="I80"/>
      <c r="J80" s="225"/>
      <c r="K80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 thickBot="1">
      <c r="B81"/>
      <c r="C81"/>
      <c r="D81" s="1"/>
      <c r="E81" s="1"/>
      <c r="F81" s="1"/>
      <c r="G81" s="1"/>
      <c r="H81" s="1"/>
      <c r="I81" s="1"/>
      <c r="J81" s="1"/>
      <c r="K81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18.95" customHeight="1" thickBot="1">
      <c r="B82"/>
      <c r="C82" s="1252" t="s">
        <v>420</v>
      </c>
      <c r="D82" s="1291"/>
      <c r="E82" s="1291"/>
      <c r="F82" s="1291"/>
      <c r="G82" s="1291"/>
      <c r="H82" s="1291"/>
      <c r="I82" s="1291"/>
      <c r="J82" s="1291"/>
      <c r="K82" s="1292"/>
      <c r="L82" s="579"/>
      <c r="M82" s="579"/>
      <c r="N82" s="660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40.15" thickBot="1">
      <c r="B83" s="179" t="s">
        <v>156</v>
      </c>
      <c r="C83" s="803" t="s">
        <v>31</v>
      </c>
      <c r="D83" s="804" t="s">
        <v>32</v>
      </c>
      <c r="E83" s="804" t="s">
        <v>33</v>
      </c>
      <c r="F83" s="795" t="s">
        <v>34</v>
      </c>
      <c r="G83" s="795" t="s">
        <v>35</v>
      </c>
      <c r="H83" s="804" t="s">
        <v>37</v>
      </c>
      <c r="I83" s="806" t="s">
        <v>38</v>
      </c>
      <c r="J83" s="806" t="s">
        <v>39</v>
      </c>
      <c r="K83" s="226" t="s">
        <v>40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19.899999999999999" thickBot="1">
      <c r="B84" s="766">
        <v>1</v>
      </c>
      <c r="C84" s="767" t="s">
        <v>139</v>
      </c>
      <c r="D84" s="768" t="s">
        <v>140</v>
      </c>
      <c r="E84" s="769">
        <v>20</v>
      </c>
      <c r="F84" s="770">
        <v>550</v>
      </c>
      <c r="G84" s="770">
        <v>137.5</v>
      </c>
      <c r="H84" s="769">
        <v>75</v>
      </c>
      <c r="I84" s="771">
        <v>335</v>
      </c>
      <c r="J84" s="769">
        <v>420</v>
      </c>
      <c r="K84" s="294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19.899999999999999" thickBot="1">
      <c r="B85" s="853">
        <v>2</v>
      </c>
      <c r="C85" s="229" t="s">
        <v>142</v>
      </c>
      <c r="D85" s="230" t="s">
        <v>143</v>
      </c>
      <c r="E85" s="193">
        <v>24</v>
      </c>
      <c r="F85" s="188">
        <v>555</v>
      </c>
      <c r="G85" s="188">
        <v>540</v>
      </c>
      <c r="H85" s="193">
        <v>3.5</v>
      </c>
      <c r="I85" s="432">
        <v>400</v>
      </c>
      <c r="J85" s="187">
        <v>315</v>
      </c>
      <c r="K85" s="238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 ht="19.899999999999999" thickBot="1">
      <c r="B86" s="853">
        <v>3</v>
      </c>
      <c r="C86" s="229" t="s">
        <v>144</v>
      </c>
      <c r="D86" s="230" t="s">
        <v>140</v>
      </c>
      <c r="E86" s="193">
        <v>32</v>
      </c>
      <c r="F86" s="194">
        <v>1561</v>
      </c>
      <c r="G86" s="194">
        <v>1153</v>
      </c>
      <c r="H86" s="193">
        <v>27</v>
      </c>
      <c r="I86" s="432">
        <v>841</v>
      </c>
      <c r="J86" s="187">
        <v>770</v>
      </c>
      <c r="K86" s="238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 ht="19.899999999999999" thickBot="1">
      <c r="B87" s="702">
        <v>4</v>
      </c>
      <c r="C87" s="703" t="s">
        <v>145</v>
      </c>
      <c r="D87" s="704" t="s">
        <v>146</v>
      </c>
      <c r="E87" s="705">
        <v>36</v>
      </c>
      <c r="F87" s="706">
        <v>2142</v>
      </c>
      <c r="G87" s="706">
        <v>1935</v>
      </c>
      <c r="H87" s="407">
        <v>6.5</v>
      </c>
      <c r="I87" s="707">
        <v>377</v>
      </c>
      <c r="J87" s="708">
        <v>500</v>
      </c>
      <c r="K87" s="203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 ht="19.899999999999999" thickBot="1">
      <c r="B88"/>
      <c r="C88" s="204"/>
      <c r="D88" s="205"/>
      <c r="E88" s="205"/>
      <c r="F88" s="850">
        <v>4893.8756749777749</v>
      </c>
      <c r="G88" s="851">
        <f>SUM(G84:G87)</f>
        <v>3765.5</v>
      </c>
      <c r="H88" s="207"/>
      <c r="I88" s="207"/>
      <c r="J88" s="207"/>
      <c r="K88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 ht="19.5" customHeight="1" thickBot="1">
      <c r="B89"/>
      <c r="C89" s="1342"/>
      <c r="D89" s="1342"/>
      <c r="E89" s="1342"/>
      <c r="F89" s="1"/>
      <c r="G89" s="852">
        <f>ROUNDUP(G88,-1)</f>
        <v>3770</v>
      </c>
      <c r="H89" s="1"/>
      <c r="I89"/>
      <c r="J89" s="1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 thickBot="1">
      <c r="B90" s="579"/>
      <c r="C90" s="579"/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899999999999999" thickBo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 ht="19.899999999999999" thickBot="1">
      <c r="B92" s="579"/>
      <c r="C92" s="579"/>
      <c r="D92" s="579"/>
      <c r="E92" s="579"/>
      <c r="F92" s="579">
        <v>22000</v>
      </c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 ht="19.899999999999999" thickBot="1">
      <c r="B93" s="579"/>
      <c r="C93" s="579"/>
      <c r="D93" s="579"/>
      <c r="E93" s="579"/>
      <c r="F93" s="579">
        <v>15000</v>
      </c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 ht="19.899999999999999" thickBot="1">
      <c r="B94" s="579"/>
      <c r="C94" s="579"/>
      <c r="D94" s="579"/>
      <c r="E94" s="579"/>
      <c r="F94" s="579">
        <v>3400</v>
      </c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 ht="19.899999999999999" thickBot="1">
      <c r="B95" s="579"/>
      <c r="C95" s="579"/>
      <c r="D95" s="579"/>
      <c r="E95" s="579"/>
      <c r="F95" s="579"/>
      <c r="G95" s="660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 ht="19.899999999999999" thickBot="1">
      <c r="B96" s="579"/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 ht="19.899999999999999" thickBot="1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 ht="19.899999999999999" thickBot="1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 ht="19.899999999999999" thickBot="1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 ht="19.899999999999999" thickBot="1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 ht="19.899999999999999" thickBot="1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 ht="19.899999999999999" thickBot="1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 ht="19.899999999999999" thickBot="1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 ht="19.899999999999999" thickBot="1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 ht="19.899999999999999" thickBot="1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 ht="19.899999999999999" thickBot="1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 ht="19.899999999999999" thickBot="1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 ht="19.899999999999999" thickBot="1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 ht="19.899999999999999" thickBot="1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 ht="19.899999999999999" thickBot="1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 ht="19.899999999999999" thickBot="1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 ht="19.899999999999999" thickBot="1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 ht="19.899999999999999" thickBot="1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 ht="19.899999999999999" thickBot="1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 ht="19.899999999999999" thickBot="1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 ht="19.899999999999999" thickBot="1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 ht="19.899999999999999" thickBot="1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 ht="19.899999999999999" thickBot="1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 ht="19.899999999999999" thickBot="1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 ht="19.899999999999999" thickBot="1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 ht="19.899999999999999" thickBot="1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 ht="19.899999999999999" thickBot="1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 ht="19.899999999999999" thickBot="1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 ht="19.899999999999999" thickBot="1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 ht="19.899999999999999" thickBot="1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 ht="19.899999999999999" thickBot="1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 ht="19.899999999999999" thickBot="1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 ht="19.899999999999999" thickBot="1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 ht="19.899999999999999" thickBot="1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 ht="19.899999999999999" thickBot="1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 ht="19.899999999999999" thickBot="1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 ht="19.899999999999999" thickBot="1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 ht="19.899999999999999" thickBot="1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 ht="19.899999999999999" thickBot="1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 ht="19.899999999999999" thickBot="1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 ht="19.899999999999999" thickBot="1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 ht="19.899999999999999" thickBot="1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 ht="19.899999999999999" thickBot="1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 ht="19.899999999999999" thickBot="1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 ht="19.899999999999999" thickBot="1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 ht="19.899999999999999" thickBot="1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 ht="19.899999999999999" thickBot="1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 ht="19.899999999999999" thickBot="1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 ht="19.899999999999999" thickBot="1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 ht="19.899999999999999" thickBot="1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 ht="19.899999999999999" thickBot="1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 ht="19.899999999999999" thickBot="1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 ht="19.899999999999999" thickBot="1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 ht="19.899999999999999" thickBot="1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 ht="19.899999999999999" thickBot="1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 ht="19.899999999999999" thickBot="1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 ht="19.899999999999999" thickBot="1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 ht="19.899999999999999" thickBot="1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 ht="19.899999999999999" thickBot="1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 ht="19.899999999999999" thickBot="1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 ht="19.899999999999999" thickBot="1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 ht="19.899999999999999" thickBot="1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 ht="19.899999999999999" thickBot="1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 ht="19.899999999999999" thickBot="1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 ht="19.899999999999999" thickBot="1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 ht="19.899999999999999" thickBot="1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 ht="19.899999999999999" thickBot="1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 ht="19.899999999999999" thickBot="1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 ht="19.899999999999999" thickBot="1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 ht="19.899999999999999" thickBot="1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 ht="19.899999999999999" thickBot="1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 ht="19.899999999999999" thickBot="1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 ht="19.899999999999999" thickBot="1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 ht="19.899999999999999" thickBot="1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 ht="19.899999999999999" thickBot="1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 ht="19.899999999999999" thickBot="1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 ht="19.899999999999999" thickBot="1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 ht="19.899999999999999" thickBot="1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 ht="19.899999999999999" thickBot="1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 ht="19.899999999999999" thickBot="1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 ht="19.899999999999999" thickBot="1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 ht="19.899999999999999" thickBot="1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 ht="19.899999999999999" thickBot="1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 ht="19.899999999999999" thickBot="1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 ht="19.899999999999999" thickBot="1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 ht="19.899999999999999" thickBot="1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 ht="19.899999999999999" thickBot="1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 ht="19.899999999999999" thickBot="1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 ht="19.899999999999999" thickBot="1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 ht="19.899999999999999" thickBot="1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 ht="19.899999999999999" thickBot="1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 ht="19.899999999999999" thickBot="1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 ht="19.899999999999999" thickBot="1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 ht="19.899999999999999" thickBot="1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 ht="19.899999999999999" thickBot="1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 ht="19.899999999999999" thickBot="1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 ht="19.899999999999999" thickBot="1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 ht="19.899999999999999" thickBot="1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 ht="19.899999999999999" thickBot="1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 ht="19.899999999999999" thickBot="1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 ht="19.899999999999999" thickBot="1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 ht="19.899999999999999" thickBot="1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 ht="19.899999999999999" thickBot="1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 ht="19.899999999999999" thickBot="1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 ht="19.899999999999999" thickBot="1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 ht="19.899999999999999" thickBot="1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 ht="19.899999999999999" thickBot="1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 ht="19.899999999999999" thickBot="1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 ht="19.899999999999999" thickBot="1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 ht="19.899999999999999" thickBot="1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 ht="19.899999999999999" thickBot="1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 ht="19.899999999999999" thickBot="1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 ht="19.899999999999999" thickBot="1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 ht="19.899999999999999" thickBot="1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 ht="19.899999999999999" thickBot="1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 ht="19.899999999999999" thickBot="1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 ht="19.899999999999999" thickBot="1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 ht="19.899999999999999" thickBot="1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 ht="19.899999999999999" thickBot="1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 ht="19.899999999999999" thickBot="1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 ht="19.899999999999999" thickBot="1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 ht="19.899999999999999" thickBot="1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 ht="19.899999999999999" thickBot="1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 ht="19.899999999999999" thickBot="1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 ht="19.899999999999999" thickBot="1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 ht="19.899999999999999" thickBot="1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 ht="19.899999999999999" thickBot="1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 ht="19.899999999999999" thickBot="1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 ht="19.899999999999999" thickBot="1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 ht="19.899999999999999" thickBot="1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 ht="19.899999999999999" thickBot="1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 ht="19.899999999999999" thickBot="1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 ht="19.899999999999999" thickBot="1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 ht="19.899999999999999" thickBot="1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 ht="19.899999999999999" thickBot="1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 ht="19.899999999999999" thickBot="1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 ht="19.899999999999999" thickBot="1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 ht="19.899999999999999" thickBot="1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 ht="19.899999999999999" thickBot="1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 ht="19.899999999999999" thickBot="1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 ht="19.899999999999999" thickBot="1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 ht="19.899999999999999" thickBot="1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 ht="19.899999999999999" thickBot="1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 ht="19.899999999999999" thickBot="1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 ht="19.899999999999999" thickBot="1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 ht="19.899999999999999" thickBot="1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 ht="19.899999999999999" thickBot="1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 ht="19.899999999999999" thickBot="1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 ht="19.899999999999999" thickBot="1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 ht="19.899999999999999" thickBot="1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 ht="19.899999999999999" thickBot="1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 ht="19.899999999999999" thickBot="1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 ht="19.899999999999999" thickBot="1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 ht="19.899999999999999" thickBot="1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 ht="19.899999999999999" thickBot="1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 ht="19.899999999999999" thickBot="1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 ht="19.899999999999999" thickBot="1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 ht="19.899999999999999" thickBot="1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 ht="19.899999999999999" thickBot="1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 ht="19.899999999999999" thickBot="1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 ht="19.899999999999999" thickBot="1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 ht="19.899999999999999" thickBot="1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 ht="19.899999999999999" thickBot="1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 ht="19.899999999999999" thickBot="1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 ht="19.899999999999999" thickBot="1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 ht="19.899999999999999" thickBot="1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 ht="19.899999999999999" thickBot="1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 ht="19.899999999999999" thickBot="1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 ht="19.899999999999999" thickBot="1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 ht="19.899999999999999" thickBot="1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 ht="19.899999999999999" thickBot="1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 ht="19.899999999999999" thickBot="1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 ht="19.899999999999999" thickBot="1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 ht="19.899999999999999" thickBot="1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 ht="19.899999999999999" thickBot="1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 ht="19.899999999999999" thickBot="1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 ht="19.899999999999999" thickBot="1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 ht="19.899999999999999" thickBot="1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 ht="19.899999999999999" thickBot="1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 ht="19.899999999999999" thickBot="1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 ht="19.899999999999999" thickBot="1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 ht="19.899999999999999" thickBot="1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 ht="19.899999999999999" thickBot="1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 ht="19.899999999999999" thickBot="1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 ht="19.899999999999999" thickBot="1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 ht="19.899999999999999" thickBot="1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 ht="19.899999999999999" thickBot="1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 ht="19.899999999999999" thickBot="1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 ht="19.899999999999999" thickBot="1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 ht="19.899999999999999" thickBot="1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 ht="19.899999999999999" thickBot="1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 ht="19.899999999999999" thickBot="1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 ht="19.899999999999999" thickBot="1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 ht="19.899999999999999" thickBot="1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 ht="19.899999999999999" thickBot="1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 ht="19.899999999999999" thickBot="1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 ht="19.899999999999999" thickBot="1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 ht="19.899999999999999" thickBot="1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 ht="19.899999999999999" thickBot="1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 ht="19.899999999999999" thickBot="1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 ht="19.899999999999999" thickBot="1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 ht="19.899999999999999" thickBot="1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 ht="19.899999999999999" thickBot="1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 ht="19.899999999999999" thickBot="1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 ht="19.899999999999999" thickBot="1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 ht="19.899999999999999" thickBot="1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 ht="19.899999999999999" thickBot="1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 ht="19.899999999999999" thickBot="1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 ht="19.899999999999999" thickBot="1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 ht="19.899999999999999" thickBot="1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 ht="19.899999999999999" thickBot="1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 ht="19.899999999999999" thickBot="1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 ht="19.899999999999999" thickBot="1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 ht="19.899999999999999" thickBot="1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 ht="19.899999999999999" thickBot="1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 ht="19.899999999999999" thickBot="1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 ht="19.899999999999999" thickBot="1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 ht="19.899999999999999" thickBot="1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 ht="19.899999999999999" thickBot="1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 ht="19.899999999999999" thickBot="1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 ht="19.899999999999999" thickBot="1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 ht="19.899999999999999" thickBot="1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 ht="19.899999999999999" thickBot="1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 ht="19.899999999999999" thickBot="1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 ht="19.899999999999999" thickBot="1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 ht="19.899999999999999" thickBot="1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 ht="19.899999999999999" thickBot="1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 ht="19.899999999999999" thickBot="1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 ht="19.899999999999999" thickBot="1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 ht="19.899999999999999" thickBot="1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 ht="19.899999999999999" thickBot="1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 ht="19.899999999999999" thickBot="1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 ht="19.899999999999999" thickBot="1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 ht="19.899999999999999" thickBot="1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 ht="19.899999999999999" thickBot="1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 ht="19.899999999999999" thickBot="1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 ht="19.899999999999999" thickBot="1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 ht="19.899999999999999" thickBot="1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 ht="19.899999999999999" thickBot="1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 ht="19.899999999999999" thickBot="1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 ht="19.899999999999999" thickBot="1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 ht="19.899999999999999" thickBot="1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 ht="19.899999999999999" thickBot="1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 ht="19.899999999999999" thickBot="1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 ht="19.899999999999999" thickBot="1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 ht="19.899999999999999" thickBot="1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 ht="19.899999999999999" thickBot="1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 ht="19.899999999999999" thickBot="1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 ht="19.899999999999999" thickBot="1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 ht="19.899999999999999" thickBot="1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 ht="19.899999999999999" thickBot="1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 ht="19.899999999999999" thickBot="1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 ht="19.899999999999999" thickBot="1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 ht="19.899999999999999" thickBot="1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 ht="19.899999999999999" thickBot="1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 ht="19.899999999999999" thickBot="1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 ht="19.899999999999999" thickBot="1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 ht="19.899999999999999" thickBot="1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 ht="19.899999999999999" thickBot="1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 ht="19.899999999999999" thickBot="1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 ht="19.899999999999999" thickBot="1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 ht="19.899999999999999" thickBot="1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 ht="19.899999999999999" thickBot="1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 ht="19.899999999999999" thickBot="1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 ht="19.899999999999999" thickBot="1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 ht="19.899999999999999" thickBot="1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 ht="19.899999999999999" thickBot="1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 ht="19.899999999999999" thickBot="1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 ht="19.899999999999999" thickBot="1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 ht="19.899999999999999" thickBot="1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 ht="19.899999999999999" thickBot="1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 ht="19.899999999999999" thickBot="1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 ht="19.899999999999999" thickBot="1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 ht="19.899999999999999" thickBot="1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 ht="19.899999999999999" thickBot="1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 ht="19.899999999999999" thickBot="1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 ht="19.899999999999999" thickBot="1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 ht="19.899999999999999" thickBot="1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 ht="19.899999999999999" thickBot="1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 ht="19.899999999999999" thickBot="1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 ht="19.899999999999999" thickBot="1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 ht="19.899999999999999" thickBot="1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 ht="19.899999999999999" thickBot="1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 ht="19.899999999999999" thickBot="1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 ht="19.899999999999999" thickBot="1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 ht="19.899999999999999" thickBot="1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 ht="19.899999999999999" thickBot="1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 ht="19.899999999999999" thickBot="1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 ht="19.899999999999999" thickBot="1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 ht="19.899999999999999" thickBot="1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 ht="19.899999999999999" thickBot="1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 ht="19.899999999999999" thickBot="1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 ht="19.899999999999999" thickBot="1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 ht="19.899999999999999" thickBot="1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 ht="19.899999999999999" thickBot="1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 ht="19.899999999999999" thickBot="1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 ht="19.899999999999999" thickBot="1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 ht="19.899999999999999" thickBot="1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 ht="19.899999999999999" thickBot="1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 ht="19.899999999999999" thickBot="1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 ht="19.899999999999999" thickBot="1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 ht="19.899999999999999" thickBot="1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 ht="19.899999999999999" thickBot="1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 ht="19.899999999999999" thickBot="1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 ht="19.899999999999999" thickBot="1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 ht="19.899999999999999" thickBot="1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 ht="19.899999999999999" thickBot="1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 ht="19.899999999999999" thickBot="1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 ht="19.899999999999999" thickBot="1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 ht="19.899999999999999" thickBot="1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 ht="19.899999999999999" thickBot="1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 ht="19.899999999999999" thickBot="1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 ht="19.899999999999999" thickBot="1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 ht="19.899999999999999" thickBot="1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 ht="19.899999999999999" thickBot="1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 ht="19.899999999999999" thickBot="1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 ht="19.899999999999999" thickBot="1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 ht="19.899999999999999" thickBot="1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 ht="19.899999999999999" thickBot="1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 ht="19.899999999999999" thickBot="1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 ht="19.899999999999999" thickBot="1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 ht="19.899999999999999" thickBot="1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 ht="19.899999999999999" thickBot="1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 ht="19.899999999999999" thickBot="1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 ht="19.899999999999999" thickBot="1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 ht="19.899999999999999" thickBot="1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 ht="19.899999999999999" thickBot="1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 ht="19.899999999999999" thickBot="1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 ht="19.899999999999999" thickBot="1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 ht="19.899999999999999" thickBot="1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 ht="19.899999999999999" thickBot="1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 ht="19.899999999999999" thickBot="1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 ht="19.899999999999999" thickBot="1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 ht="19.899999999999999" thickBot="1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 ht="19.899999999999999" thickBot="1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 ht="19.899999999999999" thickBot="1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 ht="19.899999999999999" thickBot="1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 ht="19.899999999999999" thickBot="1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 ht="19.899999999999999" thickBot="1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 ht="19.899999999999999" thickBot="1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 ht="19.899999999999999" thickBot="1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 ht="19.899999999999999" thickBot="1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 ht="19.899999999999999" thickBot="1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 ht="19.899999999999999" thickBot="1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 ht="19.899999999999999" thickBot="1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 ht="19.899999999999999" thickBot="1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 ht="19.899999999999999" thickBot="1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 ht="19.899999999999999" thickBot="1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 ht="19.899999999999999" thickBot="1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 ht="19.899999999999999" thickBot="1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 ht="19.899999999999999" thickBot="1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 ht="19.899999999999999" thickBot="1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 ht="19.899999999999999" thickBot="1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 ht="19.899999999999999" thickBot="1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 ht="19.899999999999999" thickBot="1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 ht="19.899999999999999" thickBot="1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 ht="19.899999999999999" thickBot="1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 ht="19.899999999999999" thickBot="1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 ht="19.899999999999999" thickBot="1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 ht="19.899999999999999" thickBot="1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 ht="19.899999999999999" thickBot="1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 ht="19.899999999999999" thickBot="1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 ht="19.899999999999999" thickBot="1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 ht="19.899999999999999" thickBot="1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 ht="19.899999999999999" thickBot="1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 ht="19.899999999999999" thickBot="1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 ht="19.899999999999999" thickBot="1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 ht="19.899999999999999" thickBot="1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 ht="19.899999999999999" thickBot="1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 ht="19.899999999999999" thickBot="1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 ht="19.899999999999999" thickBot="1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 ht="19.899999999999999" thickBot="1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 ht="19.899999999999999" thickBot="1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 ht="19.899999999999999" thickBot="1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 ht="19.899999999999999" thickBot="1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 ht="19.899999999999999" thickBot="1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 ht="19.899999999999999" thickBot="1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 ht="19.899999999999999" thickBot="1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 ht="19.899999999999999" thickBot="1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 ht="19.899999999999999" thickBot="1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 ht="19.899999999999999" thickBot="1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 ht="19.899999999999999" thickBot="1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 ht="19.899999999999999" thickBot="1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 ht="19.899999999999999" thickBot="1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 ht="19.899999999999999" thickBot="1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 ht="19.899999999999999" thickBot="1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 ht="19.899999999999999" thickBot="1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 ht="19.899999999999999" thickBot="1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 ht="19.899999999999999" thickBot="1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 ht="19.899999999999999" thickBot="1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 ht="19.899999999999999" thickBot="1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 ht="19.899999999999999" thickBot="1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 ht="19.899999999999999" thickBot="1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 ht="19.899999999999999" thickBot="1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 ht="19.899999999999999" thickBot="1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 ht="19.899999999999999" thickBot="1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 ht="19.899999999999999" thickBot="1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 ht="19.899999999999999" thickBot="1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 ht="19.899999999999999" thickBot="1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 ht="19.899999999999999" thickBot="1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 ht="19.899999999999999" thickBot="1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 ht="19.899999999999999" thickBot="1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 ht="19.899999999999999" thickBot="1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 ht="19.899999999999999" thickBot="1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 ht="19.899999999999999" thickBot="1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 ht="19.899999999999999" thickBot="1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 ht="19.899999999999999" thickBot="1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 ht="19.899999999999999" thickBot="1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 ht="19.899999999999999" thickBot="1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 ht="19.899999999999999" thickBot="1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 ht="19.899999999999999" thickBot="1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 ht="19.899999999999999" thickBot="1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 ht="19.899999999999999" thickBot="1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 ht="19.899999999999999" thickBot="1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 ht="19.899999999999999" thickBot="1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 ht="19.899999999999999" thickBot="1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 ht="19.899999999999999" thickBot="1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 ht="19.899999999999999" thickBot="1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 ht="19.899999999999999" thickBot="1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 ht="19.899999999999999" thickBot="1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 ht="19.899999999999999" thickBot="1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 ht="19.899999999999999" thickBot="1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 ht="19.899999999999999" thickBot="1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 ht="19.899999999999999" thickBot="1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 ht="19.899999999999999" thickBot="1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 ht="19.899999999999999" thickBot="1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 ht="19.899999999999999" thickBot="1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 ht="19.899999999999999" thickBot="1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 ht="19.899999999999999" thickBot="1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 ht="19.899999999999999" thickBot="1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 ht="19.899999999999999" thickBot="1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 ht="19.899999999999999" thickBot="1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 ht="19.899999999999999" thickBot="1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 ht="19.899999999999999" thickBot="1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 ht="19.899999999999999" thickBot="1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 ht="19.899999999999999" thickBot="1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 ht="19.899999999999999" thickBot="1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 ht="19.899999999999999" thickBot="1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 ht="19.899999999999999" thickBot="1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 ht="19.899999999999999" thickBot="1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 ht="19.899999999999999" thickBot="1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 ht="19.899999999999999" thickBot="1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 ht="19.899999999999999" thickBot="1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 ht="19.899999999999999" thickBot="1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 ht="19.899999999999999" thickBot="1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 ht="19.899999999999999" thickBot="1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 ht="19.899999999999999" thickBot="1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 ht="19.899999999999999" thickBot="1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 ht="19.899999999999999" thickBot="1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 ht="19.899999999999999" thickBot="1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 ht="19.899999999999999" thickBot="1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 ht="19.899999999999999" thickBot="1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 ht="19.899999999999999" thickBot="1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 ht="19.899999999999999" thickBot="1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 ht="19.899999999999999" thickBot="1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 ht="19.899999999999999" thickBot="1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 ht="19.899999999999999" thickBot="1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 ht="19.899999999999999" thickBot="1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 ht="19.899999999999999" thickBot="1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 ht="19.899999999999999" thickBot="1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 ht="19.899999999999999" thickBot="1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 ht="19.899999999999999" thickBot="1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 ht="19.899999999999999" thickBot="1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 ht="19.899999999999999" thickBot="1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 ht="19.899999999999999" thickBot="1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 ht="19.899999999999999" thickBot="1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 ht="19.899999999999999" thickBot="1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 ht="19.899999999999999" thickBot="1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 ht="19.899999999999999" thickBot="1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 ht="19.899999999999999" thickBot="1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 ht="19.899999999999999" thickBot="1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 ht="19.899999999999999" thickBot="1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 ht="19.899999999999999" thickBot="1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 ht="19.899999999999999" thickBot="1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 ht="19.899999999999999" thickBot="1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 ht="19.899999999999999" thickBot="1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 ht="19.899999999999999" thickBot="1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 ht="19.899999999999999" thickBot="1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 ht="19.899999999999999" thickBot="1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 ht="19.899999999999999" thickBot="1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 ht="19.899999999999999" thickBot="1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 ht="19.899999999999999" thickBot="1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 ht="19.899999999999999" thickBot="1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 ht="19.899999999999999" thickBot="1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 ht="19.899999999999999" thickBot="1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 ht="19.899999999999999" thickBot="1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 ht="19.899999999999999" thickBot="1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 ht="19.899999999999999" thickBot="1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 ht="19.899999999999999" thickBot="1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 ht="19.899999999999999" thickBot="1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 ht="19.899999999999999" thickBot="1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 ht="19.899999999999999" thickBot="1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 ht="19.899999999999999" thickBot="1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 ht="19.899999999999999" thickBot="1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 ht="19.899999999999999" thickBot="1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 ht="19.899999999999999" thickBot="1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 ht="19.899999999999999" thickBot="1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 ht="19.899999999999999" thickBot="1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 ht="19.899999999999999" thickBot="1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 ht="19.899999999999999" thickBot="1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 ht="19.899999999999999" thickBot="1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 ht="19.899999999999999" thickBot="1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 ht="19.899999999999999" thickBot="1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 ht="19.899999999999999" thickBot="1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 ht="19.899999999999999" thickBot="1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 ht="19.899999999999999" thickBot="1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 ht="19.899999999999999" thickBot="1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 ht="19.899999999999999" thickBot="1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 ht="19.899999999999999" thickBot="1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 ht="19.899999999999999" thickBot="1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 ht="19.899999999999999" thickBot="1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 ht="19.899999999999999" thickBot="1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 ht="19.899999999999999" thickBot="1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 ht="19.899999999999999" thickBot="1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 ht="19.899999999999999" thickBot="1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 ht="19.899999999999999" thickBot="1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 ht="19.899999999999999" thickBot="1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 ht="19.899999999999999" thickBot="1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 ht="19.899999999999999" thickBot="1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 ht="19.899999999999999" thickBot="1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 ht="19.899999999999999" thickBot="1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 ht="19.899999999999999" thickBot="1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 ht="19.899999999999999" thickBot="1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 ht="19.899999999999999" thickBot="1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 ht="19.899999999999999" thickBot="1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 ht="19.899999999999999" thickBot="1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 ht="19.899999999999999" thickBot="1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 ht="19.899999999999999" thickBot="1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 ht="19.899999999999999" thickBot="1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 ht="19.899999999999999" thickBot="1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 ht="19.899999999999999" thickBot="1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 ht="19.899999999999999" thickBot="1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 ht="19.899999999999999" thickBot="1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 ht="19.899999999999999" thickBot="1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 ht="19.899999999999999" thickBot="1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 ht="19.899999999999999" thickBot="1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 ht="19.899999999999999" thickBot="1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 ht="19.899999999999999" thickBot="1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 ht="19.899999999999999" thickBot="1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 ht="19.899999999999999" thickBot="1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 ht="19.899999999999999" thickBot="1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 ht="19.899999999999999" thickBot="1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 ht="19.899999999999999" thickBot="1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 ht="19.899999999999999" thickBot="1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 ht="19.899999999999999" thickBot="1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 ht="19.899999999999999" thickBot="1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 ht="19.899999999999999" thickBot="1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 ht="19.899999999999999" thickBot="1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 ht="19.899999999999999" thickBot="1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 ht="19.899999999999999" thickBot="1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 ht="19.899999999999999" thickBot="1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 ht="19.899999999999999" thickBot="1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 ht="19.899999999999999" thickBot="1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 ht="19.899999999999999" thickBot="1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 ht="19.899999999999999" thickBot="1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 ht="19.899999999999999" thickBot="1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 ht="19.899999999999999" thickBot="1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 ht="19.899999999999999" thickBot="1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 ht="19.899999999999999" thickBot="1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 ht="19.899999999999999" thickBot="1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 ht="19.899999999999999" thickBot="1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 ht="19.899999999999999" thickBot="1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 ht="19.899999999999999" thickBot="1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 ht="19.899999999999999" thickBot="1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 ht="19.899999999999999" thickBot="1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 ht="19.899999999999999" thickBot="1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 ht="19.899999999999999" thickBot="1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 ht="19.899999999999999" thickBot="1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 ht="19.899999999999999" thickBot="1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 ht="19.899999999999999" thickBot="1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 ht="19.899999999999999" thickBot="1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 ht="19.899999999999999" thickBot="1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 ht="19.899999999999999" thickBot="1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 ht="19.899999999999999" thickBot="1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 ht="19.899999999999999" thickBot="1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 ht="19.899999999999999" thickBot="1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 ht="19.899999999999999" thickBot="1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 ht="19.899999999999999" thickBot="1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 ht="19.899999999999999" thickBot="1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 ht="19.899999999999999" thickBot="1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 ht="19.899999999999999" thickBot="1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 ht="19.899999999999999" thickBot="1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 ht="19.899999999999999" thickBot="1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 ht="19.899999999999999" thickBot="1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 ht="19.899999999999999" thickBot="1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 ht="19.899999999999999" thickBot="1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 ht="19.899999999999999" thickBot="1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 ht="19.899999999999999" thickBot="1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 ht="19.899999999999999" thickBot="1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 ht="19.899999999999999" thickBot="1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 ht="19.899999999999999" thickBot="1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 ht="19.899999999999999" thickBot="1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 ht="19.899999999999999" thickBot="1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 ht="19.899999999999999" thickBot="1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 ht="19.899999999999999" thickBot="1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 ht="19.899999999999999" thickBot="1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 ht="19.899999999999999" thickBot="1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 ht="19.899999999999999" thickBot="1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 ht="19.899999999999999" thickBot="1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 ht="19.899999999999999" thickBot="1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 ht="19.899999999999999" thickBot="1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 ht="19.899999999999999" thickBot="1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 ht="19.899999999999999" thickBot="1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 ht="19.899999999999999" thickBot="1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 ht="19.899999999999999" thickBot="1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 ht="19.899999999999999" thickBot="1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 ht="19.899999999999999" thickBot="1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 ht="19.899999999999999" thickBot="1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 ht="19.899999999999999" thickBot="1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 ht="19.899999999999999" thickBot="1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 ht="19.899999999999999" thickBot="1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 ht="19.899999999999999" thickBot="1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 ht="19.899999999999999" thickBot="1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 ht="19.899999999999999" thickBot="1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 ht="19.899999999999999" thickBot="1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 ht="19.899999999999999" thickBot="1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 ht="19.899999999999999" thickBot="1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 ht="19.899999999999999" thickBot="1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 ht="19.899999999999999" thickBot="1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 ht="19.899999999999999" thickBot="1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 ht="19.899999999999999" thickBot="1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 ht="19.899999999999999" thickBot="1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 ht="19.899999999999999" thickBot="1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 ht="19.899999999999999" thickBot="1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 ht="19.899999999999999" thickBot="1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 ht="19.899999999999999" thickBot="1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 ht="19.899999999999999" thickBot="1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 ht="19.899999999999999" thickBot="1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 ht="19.899999999999999" thickBot="1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 ht="19.899999999999999" thickBot="1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 ht="19.899999999999999" thickBot="1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 ht="19.899999999999999" thickBot="1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 ht="19.899999999999999" thickBot="1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 ht="19.899999999999999" thickBot="1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 ht="19.899999999999999" thickBot="1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 ht="19.899999999999999" thickBot="1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 ht="19.899999999999999" thickBot="1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 ht="19.899999999999999" thickBot="1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 ht="19.899999999999999" thickBot="1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 ht="19.899999999999999" thickBot="1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 ht="19.899999999999999" thickBot="1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 ht="19.899999999999999" thickBot="1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 ht="19.899999999999999" thickBot="1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 ht="19.899999999999999" thickBot="1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 ht="19.899999999999999" thickBot="1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 ht="19.899999999999999" thickBot="1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 ht="19.899999999999999" thickBot="1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 ht="19.899999999999999" thickBot="1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 ht="19.899999999999999" thickBot="1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 ht="19.899999999999999" thickBot="1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 ht="19.899999999999999" thickBot="1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 ht="19.899999999999999" thickBot="1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 ht="19.899999999999999" thickBot="1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 ht="19.899999999999999" thickBot="1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 ht="19.899999999999999" thickBot="1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 ht="19.899999999999999" thickBot="1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 ht="19.899999999999999" thickBot="1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 ht="19.899999999999999" thickBot="1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 ht="19.899999999999999" thickBot="1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 ht="19.899999999999999" thickBot="1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 ht="19.899999999999999" thickBot="1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 ht="19.899999999999999" thickBot="1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 ht="19.899999999999999" thickBot="1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 ht="19.899999999999999" thickBot="1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 ht="19.899999999999999" thickBot="1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 ht="19.899999999999999" thickBot="1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 ht="19.899999999999999" thickBot="1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 ht="19.899999999999999" thickBot="1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 ht="19.899999999999999" thickBot="1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 ht="19.899999999999999" thickBot="1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 ht="19.899999999999999" thickBot="1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 ht="19.899999999999999" thickBot="1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 ht="19.899999999999999" thickBot="1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 ht="19.899999999999999" thickBot="1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 ht="19.899999999999999" thickBot="1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 ht="19.899999999999999" thickBot="1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 ht="19.899999999999999" thickBot="1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 ht="19.899999999999999" thickBot="1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 ht="19.899999999999999" thickBot="1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 ht="19.899999999999999" thickBot="1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 ht="19.899999999999999" thickBot="1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 ht="19.899999999999999" thickBot="1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 ht="19.899999999999999" thickBot="1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 ht="19.899999999999999" thickBot="1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 ht="19.899999999999999" thickBot="1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 ht="19.899999999999999" thickBot="1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 ht="19.899999999999999" thickBot="1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 ht="19.899999999999999" thickBot="1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 ht="19.899999999999999" thickBot="1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 ht="19.899999999999999" thickBot="1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 ht="19.899999999999999" thickBot="1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 ht="19.899999999999999" thickBot="1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 ht="19.899999999999999" thickBot="1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 ht="19.899999999999999" thickBot="1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 ht="19.899999999999999" thickBot="1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 ht="19.899999999999999" thickBot="1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 ht="19.899999999999999" thickBot="1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 ht="19.899999999999999" thickBot="1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 ht="19.899999999999999" thickBot="1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 ht="19.899999999999999" thickBot="1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 ht="19.899999999999999" thickBot="1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 ht="19.899999999999999" thickBot="1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 ht="19.899999999999999" thickBot="1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 ht="19.899999999999999" thickBot="1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 ht="19.899999999999999" thickBot="1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 ht="19.899999999999999" thickBot="1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 ht="19.899999999999999" thickBot="1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 ht="19.899999999999999" thickBot="1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 ht="19.899999999999999" thickBot="1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 ht="19.899999999999999" thickBot="1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 ht="19.899999999999999" thickBot="1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 ht="19.899999999999999" thickBot="1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 ht="19.899999999999999" thickBot="1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 ht="19.899999999999999" thickBot="1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 ht="19.899999999999999" thickBot="1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 ht="19.899999999999999" thickBot="1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 ht="19.899999999999999" thickBot="1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 ht="19.899999999999999" thickBot="1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 ht="19.899999999999999" thickBot="1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 ht="19.899999999999999" thickBot="1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 ht="19.899999999999999" thickBot="1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 ht="19.899999999999999" thickBot="1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 ht="19.899999999999999" thickBot="1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 ht="19.899999999999999" thickBot="1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 ht="19.899999999999999" thickBot="1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 ht="19.899999999999999" thickBot="1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 ht="19.899999999999999" thickBot="1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 ht="19.899999999999999" thickBot="1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 ht="19.899999999999999" thickBot="1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 ht="19.899999999999999" thickBot="1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 ht="19.899999999999999" thickBot="1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 ht="19.899999999999999" thickBot="1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 ht="19.899999999999999" thickBot="1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 ht="19.899999999999999" thickBot="1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 ht="19.899999999999999" thickBot="1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 ht="19.899999999999999" thickBot="1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 ht="19.899999999999999" thickBot="1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 ht="19.899999999999999" thickBot="1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 ht="19.899999999999999" thickBot="1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 ht="19.899999999999999" thickBot="1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 ht="19.899999999999999" thickBot="1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 ht="19.899999999999999" thickBot="1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 ht="19.899999999999999" thickBot="1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 ht="19.899999999999999" thickBot="1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 ht="19.899999999999999" thickBot="1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 ht="19.899999999999999" thickBot="1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 ht="19.899999999999999" thickBot="1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 ht="19.899999999999999" thickBot="1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 ht="19.899999999999999" thickBot="1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 ht="19.899999999999999" thickBot="1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 ht="19.899999999999999" thickBot="1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 ht="19.899999999999999" thickBot="1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 ht="19.899999999999999" thickBot="1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 ht="19.899999999999999" thickBot="1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 ht="19.899999999999999" thickBot="1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 ht="19.899999999999999" thickBot="1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 ht="19.899999999999999" thickBot="1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 ht="19.899999999999999" thickBot="1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 ht="19.899999999999999" thickBot="1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 ht="19.899999999999999" thickBot="1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 ht="19.899999999999999" thickBot="1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 ht="19.899999999999999" thickBot="1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 ht="19.899999999999999" thickBot="1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 ht="19.899999999999999" thickBot="1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 ht="19.899999999999999" thickBot="1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 ht="19.899999999999999" thickBot="1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 ht="19.899999999999999" thickBot="1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 ht="19.899999999999999" thickBot="1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 ht="19.899999999999999" thickBot="1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 ht="19.899999999999999" thickBot="1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 ht="19.899999999999999" thickBot="1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 ht="19.899999999999999" thickBot="1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 ht="19.899999999999999" thickBot="1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 ht="19.899999999999999" thickBot="1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 ht="19.899999999999999" thickBot="1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 ht="19.899999999999999" thickBot="1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 ht="19.899999999999999" thickBot="1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 ht="19.899999999999999" thickBot="1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 ht="19.899999999999999" thickBot="1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 ht="19.899999999999999" thickBot="1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 ht="19.899999999999999" thickBot="1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 ht="19.899999999999999" thickBot="1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 ht="19.899999999999999" thickBot="1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 ht="19.899999999999999" thickBot="1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 ht="19.899999999999999" thickBot="1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 ht="19.899999999999999" thickBot="1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 ht="19.899999999999999" thickBot="1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 ht="19.899999999999999" thickBot="1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 ht="19.899999999999999" thickBot="1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 ht="19.899999999999999" thickBot="1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 ht="19.899999999999999" thickBot="1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 ht="19.899999999999999" thickBot="1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 ht="19.899999999999999" thickBot="1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 ht="19.899999999999999" thickBot="1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 ht="19.899999999999999" thickBot="1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 ht="19.899999999999999" thickBot="1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 ht="19.899999999999999" thickBot="1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 ht="19.899999999999999" thickBot="1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 ht="19.899999999999999" thickBot="1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 ht="19.899999999999999" thickBot="1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 ht="19.899999999999999" thickBot="1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 ht="19.899999999999999" thickBot="1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 ht="19.899999999999999" thickBot="1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 ht="19.899999999999999" thickBot="1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 ht="19.899999999999999" thickBot="1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 ht="19.899999999999999" thickBot="1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 ht="19.899999999999999" thickBot="1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 ht="19.899999999999999" thickBot="1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 ht="19.899999999999999" thickBot="1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 ht="19.899999999999999" thickBot="1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 ht="19.899999999999999" thickBot="1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 ht="19.899999999999999" thickBot="1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 ht="19.899999999999999" thickBot="1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 ht="19.899999999999999" thickBot="1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 ht="19.899999999999999" thickBot="1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 ht="19.899999999999999" thickBot="1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 ht="19.899999999999999" thickBot="1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 ht="19.899999999999999" thickBot="1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 ht="19.899999999999999" thickBot="1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 ht="19.899999999999999" thickBot="1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 ht="19.899999999999999" thickBot="1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 ht="19.899999999999999" thickBot="1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 ht="19.899999999999999" thickBot="1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 ht="19.899999999999999" thickBot="1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 ht="19.899999999999999" thickBot="1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 ht="19.899999999999999" thickBot="1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 ht="19.899999999999999" thickBot="1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 ht="19.899999999999999" thickBot="1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 ht="19.899999999999999" thickBot="1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 ht="19.899999999999999" thickBot="1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 ht="19.899999999999999" thickBot="1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 ht="19.899999999999999" thickBot="1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 ht="19.899999999999999" thickBot="1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 ht="19.899999999999999" thickBot="1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 ht="19.899999999999999" thickBot="1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 ht="19.899999999999999" thickBot="1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 ht="19.899999999999999" thickBot="1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 ht="19.899999999999999" thickBot="1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 ht="19.899999999999999" thickBot="1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 ht="19.899999999999999" thickBot="1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 ht="19.899999999999999" thickBot="1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 ht="19.899999999999999" thickBot="1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 ht="19.899999999999999" thickBot="1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 ht="19.899999999999999" thickBot="1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 ht="19.899999999999999" thickBot="1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 ht="19.899999999999999" thickBot="1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 ht="19.899999999999999" thickBot="1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 ht="19.899999999999999" thickBot="1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 ht="19.899999999999999" thickBot="1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 ht="19.899999999999999" thickBot="1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 ht="19.899999999999999" thickBot="1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 ht="19.899999999999999" thickBot="1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 ht="19.899999999999999" thickBot="1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 ht="19.899999999999999" thickBot="1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 ht="19.899999999999999" thickBot="1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 ht="19.899999999999999" thickBot="1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 ht="19.899999999999999" thickBot="1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 ht="19.899999999999999" thickBot="1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 ht="19.899999999999999" thickBot="1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 ht="19.899999999999999" thickBot="1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 ht="19.899999999999999" thickBot="1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 ht="19.899999999999999" thickBot="1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 ht="19.899999999999999" thickBot="1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 ht="19.899999999999999" thickBot="1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 ht="19.899999999999999" thickBot="1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 ht="19.899999999999999" thickBot="1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 ht="19.899999999999999" thickBot="1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 ht="19.899999999999999" thickBot="1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 ht="19.899999999999999" thickBot="1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 ht="19.899999999999999" thickBot="1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 ht="19.899999999999999" thickBot="1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 ht="19.899999999999999" thickBot="1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 ht="19.899999999999999" thickBot="1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 ht="19.899999999999999" thickBot="1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 ht="19.899999999999999" thickBot="1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 ht="19.899999999999999" thickBot="1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 ht="19.899999999999999" thickBot="1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 ht="19.899999999999999" thickBot="1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 ht="19.899999999999999" thickBot="1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 ht="19.899999999999999" thickBot="1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 ht="19.899999999999999" thickBot="1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 ht="19.899999999999999" thickBot="1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 ht="19.899999999999999" thickBot="1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 ht="19.899999999999999" thickBot="1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 ht="19.899999999999999" thickBot="1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 ht="19.899999999999999" thickBot="1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 ht="19.899999999999999" thickBot="1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 ht="19.899999999999999" thickBot="1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 ht="19.899999999999999" thickBot="1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 ht="19.899999999999999" thickBot="1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 ht="19.899999999999999" thickBot="1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 ht="19.899999999999999" thickBot="1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 ht="19.899999999999999" thickBot="1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 ht="19.899999999999999" thickBot="1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 ht="19.899999999999999" thickBot="1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 ht="19.899999999999999" thickBot="1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 ht="19.899999999999999" thickBot="1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 ht="19.899999999999999" thickBot="1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 ht="19.899999999999999" thickBot="1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 ht="19.899999999999999" thickBot="1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 ht="19.899999999999999" thickBot="1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 ht="19.899999999999999" thickBot="1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 ht="19.899999999999999" thickBot="1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 ht="19.899999999999999" thickBot="1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</sheetData>
  <mergeCells count="9">
    <mergeCell ref="C79:E79"/>
    <mergeCell ref="C82:K82"/>
    <mergeCell ref="C89:E89"/>
    <mergeCell ref="C1:K1"/>
    <mergeCell ref="C3:K3"/>
    <mergeCell ref="D18:E18"/>
    <mergeCell ref="C21:K21"/>
    <mergeCell ref="C48:E48"/>
    <mergeCell ref="C52:K52"/>
  </mergeCells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3:AY84"/>
  <sheetViews>
    <sheetView showGridLines="0" zoomScale="70" zoomScaleNormal="70" workbookViewId="0">
      <pane xSplit="2" ySplit="4" topLeftCell="C5" activePane="bottomRight" state="frozen"/>
      <selection pane="bottomRight" activeCell="AH77" sqref="AH77"/>
      <selection pane="bottomLeft" activeCell="A5" sqref="A5"/>
      <selection pane="topRight" activeCell="C1" sqref="C1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3.33203125" style="580" customWidth="1"/>
    <col min="4" max="4" width="10.7773437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8.109375" style="727" customWidth="1"/>
    <col min="19" max="19" width="8.44140625" style="727" customWidth="1"/>
    <col min="20" max="20" width="7.33203125" style="727" customWidth="1"/>
    <col min="21" max="21" width="9" style="727" customWidth="1"/>
    <col min="22" max="22" width="9.6640625" style="580" customWidth="1"/>
    <col min="23" max="23" width="7.77734375" style="580" customWidth="1"/>
    <col min="24" max="24" width="9" style="580" customWidth="1"/>
    <col min="25" max="25" width="9.44140625" style="580" customWidth="1"/>
    <col min="26" max="26" width="8.77734375" style="727" customWidth="1"/>
    <col min="27" max="27" width="9.5546875" style="727" customWidth="1"/>
    <col min="28" max="30" width="10.6640625" style="727" customWidth="1"/>
    <col min="31" max="32" width="11.77734375" style="580" customWidth="1"/>
    <col min="33" max="33" width="11.109375" style="727" bestFit="1" customWidth="1"/>
    <col min="34" max="34" width="11.109375" style="580" customWidth="1"/>
    <col min="35" max="35" width="9.21875" style="580"/>
    <col min="36" max="36" width="14.6640625" style="580" customWidth="1"/>
    <col min="37" max="38" width="14.77734375" style="580" customWidth="1"/>
    <col min="39" max="40" width="14.33203125" style="580" customWidth="1"/>
    <col min="41" max="41" width="14.6640625" style="580" customWidth="1"/>
    <col min="42" max="42" width="13.77734375" style="580" customWidth="1"/>
    <col min="43" max="43" width="11.5546875" style="580" customWidth="1"/>
    <col min="44" max="16384" width="9.21875" style="580"/>
  </cols>
  <sheetData>
    <row r="3" spans="2:51" ht="25.15" thickBot="1">
      <c r="AJ3" s="142"/>
      <c r="AK3" s="142"/>
      <c r="AL3" s="1227" t="s">
        <v>0</v>
      </c>
      <c r="AM3" s="1227"/>
      <c r="AN3" s="1227"/>
      <c r="AO3" s="1227"/>
      <c r="AP3" s="1227"/>
    </row>
    <row r="4" spans="2:51" ht="96" customHeight="1" thickBot="1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454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713" t="s">
        <v>432</v>
      </c>
      <c r="O4" s="714" t="s">
        <v>433</v>
      </c>
      <c r="P4" s="742" t="s">
        <v>434</v>
      </c>
      <c r="Q4" s="724" t="s">
        <v>435</v>
      </c>
      <c r="R4" s="744" t="s">
        <v>436</v>
      </c>
      <c r="S4" s="713" t="s">
        <v>437</v>
      </c>
      <c r="T4" s="713" t="s">
        <v>438</v>
      </c>
      <c r="U4" s="724" t="s">
        <v>439</v>
      </c>
      <c r="V4" s="744" t="s">
        <v>440</v>
      </c>
      <c r="W4" s="713" t="s">
        <v>441</v>
      </c>
      <c r="X4" s="713" t="s">
        <v>442</v>
      </c>
      <c r="Y4" s="714" t="s">
        <v>443</v>
      </c>
      <c r="Z4" s="715" t="s">
        <v>390</v>
      </c>
      <c r="AA4" s="713" t="s">
        <v>391</v>
      </c>
      <c r="AB4" s="713" t="s">
        <v>392</v>
      </c>
      <c r="AC4" s="724" t="s">
        <v>393</v>
      </c>
      <c r="AD4" s="744" t="s">
        <v>444</v>
      </c>
      <c r="AE4" s="713" t="s">
        <v>445</v>
      </c>
      <c r="AF4" s="713" t="s">
        <v>446</v>
      </c>
      <c r="AG4" s="789" t="s">
        <v>394</v>
      </c>
      <c r="AH4" s="728"/>
      <c r="AJ4" s="142"/>
      <c r="AK4" s="143" t="s">
        <v>14</v>
      </c>
      <c r="AL4" s="143" t="s">
        <v>147</v>
      </c>
      <c r="AM4" s="143" t="s">
        <v>147</v>
      </c>
      <c r="AN4" s="143" t="s">
        <v>147</v>
      </c>
      <c r="AO4" s="143" t="s">
        <v>147</v>
      </c>
      <c r="AP4" s="143" t="s">
        <v>147</v>
      </c>
    </row>
    <row r="5" spans="2:51" ht="43.15">
      <c r="B5" s="716">
        <v>44470</v>
      </c>
      <c r="C5" s="749">
        <v>21.64</v>
      </c>
      <c r="D5" s="750">
        <v>15.132</v>
      </c>
      <c r="E5" s="751">
        <v>8.9</v>
      </c>
      <c r="F5" s="749">
        <v>3.77</v>
      </c>
      <c r="G5" s="749">
        <f>SUM(Table25234678910111012131214121516151718[[#This Row],[Jones Creek Target (Mbopd)]:[Egwa Target (Mbopd)]])</f>
        <v>49.442</v>
      </c>
      <c r="H5" s="752">
        <v>0</v>
      </c>
      <c r="I5" s="752">
        <v>0</v>
      </c>
      <c r="J5" s="752">
        <v>3.6829999999999998</v>
      </c>
      <c r="K5" s="752">
        <v>0</v>
      </c>
      <c r="L5" s="753">
        <f t="shared" ref="L5:L8" si="0">H5+I5+J5+K5</f>
        <v>3.6829999999999998</v>
      </c>
      <c r="M5" s="721">
        <v>0</v>
      </c>
      <c r="N5" s="765">
        <f>Table25234678910111012131214121516151718[[#This Row],[Jones Creek Target (Mbopd)]]-Table25234678910111012131214121516151718[[#This Row],[Jones Creek (Mbopd)]]</f>
        <v>21.64</v>
      </c>
      <c r="O5" s="723">
        <f>Table25234678910111012131214121516151718[[#This Row],[Odidi Target (Mbopd)]]-Table25234678910111012131214121516151718[[#This Row],[Odidi (Mbopd)]]</f>
        <v>15.132</v>
      </c>
      <c r="P5" s="721">
        <f>Table25234678910111012131214121516151718[[#This Row],[Batan Target (Mbopd)]]-Table25234678910111012131214121516151718[[#This Row],[Batan (Mbopd)]]</f>
        <v>5.2170000000000005</v>
      </c>
      <c r="Q5" s="747">
        <f>Table25234678910111012131214121516151718[[#This Row],[Egwa Target (Mbopd)]]-Table25234678910111012131214121516151718[[#This Row],[Egwa (Mbopd)]]</f>
        <v>3.77</v>
      </c>
      <c r="R5" s="745">
        <v>0</v>
      </c>
      <c r="S5" s="723">
        <v>0</v>
      </c>
      <c r="T5" s="723">
        <v>1.07</v>
      </c>
      <c r="U5" s="747">
        <v>0</v>
      </c>
      <c r="V5" s="746">
        <v>0</v>
      </c>
      <c r="W5" s="723">
        <v>0</v>
      </c>
      <c r="X5" s="723">
        <v>0.1</v>
      </c>
      <c r="Y5" s="721">
        <v>0</v>
      </c>
      <c r="Z5" s="746">
        <f>+Table25234678910111012131214121516151718[[#This Row],[J/C Prod gas (MMscf)]]-Table25234678910111012131214121516151718[[#This Row],[J/C Utilised gas (MMscf)]]</f>
        <v>0</v>
      </c>
      <c r="AA5" s="723">
        <f>+Table25234678910111012131214121516151718[[#This Row],[Odid Prod gas (MMscf)]]-Table25234678910111012131214121516151718[[#This Row],[Gas Export (MMscf/d)]]-Table25234678910111012131214121516151718[[#This Row],[Odid Utilised gas (MMscf)]]</f>
        <v>0</v>
      </c>
      <c r="AB5" s="723">
        <f>+Table25234678910111012131214121516151718[[#This Row],[Batn Prod gas (MMscf)]]-Table25234678910111012131214121516151718[[#This Row],[Batn Utilised gas (MMscf)]]</f>
        <v>0.97000000000000008</v>
      </c>
      <c r="AC5" s="747">
        <f>+Table25234678910111012131214121516151718[[#This Row],[Egwa Prod gas (MMscf)]]-Table25234678910111012131214121516151718[[#This Row],[Egwa Utilised gas (MMscf)]]</f>
        <v>0</v>
      </c>
      <c r="AD5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1.07</v>
      </c>
      <c r="AE5" s="723">
        <f>+Table25234678910111012131214121516151718[[#This Row],[Gas Export (MMscf/d)]]</f>
        <v>0</v>
      </c>
      <c r="AF5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0.1</v>
      </c>
      <c r="AG5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0.97000000000000008</v>
      </c>
      <c r="AH5" s="142"/>
      <c r="AJ5" s="144"/>
      <c r="AK5" s="148" t="s">
        <v>148</v>
      </c>
      <c r="AL5" s="152">
        <f>B29</f>
        <v>44494</v>
      </c>
      <c r="AM5" s="152">
        <f>AL5+1</f>
        <v>44495</v>
      </c>
      <c r="AN5" s="152">
        <f>AM5+1</f>
        <v>44496</v>
      </c>
      <c r="AO5" s="152">
        <f>AN5+1</f>
        <v>44497</v>
      </c>
      <c r="AP5" s="152">
        <f>AO5+1</f>
        <v>44498</v>
      </c>
    </row>
    <row r="6" spans="2:51" ht="21.6">
      <c r="B6" s="716">
        <v>44471</v>
      </c>
      <c r="C6" s="749">
        <v>21.64</v>
      </c>
      <c r="D6" s="750">
        <v>15.132</v>
      </c>
      <c r="E6" s="751">
        <v>8.9</v>
      </c>
      <c r="F6" s="749">
        <v>3.77</v>
      </c>
      <c r="G6" s="749">
        <f>SUM(Table25234678910111012131214121516151718[[#This Row],[Jones Creek Target (Mbopd)]:[Egwa Target (Mbopd)]])</f>
        <v>49.442</v>
      </c>
      <c r="H6" s="752">
        <v>0</v>
      </c>
      <c r="I6" s="752">
        <v>0</v>
      </c>
      <c r="J6" s="752">
        <v>2.9550000000000001</v>
      </c>
      <c r="K6" s="752">
        <v>0</v>
      </c>
      <c r="L6" s="753">
        <f t="shared" si="0"/>
        <v>2.9550000000000001</v>
      </c>
      <c r="M6" s="721">
        <v>0</v>
      </c>
      <c r="N6" s="765">
        <f>Table25234678910111012131214121516151718[[#This Row],[Jones Creek Target (Mbopd)]]-Table25234678910111012131214121516151718[[#This Row],[Jones Creek (Mbopd)]]</f>
        <v>21.64</v>
      </c>
      <c r="O6" s="723">
        <f>Table25234678910111012131214121516151718[[#This Row],[Odidi Target (Mbopd)]]-Table25234678910111012131214121516151718[[#This Row],[Odidi (Mbopd)]]</f>
        <v>15.132</v>
      </c>
      <c r="P6" s="721">
        <f>Table25234678910111012131214121516151718[[#This Row],[Batan Target (Mbopd)]]-Table25234678910111012131214121516151718[[#This Row],[Batan (Mbopd)]]</f>
        <v>5.9450000000000003</v>
      </c>
      <c r="Q6" s="747">
        <f>Table25234678910111012131214121516151718[[#This Row],[Egwa Target (Mbopd)]]-Table25234678910111012131214121516151718[[#This Row],[Egwa (Mbopd)]]</f>
        <v>3.77</v>
      </c>
      <c r="R6" s="745">
        <v>0</v>
      </c>
      <c r="S6" s="723">
        <v>0</v>
      </c>
      <c r="T6" s="723">
        <v>1.07</v>
      </c>
      <c r="U6" s="747">
        <v>0</v>
      </c>
      <c r="V6" s="746">
        <v>0</v>
      </c>
      <c r="W6" s="723">
        <v>0</v>
      </c>
      <c r="X6" s="723">
        <v>0.1</v>
      </c>
      <c r="Y6" s="721">
        <v>0</v>
      </c>
      <c r="Z6" s="746">
        <f>+Table25234678910111012131214121516151718[[#This Row],[J/C Prod gas (MMscf)]]-Table25234678910111012131214121516151718[[#This Row],[J/C Utilised gas (MMscf)]]</f>
        <v>0</v>
      </c>
      <c r="AA6" s="723">
        <f>+Table25234678910111012131214121516151718[[#This Row],[Odid Prod gas (MMscf)]]-Table25234678910111012131214121516151718[[#This Row],[Gas Export (MMscf/d)]]-Table25234678910111012131214121516151718[[#This Row],[Odid Utilised gas (MMscf)]]</f>
        <v>0</v>
      </c>
      <c r="AB6" s="723">
        <f>+Table25234678910111012131214121516151718[[#This Row],[Batn Prod gas (MMscf)]]-Table25234678910111012131214121516151718[[#This Row],[Batn Utilised gas (MMscf)]]</f>
        <v>0.97000000000000008</v>
      </c>
      <c r="AC6" s="747">
        <f>+Table25234678910111012131214121516151718[[#This Row],[Egwa Prod gas (MMscf)]]-Table25234678910111012131214121516151718[[#This Row],[Egwa Utilised gas (MMscf)]]</f>
        <v>0</v>
      </c>
      <c r="AD6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1.07</v>
      </c>
      <c r="AE6" s="723">
        <f>+Table25234678910111012131214121516151718[[#This Row],[Gas Export (MMscf/d)]]</f>
        <v>0</v>
      </c>
      <c r="AF6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0.1</v>
      </c>
      <c r="AG6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0.97000000000000008</v>
      </c>
      <c r="AH6" s="142"/>
      <c r="AJ6" s="145" t="s">
        <v>17</v>
      </c>
      <c r="AK6" s="272">
        <v>21.64</v>
      </c>
      <c r="AL6" s="270">
        <v>18.968</v>
      </c>
      <c r="AM6" s="269">
        <v>19.747</v>
      </c>
      <c r="AN6" s="270">
        <v>8.5</v>
      </c>
      <c r="AO6" s="267">
        <v>0</v>
      </c>
      <c r="AP6" s="270">
        <v>11.519</v>
      </c>
    </row>
    <row r="7" spans="2:51" ht="21.6">
      <c r="B7" s="716">
        <v>44472</v>
      </c>
      <c r="C7" s="749">
        <v>21.64</v>
      </c>
      <c r="D7" s="750">
        <v>15.132</v>
      </c>
      <c r="E7" s="751">
        <v>8.9</v>
      </c>
      <c r="F7" s="749">
        <v>3.77</v>
      </c>
      <c r="G7" s="749">
        <f>SUM(Table25234678910111012131214121516151718[[#This Row],[Jones Creek Target (Mbopd)]:[Egwa Target (Mbopd)]])</f>
        <v>49.442</v>
      </c>
      <c r="H7" s="752">
        <v>3.952</v>
      </c>
      <c r="I7" s="752">
        <v>7.0460000000000003</v>
      </c>
      <c r="J7" s="752">
        <v>2.8570000000000002</v>
      </c>
      <c r="K7" s="752">
        <v>2.59</v>
      </c>
      <c r="L7" s="753">
        <f t="shared" si="0"/>
        <v>16.445</v>
      </c>
      <c r="M7" s="721">
        <v>0</v>
      </c>
      <c r="N7" s="765">
        <f>Table25234678910111012131214121516151718[[#This Row],[Jones Creek Target (Mbopd)]]-Table25234678910111012131214121516151718[[#This Row],[Jones Creek (Mbopd)]]</f>
        <v>17.688000000000002</v>
      </c>
      <c r="O7" s="723">
        <f>Table25234678910111012131214121516151718[[#This Row],[Odidi Target (Mbopd)]]-Table25234678910111012131214121516151718[[#This Row],[Odidi (Mbopd)]]</f>
        <v>8.0859999999999985</v>
      </c>
      <c r="P7" s="721">
        <f>Table25234678910111012131214121516151718[[#This Row],[Batan Target (Mbopd)]]-Table25234678910111012131214121516151718[[#This Row],[Batan (Mbopd)]]</f>
        <v>6.0430000000000001</v>
      </c>
      <c r="Q7" s="747">
        <f>Table25234678910111012131214121516151718[[#This Row],[Egwa Target (Mbopd)]]-Table25234678910111012131214121516151718[[#This Row],[Egwa (Mbopd)]]</f>
        <v>1.1800000000000002</v>
      </c>
      <c r="R7" s="745">
        <v>2.3159000000000001</v>
      </c>
      <c r="S7" s="723">
        <v>21.92</v>
      </c>
      <c r="T7" s="723">
        <v>1.07</v>
      </c>
      <c r="U7" s="747">
        <v>0.68300000000000005</v>
      </c>
      <c r="V7" s="746">
        <v>0.45629999999999998</v>
      </c>
      <c r="W7" s="723">
        <v>0</v>
      </c>
      <c r="X7" s="723">
        <v>0.1</v>
      </c>
      <c r="Y7" s="721">
        <v>0</v>
      </c>
      <c r="Z7" s="746">
        <f>+Table25234678910111012131214121516151718[[#This Row],[J/C Prod gas (MMscf)]]-Table25234678910111012131214121516151718[[#This Row],[J/C Utilised gas (MMscf)]]</f>
        <v>1.8596000000000001</v>
      </c>
      <c r="AA7" s="723">
        <f>+Table25234678910111012131214121516151718[[#This Row],[Odid Prod gas (MMscf)]]-Table25234678910111012131214121516151718[[#This Row],[Gas Export (MMscf/d)]]-Table25234678910111012131214121516151718[[#This Row],[Odid Utilised gas (MMscf)]]</f>
        <v>21.92</v>
      </c>
      <c r="AB7" s="723">
        <f>+Table25234678910111012131214121516151718[[#This Row],[Batn Prod gas (MMscf)]]-Table25234678910111012131214121516151718[[#This Row],[Batn Utilised gas (MMscf)]]</f>
        <v>0.97000000000000008</v>
      </c>
      <c r="AC7" s="747">
        <f>+Table25234678910111012131214121516151718[[#This Row],[Egwa Prod gas (MMscf)]]-Table25234678910111012131214121516151718[[#This Row],[Egwa Utilised gas (MMscf)]]</f>
        <v>0.68300000000000005</v>
      </c>
      <c r="AD7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25.988900000000001</v>
      </c>
      <c r="AE7" s="723">
        <f>+Table25234678910111012131214121516151718[[#This Row],[Gas Export (MMscf/d)]]</f>
        <v>0</v>
      </c>
      <c r="AF7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0.55630000000000002</v>
      </c>
      <c r="AG7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25.432600000000001</v>
      </c>
      <c r="AH7" s="142"/>
      <c r="AJ7" s="145" t="s">
        <v>19</v>
      </c>
      <c r="AK7" s="272">
        <v>15.14</v>
      </c>
      <c r="AL7" s="270">
        <v>6.2690000000000001</v>
      </c>
      <c r="AM7" s="269">
        <v>7.5590000000000002</v>
      </c>
      <c r="AN7" s="270">
        <v>7.7069999999999999</v>
      </c>
      <c r="AO7" s="269">
        <v>11.282</v>
      </c>
      <c r="AP7" s="268">
        <v>13.558999999999999</v>
      </c>
    </row>
    <row r="8" spans="2:51" ht="21.6">
      <c r="B8" s="716">
        <v>44473</v>
      </c>
      <c r="C8" s="749">
        <v>21.64</v>
      </c>
      <c r="D8" s="750">
        <v>15.132</v>
      </c>
      <c r="E8" s="751">
        <v>8.9</v>
      </c>
      <c r="F8" s="749">
        <v>3.77</v>
      </c>
      <c r="G8" s="749">
        <f>SUM(Table25234678910111012131214121516151718[[#This Row],[Jones Creek Target (Mbopd)]:[Egwa Target (Mbopd)]])</f>
        <v>49.442</v>
      </c>
      <c r="H8" s="752">
        <v>15.814</v>
      </c>
      <c r="I8" s="752">
        <v>12.331</v>
      </c>
      <c r="J8" s="752">
        <v>0.19800000000000001</v>
      </c>
      <c r="K8" s="754">
        <v>3.3959999999999999</v>
      </c>
      <c r="L8" s="753">
        <f t="shared" si="0"/>
        <v>31.739000000000001</v>
      </c>
      <c r="M8" s="721">
        <v>15.256</v>
      </c>
      <c r="N8" s="765">
        <f>Table25234678910111012131214121516151718[[#This Row],[Jones Creek Target (Mbopd)]]-Table25234678910111012131214121516151718[[#This Row],[Jones Creek (Mbopd)]]</f>
        <v>5.8260000000000005</v>
      </c>
      <c r="O8" s="723">
        <f>Table25234678910111012131214121516151718[[#This Row],[Odidi Target (Mbopd)]]-Table25234678910111012131214121516151718[[#This Row],[Odidi (Mbopd)]]</f>
        <v>2.8010000000000002</v>
      </c>
      <c r="P8" s="721">
        <f>Table25234678910111012131214121516151718[[#This Row],[Batan Target (Mbopd)]]-Table25234678910111012131214121516151718[[#This Row],[Batan (Mbopd)]]</f>
        <v>8.702</v>
      </c>
      <c r="Q8" s="747">
        <f>Table25234678910111012131214121516151718[[#This Row],[Egwa Target (Mbopd)]]-Table25234678910111012131214121516151718[[#This Row],[Egwa (Mbopd)]]</f>
        <v>0.37400000000000011</v>
      </c>
      <c r="R8" s="745">
        <v>8.9762000000000004</v>
      </c>
      <c r="S8" s="723">
        <v>32.36</v>
      </c>
      <c r="T8" s="723">
        <v>0.11</v>
      </c>
      <c r="U8" s="747">
        <v>0.96919999999999995</v>
      </c>
      <c r="V8" s="746">
        <v>0.84240000000000004</v>
      </c>
      <c r="W8" s="723">
        <v>0</v>
      </c>
      <c r="X8" s="723">
        <v>0.1</v>
      </c>
      <c r="Y8" s="721">
        <v>0</v>
      </c>
      <c r="Z8" s="746">
        <f>+Table25234678910111012131214121516151718[[#This Row],[J/C Prod gas (MMscf)]]-Table25234678910111012131214121516151718[[#This Row],[J/C Utilised gas (MMscf)]]</f>
        <v>8.1338000000000008</v>
      </c>
      <c r="AA8" s="723">
        <f>+Table25234678910111012131214121516151718[[#This Row],[Odid Prod gas (MMscf)]]-Table25234678910111012131214121516151718[[#This Row],[Gas Export (MMscf/d)]]-Table25234678910111012131214121516151718[[#This Row],[Odid Utilised gas (MMscf)]]</f>
        <v>17.103999999999999</v>
      </c>
      <c r="AB8" s="723">
        <f>+Table25234678910111012131214121516151718[[#This Row],[Batn Prod gas (MMscf)]]-Table25234678910111012131214121516151718[[#This Row],[Batn Utilised gas (MMscf)]]</f>
        <v>9.999999999999995E-3</v>
      </c>
      <c r="AC8" s="747">
        <f>+Table25234678910111012131214121516151718[[#This Row],[Egwa Prod gas (MMscf)]]-Table25234678910111012131214121516151718[[#This Row],[Egwa Utilised gas (MMscf)]]</f>
        <v>0.96919999999999995</v>
      </c>
      <c r="AD8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42.415399999999998</v>
      </c>
      <c r="AE8" s="723">
        <f>+Table25234678910111012131214121516151718[[#This Row],[Gas Export (MMscf/d)]]</f>
        <v>15.256</v>
      </c>
      <c r="AF8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0.94240000000000002</v>
      </c>
      <c r="AG8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26.217000000000002</v>
      </c>
      <c r="AH8" s="142"/>
      <c r="AJ8" s="145" t="s">
        <v>16</v>
      </c>
      <c r="AK8" s="272">
        <v>8.9</v>
      </c>
      <c r="AL8" s="268">
        <v>0</v>
      </c>
      <c r="AM8" s="267">
        <v>0</v>
      </c>
      <c r="AN8" s="268">
        <v>0</v>
      </c>
      <c r="AO8" s="267">
        <v>0</v>
      </c>
      <c r="AP8" s="268">
        <v>0</v>
      </c>
    </row>
    <row r="9" spans="2:51" ht="21.6">
      <c r="B9" s="716">
        <v>44474</v>
      </c>
      <c r="C9" s="749">
        <v>21.64</v>
      </c>
      <c r="D9" s="750">
        <v>15.132</v>
      </c>
      <c r="E9" s="751">
        <v>8.9</v>
      </c>
      <c r="F9" s="749">
        <v>3.77</v>
      </c>
      <c r="G9" s="749">
        <f>SUM(Table25234678910111012131214121516151718[[#This Row],[Jones Creek Target (Mbopd)]:[Egwa Target (Mbopd)]])</f>
        <v>49.442</v>
      </c>
      <c r="H9" s="752">
        <v>19.808</v>
      </c>
      <c r="I9" s="752">
        <v>12.683</v>
      </c>
      <c r="J9" s="752">
        <v>0.19800000000000001</v>
      </c>
      <c r="K9" s="754">
        <v>3.3439999999999999</v>
      </c>
      <c r="L9" s="753">
        <f t="shared" ref="L9:L32" si="1">H9+I9+J9+K9</f>
        <v>36.033000000000001</v>
      </c>
      <c r="M9" s="721">
        <v>15.256</v>
      </c>
      <c r="N9" s="765">
        <f>Table25234678910111012131214121516151718[[#This Row],[Jones Creek Target (Mbopd)]]-Table25234678910111012131214121516151718[[#This Row],[Jones Creek (Mbopd)]]</f>
        <v>1.8320000000000007</v>
      </c>
      <c r="O9" s="723">
        <f>Table25234678910111012131214121516151718[[#This Row],[Odidi Target (Mbopd)]]-Table25234678910111012131214121516151718[[#This Row],[Odidi (Mbopd)]]</f>
        <v>2.4489999999999998</v>
      </c>
      <c r="P9" s="721">
        <f>Table25234678910111012131214121516151718[[#This Row],[Batan Target (Mbopd)]]-Table25234678910111012131214121516151718[[#This Row],[Batan (Mbopd)]]</f>
        <v>8.702</v>
      </c>
      <c r="Q9" s="747">
        <f>Table25234678910111012131214121516151718[[#This Row],[Egwa Target (Mbopd)]]-Table25234678910111012131214121516151718[[#This Row],[Egwa (Mbopd)]]</f>
        <v>0.42600000000000016</v>
      </c>
      <c r="R9" s="745">
        <v>9.0997000000000003</v>
      </c>
      <c r="S9" s="723">
        <v>32.549999999999997</v>
      </c>
      <c r="T9" s="723">
        <v>0</v>
      </c>
      <c r="U9" s="747">
        <v>1.0629999999999999</v>
      </c>
      <c r="V9" s="746">
        <v>0.84240000000000004</v>
      </c>
      <c r="W9" s="723">
        <v>0</v>
      </c>
      <c r="X9" s="723">
        <v>0</v>
      </c>
      <c r="Y9" s="721">
        <v>0</v>
      </c>
      <c r="Z9" s="746">
        <f>+Table25234678910111012131214121516151718[[#This Row],[J/C Prod gas (MMscf)]]-Table25234678910111012131214121516151718[[#This Row],[J/C Utilised gas (MMscf)]]</f>
        <v>8.2573000000000008</v>
      </c>
      <c r="AA9" s="723">
        <f>+Table25234678910111012131214121516151718[[#This Row],[Odid Prod gas (MMscf)]]-Table25234678910111012131214121516151718[[#This Row],[Gas Export (MMscf/d)]]-Table25234678910111012131214121516151718[[#This Row],[Odid Utilised gas (MMscf)]]</f>
        <v>17.293999999999997</v>
      </c>
      <c r="AB9" s="723">
        <f>+Table25234678910111012131214121516151718[[#This Row],[Batn Prod gas (MMscf)]]-Table25234678910111012131214121516151718[[#This Row],[Batn Utilised gas (MMscf)]]</f>
        <v>0</v>
      </c>
      <c r="AC9" s="747">
        <f>+Table25234678910111012131214121516151718[[#This Row],[Egwa Prod gas (MMscf)]]-Table25234678910111012131214121516151718[[#This Row],[Egwa Utilised gas (MMscf)]]</f>
        <v>1.0629999999999999</v>
      </c>
      <c r="AD9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42.712699999999998</v>
      </c>
      <c r="AE9" s="723">
        <f>+Table25234678910111012131214121516151718[[#This Row],[Gas Export (MMscf/d)]]</f>
        <v>15.256</v>
      </c>
      <c r="AF9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9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26.614299999999997</v>
      </c>
      <c r="AH9" s="142"/>
      <c r="AJ9" s="145" t="s">
        <v>18</v>
      </c>
      <c r="AK9" s="273">
        <v>3.77</v>
      </c>
      <c r="AL9" s="270">
        <v>3.5169999999999999</v>
      </c>
      <c r="AM9" s="269">
        <v>3.5209999999999999</v>
      </c>
      <c r="AN9" s="270">
        <v>3.5310000000000001</v>
      </c>
      <c r="AO9" s="269">
        <v>3.5089999999999999</v>
      </c>
      <c r="AP9" s="270">
        <v>3.4769999999999999</v>
      </c>
    </row>
    <row r="10" spans="2:51" ht="21.6">
      <c r="B10" s="716">
        <v>44475</v>
      </c>
      <c r="C10" s="749">
        <v>21.64</v>
      </c>
      <c r="D10" s="750">
        <v>15.132</v>
      </c>
      <c r="E10" s="751">
        <v>8.9</v>
      </c>
      <c r="F10" s="749">
        <v>3.77</v>
      </c>
      <c r="G10" s="749">
        <f>SUM(Table25234678910111012131214121516151718[[#This Row],[Jones Creek Target (Mbopd)]:[Egwa Target (Mbopd)]])</f>
        <v>49.442</v>
      </c>
      <c r="H10" s="752">
        <v>11.757999999999999</v>
      </c>
      <c r="I10" s="752">
        <v>12.433999999999999</v>
      </c>
      <c r="J10" s="752">
        <v>0</v>
      </c>
      <c r="K10" s="752">
        <v>3.4449999999999998</v>
      </c>
      <c r="L10" s="753">
        <f t="shared" si="1"/>
        <v>27.637</v>
      </c>
      <c r="M10" s="721">
        <v>19.277999999999999</v>
      </c>
      <c r="N10" s="765">
        <f>Table25234678910111012131214121516151718[[#This Row],[Jones Creek Target (Mbopd)]]-Table25234678910111012131214121516151718[[#This Row],[Jones Creek (Mbopd)]]</f>
        <v>9.8820000000000014</v>
      </c>
      <c r="O10" s="723">
        <f>Table25234678910111012131214121516151718[[#This Row],[Odidi Target (Mbopd)]]-Table25234678910111012131214121516151718[[#This Row],[Odidi (Mbopd)]]</f>
        <v>2.6980000000000004</v>
      </c>
      <c r="P10" s="721">
        <f>Table25234678910111012131214121516151718[[#This Row],[Batan Target (Mbopd)]]-Table25234678910111012131214121516151718[[#This Row],[Batan (Mbopd)]]</f>
        <v>8.9</v>
      </c>
      <c r="Q10" s="747">
        <f>Table25234678910111012131214121516151718[[#This Row],[Egwa Target (Mbopd)]]-Table25234678910111012131214121516151718[[#This Row],[Egwa (Mbopd)]]</f>
        <v>0.32500000000000018</v>
      </c>
      <c r="R10" s="745">
        <v>6.93</v>
      </c>
      <c r="S10" s="723">
        <v>32.549999999999997</v>
      </c>
      <c r="T10" s="723">
        <v>0</v>
      </c>
      <c r="U10" s="747">
        <v>1.2150000000000001</v>
      </c>
      <c r="V10" s="746">
        <v>0.84240000000000004</v>
      </c>
      <c r="W10" s="723">
        <v>0</v>
      </c>
      <c r="X10" s="723">
        <v>0</v>
      </c>
      <c r="Y10" s="721">
        <v>0</v>
      </c>
      <c r="Z10" s="746">
        <f>+Table25234678910111012131214121516151718[[#This Row],[J/C Prod gas (MMscf)]]-Table25234678910111012131214121516151718[[#This Row],[J/C Utilised gas (MMscf)]]</f>
        <v>6.0876000000000001</v>
      </c>
      <c r="AA10" s="723">
        <f>+Table25234678910111012131214121516151718[[#This Row],[Odid Prod gas (MMscf)]]-Table25234678910111012131214121516151718[[#This Row],[Gas Export (MMscf/d)]]-Table25234678910111012131214121516151718[[#This Row],[Odid Utilised gas (MMscf)]]</f>
        <v>13.271999999999998</v>
      </c>
      <c r="AB10" s="723">
        <f>+Table25234678910111012131214121516151718[[#This Row],[Batn Prod gas (MMscf)]]-Table25234678910111012131214121516151718[[#This Row],[Batn Utilised gas (MMscf)]]</f>
        <v>0</v>
      </c>
      <c r="AC10" s="747">
        <f>+Table25234678910111012131214121516151718[[#This Row],[Egwa Prod gas (MMscf)]]-Table25234678910111012131214121516151718[[#This Row],[Egwa Utilised gas (MMscf)]]</f>
        <v>1.2150000000000001</v>
      </c>
      <c r="AD10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40.695</v>
      </c>
      <c r="AE10" s="723">
        <f>+Table25234678910111012131214121516151718[[#This Row],[Gas Export (MMscf/d)]]</f>
        <v>19.277999999999999</v>
      </c>
      <c r="AF10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10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20.5746</v>
      </c>
      <c r="AH10" s="142"/>
      <c r="AJ10" s="145" t="s">
        <v>447</v>
      </c>
      <c r="AK10" s="273">
        <f>SUM(AK6:AK9)</f>
        <v>49.45</v>
      </c>
      <c r="AL10" s="270">
        <v>28.754000000000001</v>
      </c>
      <c r="AM10" s="269">
        <v>30.827000000000002</v>
      </c>
      <c r="AN10" s="270">
        <v>19.738</v>
      </c>
      <c r="AO10" s="269">
        <v>14.791</v>
      </c>
      <c r="AP10" s="270">
        <v>28.555</v>
      </c>
    </row>
    <row r="11" spans="2:51" ht="21.6">
      <c r="B11" s="716">
        <v>44476</v>
      </c>
      <c r="C11" s="749">
        <v>21.64</v>
      </c>
      <c r="D11" s="750">
        <v>15.132</v>
      </c>
      <c r="E11" s="751">
        <v>8.9</v>
      </c>
      <c r="F11" s="749">
        <v>3.77</v>
      </c>
      <c r="G11" s="749">
        <f>SUM(Table25234678910111012131214121516151718[[#This Row],[Jones Creek Target (Mbopd)]:[Egwa Target (Mbopd)]])</f>
        <v>49.442</v>
      </c>
      <c r="H11" s="752">
        <v>12.523999999999999</v>
      </c>
      <c r="I11" s="752">
        <v>12.393000000000001</v>
      </c>
      <c r="J11" s="752">
        <v>0</v>
      </c>
      <c r="K11" s="754">
        <v>1.802</v>
      </c>
      <c r="L11" s="753">
        <f t="shared" si="1"/>
        <v>26.719000000000001</v>
      </c>
      <c r="M11" s="721">
        <v>19.600000000000001</v>
      </c>
      <c r="N11" s="765">
        <f>Table25234678910111012131214121516151718[[#This Row],[Jones Creek Target (Mbopd)]]-Table25234678910111012131214121516151718[[#This Row],[Jones Creek (Mbopd)]]</f>
        <v>9.1160000000000014</v>
      </c>
      <c r="O11" s="723">
        <f>Table25234678910111012131214121516151718[[#This Row],[Odidi Target (Mbopd)]]-Table25234678910111012131214121516151718[[#This Row],[Odidi (Mbopd)]]</f>
        <v>2.738999999999999</v>
      </c>
      <c r="P11" s="721">
        <f>Table25234678910111012131214121516151718[[#This Row],[Batan Target (Mbopd)]]-Table25234678910111012131214121516151718[[#This Row],[Batan (Mbopd)]]</f>
        <v>8.9</v>
      </c>
      <c r="Q11" s="747">
        <f>Table25234678910111012131214121516151718[[#This Row],[Egwa Target (Mbopd)]]-Table25234678910111012131214121516151718[[#This Row],[Egwa (Mbopd)]]</f>
        <v>1.968</v>
      </c>
      <c r="R11" s="745">
        <v>6.91</v>
      </c>
      <c r="S11" s="723">
        <v>32.549999999999997</v>
      </c>
      <c r="T11" s="723">
        <v>0</v>
      </c>
      <c r="U11" s="747">
        <v>0.85099999999999998</v>
      </c>
      <c r="V11" s="746">
        <v>0.84240000000000004</v>
      </c>
      <c r="W11" s="723">
        <v>0</v>
      </c>
      <c r="X11" s="723">
        <v>0</v>
      </c>
      <c r="Y11" s="721">
        <v>0</v>
      </c>
      <c r="Z11" s="746">
        <f>+Table25234678910111012131214121516151718[[#This Row],[J/C Prod gas (MMscf)]]-Table25234678910111012131214121516151718[[#This Row],[J/C Utilised gas (MMscf)]]</f>
        <v>6.0676000000000005</v>
      </c>
      <c r="AA11" s="723">
        <f>+Table25234678910111012131214121516151718[[#This Row],[Odid Prod gas (MMscf)]]-Table25234678910111012131214121516151718[[#This Row],[Gas Export (MMscf/d)]]-Table25234678910111012131214121516151718[[#This Row],[Odid Utilised gas (MMscf)]]</f>
        <v>12.949999999999996</v>
      </c>
      <c r="AB11" s="723">
        <f>+Table25234678910111012131214121516151718[[#This Row],[Batn Prod gas (MMscf)]]-Table25234678910111012131214121516151718[[#This Row],[Batn Utilised gas (MMscf)]]</f>
        <v>0</v>
      </c>
      <c r="AC11" s="747">
        <f>+Table25234678910111012131214121516151718[[#This Row],[Egwa Prod gas (MMscf)]]-Table25234678910111012131214121516151718[[#This Row],[Egwa Utilised gas (MMscf)]]</f>
        <v>0.85099999999999998</v>
      </c>
      <c r="AD11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40.310999999999993</v>
      </c>
      <c r="AE11" s="723">
        <f>+Table25234678910111012131214121516151718[[#This Row],[Gas Export (MMscf/d)]]</f>
        <v>19.600000000000001</v>
      </c>
      <c r="AF11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11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19.868599999999994</v>
      </c>
      <c r="AH11" s="142"/>
      <c r="AI11" s="730"/>
      <c r="AJ11" s="145" t="s">
        <v>448</v>
      </c>
      <c r="AK11" s="273">
        <v>31</v>
      </c>
      <c r="AL11" s="270">
        <v>5.4509999999999996</v>
      </c>
      <c r="AM11" s="269">
        <v>13.003</v>
      </c>
      <c r="AN11" s="270">
        <v>20.355</v>
      </c>
      <c r="AO11" s="269">
        <v>19.891999999999999</v>
      </c>
      <c r="AP11" s="270">
        <v>2.6859999999999999</v>
      </c>
    </row>
    <row r="12" spans="2:51" ht="21.6">
      <c r="B12" s="716">
        <v>44477</v>
      </c>
      <c r="C12" s="749">
        <v>21.64</v>
      </c>
      <c r="D12" s="750">
        <v>15.132</v>
      </c>
      <c r="E12" s="751">
        <v>8.9</v>
      </c>
      <c r="F12" s="749">
        <v>3.77</v>
      </c>
      <c r="G12" s="749">
        <f>SUM(Table25234678910111012131214121516151718[[#This Row],[Jones Creek Target (Mbopd)]:[Egwa Target (Mbopd)]])</f>
        <v>49.442</v>
      </c>
      <c r="H12" s="752">
        <v>22.408000000000001</v>
      </c>
      <c r="I12" s="754">
        <v>11.635999999999999</v>
      </c>
      <c r="J12" s="754">
        <v>0</v>
      </c>
      <c r="K12" s="754">
        <v>2.085</v>
      </c>
      <c r="L12" s="753">
        <f t="shared" si="1"/>
        <v>36.128999999999998</v>
      </c>
      <c r="M12" s="721">
        <v>18.811</v>
      </c>
      <c r="N12" s="765">
        <f>Table25234678910111012131214121516151718[[#This Row],[Jones Creek Target (Mbopd)]]-Table25234678910111012131214121516151718[[#This Row],[Jones Creek (Mbopd)]]</f>
        <v>-0.76800000000000068</v>
      </c>
      <c r="O12" s="723">
        <f>Table25234678910111012131214121516151718[[#This Row],[Odidi Target (Mbopd)]]-Table25234678910111012131214121516151718[[#This Row],[Odidi (Mbopd)]]</f>
        <v>3.4960000000000004</v>
      </c>
      <c r="P12" s="721">
        <f>Table25234678910111012131214121516151718[[#This Row],[Batan Target (Mbopd)]]-Table25234678910111012131214121516151718[[#This Row],[Batan (Mbopd)]]</f>
        <v>8.9</v>
      </c>
      <c r="Q12" s="747">
        <f>Table25234678910111012131214121516151718[[#This Row],[Egwa Target (Mbopd)]]-Table25234678910111012131214121516151718[[#This Row],[Egwa (Mbopd)]]</f>
        <v>1.6850000000000001</v>
      </c>
      <c r="R12" s="745">
        <v>10.34</v>
      </c>
      <c r="S12" s="723">
        <v>32.549999999999997</v>
      </c>
      <c r="T12" s="723">
        <v>0</v>
      </c>
      <c r="U12" s="747">
        <v>0.98399999999999999</v>
      </c>
      <c r="V12" s="746">
        <v>0.84240000000000004</v>
      </c>
      <c r="W12" s="723">
        <v>0</v>
      </c>
      <c r="X12" s="723">
        <v>0</v>
      </c>
      <c r="Y12" s="721">
        <v>0</v>
      </c>
      <c r="Z12" s="746">
        <f>+Table25234678910111012131214121516151718[[#This Row],[J/C Prod gas (MMscf)]]-Table25234678910111012131214121516151718[[#This Row],[J/C Utilised gas (MMscf)]]</f>
        <v>9.4976000000000003</v>
      </c>
      <c r="AA12" s="723">
        <f>+Table25234678910111012131214121516151718[[#This Row],[Odid Prod gas (MMscf)]]-Table25234678910111012131214121516151718[[#This Row],[Gas Export (MMscf/d)]]-Table25234678910111012131214121516151718[[#This Row],[Odid Utilised gas (MMscf)]]</f>
        <v>13.738999999999997</v>
      </c>
      <c r="AB12" s="723">
        <f>+Table25234678910111012131214121516151718[[#This Row],[Batn Prod gas (MMscf)]]-Table25234678910111012131214121516151718[[#This Row],[Batn Utilised gas (MMscf)]]</f>
        <v>0</v>
      </c>
      <c r="AC12" s="747">
        <f>+Table25234678910111012131214121516151718[[#This Row],[Egwa Prod gas (MMscf)]]-Table25234678910111012131214121516151718[[#This Row],[Egwa Utilised gas (MMscf)]]</f>
        <v>0.98399999999999999</v>
      </c>
      <c r="AD12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43.874000000000002</v>
      </c>
      <c r="AE12" s="723">
        <f>+Table25234678910111012131214121516151718[[#This Row],[Gas Export (MMscf/d)]]</f>
        <v>18.811</v>
      </c>
      <c r="AF12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12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24.220599999999997</v>
      </c>
      <c r="AH12" s="142"/>
      <c r="AI12" s="729"/>
      <c r="AJ12" s="763"/>
      <c r="AK12" s="762"/>
      <c r="AL12" s="762"/>
      <c r="AM12" s="762"/>
      <c r="AN12" s="762"/>
      <c r="AO12" s="762"/>
      <c r="AP12" s="762"/>
      <c r="AS12" s="454"/>
      <c r="AT12" s="454"/>
      <c r="AU12" s="454"/>
      <c r="AV12" s="454"/>
      <c r="AW12" s="454"/>
      <c r="AX12" s="454"/>
      <c r="AY12" s="454"/>
    </row>
    <row r="13" spans="2:51" ht="21.6">
      <c r="B13" s="716">
        <v>44478</v>
      </c>
      <c r="C13" s="749">
        <v>21.64</v>
      </c>
      <c r="D13" s="750">
        <v>15.132</v>
      </c>
      <c r="E13" s="751">
        <v>8.9</v>
      </c>
      <c r="F13" s="749">
        <v>3.77</v>
      </c>
      <c r="G13" s="749">
        <f>SUM(Table25234678910111012131214121516151718[[#This Row],[Jones Creek Target (Mbopd)]:[Egwa Target (Mbopd)]])</f>
        <v>49.442</v>
      </c>
      <c r="H13" s="752">
        <v>21.306000000000001</v>
      </c>
      <c r="I13" s="752">
        <v>11.066000000000001</v>
      </c>
      <c r="J13" s="752">
        <v>0</v>
      </c>
      <c r="K13" s="754">
        <v>1.9</v>
      </c>
      <c r="L13" s="753">
        <f t="shared" si="1"/>
        <v>34.271999999999998</v>
      </c>
      <c r="M13" s="721">
        <v>21.611000000000001</v>
      </c>
      <c r="N13" s="765">
        <f>Table25234678910111012131214121516151718[[#This Row],[Jones Creek Target (Mbopd)]]-Table25234678910111012131214121516151718[[#This Row],[Jones Creek (Mbopd)]]</f>
        <v>0.33399999999999963</v>
      </c>
      <c r="O13" s="723">
        <f>Table25234678910111012131214121516151718[[#This Row],[Odidi Target (Mbopd)]]-Table25234678910111012131214121516151718[[#This Row],[Odidi (Mbopd)]]</f>
        <v>4.0659999999999989</v>
      </c>
      <c r="P13" s="721">
        <f>Table25234678910111012131214121516151718[[#This Row],[Batan Target (Mbopd)]]-Table25234678910111012131214121516151718[[#This Row],[Batan (Mbopd)]]</f>
        <v>8.9</v>
      </c>
      <c r="Q13" s="747">
        <f>Table25234678910111012131214121516151718[[#This Row],[Egwa Target (Mbopd)]]-Table25234678910111012131214121516151718[[#This Row],[Egwa (Mbopd)]]</f>
        <v>1.87</v>
      </c>
      <c r="R13" s="745">
        <v>10.54</v>
      </c>
      <c r="S13" s="723">
        <v>29.83</v>
      </c>
      <c r="T13" s="723">
        <v>0</v>
      </c>
      <c r="U13" s="747">
        <v>0.75800000000000001</v>
      </c>
      <c r="V13" s="746">
        <v>0.84240000000000004</v>
      </c>
      <c r="W13" s="723">
        <v>0</v>
      </c>
      <c r="X13" s="723">
        <v>0</v>
      </c>
      <c r="Y13" s="721">
        <v>0</v>
      </c>
      <c r="Z13" s="746">
        <f>+Table25234678910111012131214121516151718[[#This Row],[J/C Prod gas (MMscf)]]-Table25234678910111012131214121516151718[[#This Row],[J/C Utilised gas (MMscf)]]</f>
        <v>9.6975999999999996</v>
      </c>
      <c r="AA13" s="723">
        <f>+Table25234678910111012131214121516151718[[#This Row],[Odid Prod gas (MMscf)]]-Table25234678910111012131214121516151718[[#This Row],[Gas Export (MMscf/d)]]-Table25234678910111012131214121516151718[[#This Row],[Odid Utilised gas (MMscf)]]</f>
        <v>8.2189999999999976</v>
      </c>
      <c r="AB13" s="723">
        <f>+Table25234678910111012131214121516151718[[#This Row],[Batn Prod gas (MMscf)]]-Table25234678910111012131214121516151718[[#This Row],[Batn Utilised gas (MMscf)]]</f>
        <v>0</v>
      </c>
      <c r="AC13" s="747">
        <f>+Table25234678910111012131214121516151718[[#This Row],[Egwa Prod gas (MMscf)]]-Table25234678910111012131214121516151718[[#This Row],[Egwa Utilised gas (MMscf)]]</f>
        <v>0.75800000000000001</v>
      </c>
      <c r="AD13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41.128</v>
      </c>
      <c r="AE13" s="723">
        <f>+Table25234678910111012131214121516151718[[#This Row],[Gas Export (MMscf/d)]]</f>
        <v>21.611000000000001</v>
      </c>
      <c r="AF13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13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18.674599999999995</v>
      </c>
      <c r="AH13" s="142"/>
      <c r="AI13" s="729"/>
      <c r="AJ13" s="763"/>
      <c r="AK13" s="762"/>
      <c r="AL13" s="762"/>
      <c r="AM13" s="762"/>
      <c r="AN13" s="762"/>
      <c r="AO13" s="762"/>
      <c r="AP13" s="762"/>
      <c r="AS13" s="454"/>
      <c r="AT13" s="454"/>
      <c r="AU13" s="454"/>
      <c r="AV13" s="454"/>
      <c r="AW13" s="454"/>
      <c r="AX13" s="454"/>
      <c r="AY13" s="454"/>
    </row>
    <row r="14" spans="2:51" ht="21.6">
      <c r="B14" s="716">
        <v>44479</v>
      </c>
      <c r="C14" s="749">
        <v>21.64</v>
      </c>
      <c r="D14" s="750">
        <v>15.132</v>
      </c>
      <c r="E14" s="751">
        <v>8.9</v>
      </c>
      <c r="F14" s="749">
        <v>3.77</v>
      </c>
      <c r="G14" s="749">
        <f>SUM(Table25234678910111012131214121516151718[[#This Row],[Jones Creek Target (Mbopd)]:[Egwa Target (Mbopd)]])</f>
        <v>49.442</v>
      </c>
      <c r="H14" s="752">
        <v>21.009</v>
      </c>
      <c r="I14" s="752">
        <v>12.474</v>
      </c>
      <c r="J14" s="752">
        <v>0</v>
      </c>
      <c r="K14" s="754">
        <v>2.6549999999999998</v>
      </c>
      <c r="L14" s="753">
        <f t="shared" si="1"/>
        <v>36.138000000000005</v>
      </c>
      <c r="M14" s="721">
        <v>24.189</v>
      </c>
      <c r="N14" s="765">
        <f>Table25234678910111012131214121516151718[[#This Row],[Jones Creek Target (Mbopd)]]-Table25234678910111012131214121516151718[[#This Row],[Jones Creek (Mbopd)]]</f>
        <v>0.63100000000000023</v>
      </c>
      <c r="O14" s="723">
        <f>Table25234678910111012131214121516151718[[#This Row],[Odidi Target (Mbopd)]]-Table25234678910111012131214121516151718[[#This Row],[Odidi (Mbopd)]]</f>
        <v>2.6579999999999995</v>
      </c>
      <c r="P14" s="721">
        <f>Table25234678910111012131214121516151718[[#This Row],[Batan Target (Mbopd)]]-Table25234678910111012131214121516151718[[#This Row],[Batan (Mbopd)]]</f>
        <v>8.9</v>
      </c>
      <c r="Q14" s="747">
        <f>Table25234678910111012131214121516151718[[#This Row],[Egwa Target (Mbopd)]]-Table25234678910111012131214121516151718[[#This Row],[Egwa (Mbopd)]]</f>
        <v>1.1150000000000002</v>
      </c>
      <c r="R14" s="745">
        <v>10.2834</v>
      </c>
      <c r="S14" s="723">
        <v>31.9</v>
      </c>
      <c r="T14" s="723">
        <v>0</v>
      </c>
      <c r="U14" s="747">
        <v>1.167</v>
      </c>
      <c r="V14" s="746">
        <v>0.84240000000000004</v>
      </c>
      <c r="W14" s="723">
        <v>0</v>
      </c>
      <c r="X14" s="723">
        <v>0</v>
      </c>
      <c r="Y14" s="721">
        <v>0</v>
      </c>
      <c r="Z14" s="746">
        <f>+Table25234678910111012131214121516151718[[#This Row],[J/C Prod gas (MMscf)]]-Table25234678910111012131214121516151718[[#This Row],[J/C Utilised gas (MMscf)]]</f>
        <v>9.4410000000000007</v>
      </c>
      <c r="AA14" s="723">
        <f>+Table25234678910111012131214121516151718[[#This Row],[Odid Prod gas (MMscf)]]-Table25234678910111012131214121516151718[[#This Row],[Gas Export (MMscf/d)]]-Table25234678910111012131214121516151718[[#This Row],[Odid Utilised gas (MMscf)]]</f>
        <v>7.7109999999999985</v>
      </c>
      <c r="AB14" s="723">
        <f>+Table25234678910111012131214121516151718[[#This Row],[Batn Prod gas (MMscf)]]-Table25234678910111012131214121516151718[[#This Row],[Batn Utilised gas (MMscf)]]</f>
        <v>0</v>
      </c>
      <c r="AC14" s="747">
        <f>+Table25234678910111012131214121516151718[[#This Row],[Egwa Prod gas (MMscf)]]-Table25234678910111012131214121516151718[[#This Row],[Egwa Utilised gas (MMscf)]]</f>
        <v>1.167</v>
      </c>
      <c r="AD14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43.3504</v>
      </c>
      <c r="AE14" s="723">
        <f>+Table25234678910111012131214121516151718[[#This Row],[Gas Export (MMscf/d)]]</f>
        <v>24.189</v>
      </c>
      <c r="AF14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14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18.319000000000003</v>
      </c>
      <c r="AH14" s="142"/>
      <c r="AI14" s="729"/>
      <c r="AJ14" s="763"/>
      <c r="AK14" s="762"/>
      <c r="AL14" s="762"/>
      <c r="AM14" s="762"/>
      <c r="AN14" s="762"/>
      <c r="AO14" s="762"/>
      <c r="AP14" s="762"/>
      <c r="AS14" s="454"/>
      <c r="AT14" s="454"/>
      <c r="AU14" s="454"/>
      <c r="AV14" s="454"/>
      <c r="AW14" s="454"/>
      <c r="AX14" s="454"/>
      <c r="AY14" s="454"/>
    </row>
    <row r="15" spans="2:51" ht="21.6">
      <c r="B15" s="716">
        <v>44480</v>
      </c>
      <c r="C15" s="749">
        <v>21.64</v>
      </c>
      <c r="D15" s="750">
        <v>15.132</v>
      </c>
      <c r="E15" s="751">
        <v>8.9</v>
      </c>
      <c r="F15" s="749">
        <v>3.77</v>
      </c>
      <c r="G15" s="749">
        <f>SUM(Table25234678910111012131214121516151718[[#This Row],[Jones Creek Target (Mbopd)]:[Egwa Target (Mbopd)]])</f>
        <v>49.442</v>
      </c>
      <c r="H15" s="752">
        <v>21.448</v>
      </c>
      <c r="I15" s="752">
        <v>12.038</v>
      </c>
      <c r="J15" s="752">
        <v>0</v>
      </c>
      <c r="K15" s="752">
        <v>3.5590000000000002</v>
      </c>
      <c r="L15" s="753">
        <f t="shared" si="1"/>
        <v>37.045000000000002</v>
      </c>
      <c r="M15" s="721">
        <v>24.047999999999998</v>
      </c>
      <c r="N15" s="765">
        <f>Table25234678910111012131214121516151718[[#This Row],[Jones Creek Target (Mbopd)]]-Table25234678910111012131214121516151718[[#This Row],[Jones Creek (Mbopd)]]</f>
        <v>0.19200000000000017</v>
      </c>
      <c r="O15" s="723">
        <f>Table25234678910111012131214121516151718[[#This Row],[Odidi Target (Mbopd)]]-Table25234678910111012131214121516151718[[#This Row],[Odidi (Mbopd)]]</f>
        <v>3.0939999999999994</v>
      </c>
      <c r="P15" s="721">
        <f>Table25234678910111012131214121516151718[[#This Row],[Batan Target (Mbopd)]]-Table25234678910111012131214121516151718[[#This Row],[Batan (Mbopd)]]</f>
        <v>8.9</v>
      </c>
      <c r="Q15" s="747">
        <f>Table25234678910111012131214121516151718[[#This Row],[Egwa Target (Mbopd)]]-Table25234678910111012131214121516151718[[#This Row],[Egwa (Mbopd)]]</f>
        <v>0.21099999999999985</v>
      </c>
      <c r="R15" s="745">
        <v>10.2827</v>
      </c>
      <c r="S15" s="723">
        <v>31.9</v>
      </c>
      <c r="T15" s="723">
        <v>0</v>
      </c>
      <c r="U15" s="747">
        <v>1.625</v>
      </c>
      <c r="V15" s="746">
        <v>0.84240000000000004</v>
      </c>
      <c r="W15" s="723">
        <v>0</v>
      </c>
      <c r="X15" s="723">
        <v>0</v>
      </c>
      <c r="Y15" s="721">
        <v>0</v>
      </c>
      <c r="Z15" s="746">
        <f>+Table25234678910111012131214121516151718[[#This Row],[J/C Prod gas (MMscf)]]-Table25234678910111012131214121516151718[[#This Row],[J/C Utilised gas (MMscf)]]</f>
        <v>9.4403000000000006</v>
      </c>
      <c r="AA15" s="723">
        <f>+Table25234678910111012131214121516151718[[#This Row],[Odid Prod gas (MMscf)]]-Table25234678910111012131214121516151718[[#This Row],[Gas Export (MMscf/d)]]-Table25234678910111012131214121516151718[[#This Row],[Odid Utilised gas (MMscf)]]</f>
        <v>7.8520000000000003</v>
      </c>
      <c r="AB15" s="723">
        <f>+Table25234678910111012131214121516151718[[#This Row],[Batn Prod gas (MMscf)]]-Table25234678910111012131214121516151718[[#This Row],[Batn Utilised gas (MMscf)]]</f>
        <v>0</v>
      </c>
      <c r="AC15" s="747">
        <f>+Table25234678910111012131214121516151718[[#This Row],[Egwa Prod gas (MMscf)]]-Table25234678910111012131214121516151718[[#This Row],[Egwa Utilised gas (MMscf)]]</f>
        <v>1.625</v>
      </c>
      <c r="AD15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43.807699999999997</v>
      </c>
      <c r="AE15" s="723">
        <f>+Table25234678910111012131214121516151718[[#This Row],[Gas Export (MMscf/d)]]</f>
        <v>24.047999999999998</v>
      </c>
      <c r="AF15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15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18.917300000000001</v>
      </c>
      <c r="AH15" s="142"/>
      <c r="AI15" s="729"/>
      <c r="AJ15" s="763"/>
      <c r="AK15" s="762"/>
      <c r="AL15" s="762"/>
      <c r="AM15" s="762"/>
      <c r="AN15" s="762"/>
      <c r="AO15" s="762"/>
      <c r="AP15" s="762"/>
      <c r="AS15" s="454"/>
      <c r="AT15" s="454"/>
      <c r="AU15" s="454"/>
      <c r="AV15" s="454"/>
      <c r="AW15" s="454"/>
      <c r="AX15" s="454"/>
      <c r="AY15" s="454"/>
    </row>
    <row r="16" spans="2:51" ht="21.6">
      <c r="B16" s="716">
        <v>44481</v>
      </c>
      <c r="C16" s="749">
        <v>21.64</v>
      </c>
      <c r="D16" s="750">
        <v>15.132</v>
      </c>
      <c r="E16" s="751">
        <v>8.9</v>
      </c>
      <c r="F16" s="749">
        <v>3.77</v>
      </c>
      <c r="G16" s="749">
        <f>SUM(Table25234678910111012131214121516151718[[#This Row],[Jones Creek Target (Mbopd)]:[Egwa Target (Mbopd)]])</f>
        <v>49.442</v>
      </c>
      <c r="H16" s="752">
        <v>21.518999999999998</v>
      </c>
      <c r="I16" s="752">
        <v>12.587999999999999</v>
      </c>
      <c r="J16" s="752">
        <v>3.24</v>
      </c>
      <c r="K16" s="752">
        <v>3.5659999999999998</v>
      </c>
      <c r="L16" s="753">
        <f t="shared" si="1"/>
        <v>40.913000000000004</v>
      </c>
      <c r="M16" s="764">
        <v>23.664999999999999</v>
      </c>
      <c r="N16" s="765">
        <f>Table25234678910111012131214121516151718[[#This Row],[Jones Creek Target (Mbopd)]]-Table25234678910111012131214121516151718[[#This Row],[Jones Creek (Mbopd)]]</f>
        <v>0.12100000000000222</v>
      </c>
      <c r="O16" s="723">
        <f>Table25234678910111012131214121516151718[[#This Row],[Odidi Target (Mbopd)]]-Table25234678910111012131214121516151718[[#This Row],[Odidi (Mbopd)]]</f>
        <v>2.5440000000000005</v>
      </c>
      <c r="P16" s="721">
        <f>Table25234678910111012131214121516151718[[#This Row],[Batan Target (Mbopd)]]-Table25234678910111012131214121516151718[[#This Row],[Batan (Mbopd)]]</f>
        <v>5.66</v>
      </c>
      <c r="Q16" s="747">
        <f>Table25234678910111012131214121516151718[[#This Row],[Egwa Target (Mbopd)]]-Table25234678910111012131214121516151718[[#This Row],[Egwa (Mbopd)]]</f>
        <v>0.20400000000000018</v>
      </c>
      <c r="R16" s="745">
        <v>10.281000000000001</v>
      </c>
      <c r="S16" s="723">
        <v>32.71</v>
      </c>
      <c r="T16" s="723">
        <v>1.1000000000000001</v>
      </c>
      <c r="U16" s="747">
        <v>1.671</v>
      </c>
      <c r="V16" s="746">
        <v>0.84240000000000004</v>
      </c>
      <c r="W16" s="723">
        <v>0</v>
      </c>
      <c r="X16" s="723">
        <v>1.1000000000000001</v>
      </c>
      <c r="Y16" s="721">
        <v>0</v>
      </c>
      <c r="Z16" s="746">
        <f>+Table25234678910111012131214121516151718[[#This Row],[J/C Prod gas (MMscf)]]-Table25234678910111012131214121516151718[[#This Row],[J/C Utilised gas (MMscf)]]</f>
        <v>9.438600000000001</v>
      </c>
      <c r="AA16" s="723">
        <f>+Table25234678910111012131214121516151718[[#This Row],[Odid Prod gas (MMscf)]]-Table25234678910111012131214121516151718[[#This Row],[Gas Export (MMscf/d)]]-Table25234678910111012131214121516151718[[#This Row],[Odid Utilised gas (MMscf)]]</f>
        <v>9.0450000000000017</v>
      </c>
      <c r="AB16" s="723">
        <f>+Table25234678910111012131214121516151718[[#This Row],[Batn Prod gas (MMscf)]]-Table25234678910111012131214121516151718[[#This Row],[Batn Utilised gas (MMscf)]]</f>
        <v>0</v>
      </c>
      <c r="AC16" s="747">
        <f>+Table25234678910111012131214121516151718[[#This Row],[Egwa Prod gas (MMscf)]]-Table25234678910111012131214121516151718[[#This Row],[Egwa Utilised gas (MMscf)]]</f>
        <v>1.671</v>
      </c>
      <c r="AD16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45.762</v>
      </c>
      <c r="AE16" s="723">
        <f>+Table25234678910111012131214121516151718[[#This Row],[Gas Export (MMscf/d)]]</f>
        <v>23.664999999999999</v>
      </c>
      <c r="AF16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1.9424000000000001</v>
      </c>
      <c r="AG16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20.154600000000002</v>
      </c>
      <c r="AH16" s="142"/>
      <c r="AI16" s="729"/>
      <c r="AJ16" s="763"/>
      <c r="AK16" s="762"/>
      <c r="AL16" s="762"/>
      <c r="AM16" s="762"/>
      <c r="AN16" s="762"/>
      <c r="AO16" s="762"/>
      <c r="AP16" s="762"/>
      <c r="AS16" s="454"/>
      <c r="AT16" s="454"/>
      <c r="AU16" s="454"/>
      <c r="AV16" s="454"/>
      <c r="AW16" s="454"/>
      <c r="AX16" s="454"/>
      <c r="AY16" s="454"/>
    </row>
    <row r="17" spans="2:51" ht="21.6">
      <c r="B17" s="716">
        <v>44482</v>
      </c>
      <c r="C17" s="749">
        <v>21.64</v>
      </c>
      <c r="D17" s="750">
        <v>15.132</v>
      </c>
      <c r="E17" s="751">
        <v>8.9</v>
      </c>
      <c r="F17" s="749">
        <v>3.77</v>
      </c>
      <c r="G17" s="749">
        <f>SUM(Table25234678910111012131214121516151718[[#This Row],[Jones Creek Target (Mbopd)]:[Egwa Target (Mbopd)]])</f>
        <v>49.442</v>
      </c>
      <c r="H17" s="752">
        <v>19.925999999999998</v>
      </c>
      <c r="I17" s="752">
        <v>11.861000000000001</v>
      </c>
      <c r="J17" s="752">
        <v>2.0289999999999999</v>
      </c>
      <c r="K17" s="752">
        <v>3.5579999999999998</v>
      </c>
      <c r="L17" s="753">
        <f t="shared" si="1"/>
        <v>37.374000000000002</v>
      </c>
      <c r="M17" s="721">
        <v>23.963999999999999</v>
      </c>
      <c r="N17" s="765">
        <f>Table25234678910111012131214121516151718[[#This Row],[Jones Creek Target (Mbopd)]]-Table25234678910111012131214121516151718[[#This Row],[Jones Creek (Mbopd)]]</f>
        <v>1.7140000000000022</v>
      </c>
      <c r="O17" s="723">
        <f>Table25234678910111012131214121516151718[[#This Row],[Odidi Target (Mbopd)]]-Table25234678910111012131214121516151718[[#This Row],[Odidi (Mbopd)]]</f>
        <v>3.270999999999999</v>
      </c>
      <c r="P17" s="721">
        <f>Table25234678910111012131214121516151718[[#This Row],[Batan Target (Mbopd)]]-Table25234678910111012131214121516151718[[#This Row],[Batan (Mbopd)]]</f>
        <v>6.8710000000000004</v>
      </c>
      <c r="Q17" s="747">
        <f>Table25234678910111012131214121516151718[[#This Row],[Egwa Target (Mbopd)]]-Table25234678910111012131214121516151718[[#This Row],[Egwa (Mbopd)]]</f>
        <v>0.21200000000000019</v>
      </c>
      <c r="R17" s="745">
        <v>9.3889999999999993</v>
      </c>
      <c r="S17" s="723">
        <v>32.07</v>
      </c>
      <c r="T17" s="723">
        <v>1</v>
      </c>
      <c r="U17" s="747">
        <v>1.772</v>
      </c>
      <c r="V17" s="746">
        <v>0.84240000000000004</v>
      </c>
      <c r="W17" s="723">
        <v>0</v>
      </c>
      <c r="X17" s="723">
        <v>1.1000000000000001</v>
      </c>
      <c r="Y17" s="721">
        <v>0</v>
      </c>
      <c r="Z17" s="746">
        <f>+Table25234678910111012131214121516151718[[#This Row],[J/C Prod gas (MMscf)]]-Table25234678910111012131214121516151718[[#This Row],[J/C Utilised gas (MMscf)]]</f>
        <v>8.5465999999999998</v>
      </c>
      <c r="AA17" s="723">
        <f>+Table25234678910111012131214121516151718[[#This Row],[Odid Prod gas (MMscf)]]-Table25234678910111012131214121516151718[[#This Row],[Gas Export (MMscf/d)]]-Table25234678910111012131214121516151718[[#This Row],[Odid Utilised gas (MMscf)]]</f>
        <v>8.1060000000000016</v>
      </c>
      <c r="AB17" s="723">
        <f>+Table25234678910111012131214121516151718[[#This Row],[Batn Prod gas (MMscf)]]-Table25234678910111012131214121516151718[[#This Row],[Batn Utilised gas (MMscf)]]</f>
        <v>-0.10000000000000009</v>
      </c>
      <c r="AC17" s="747">
        <f>+Table25234678910111012131214121516151718[[#This Row],[Egwa Prod gas (MMscf)]]-Table25234678910111012131214121516151718[[#This Row],[Egwa Utilised gas (MMscf)]]</f>
        <v>1.772</v>
      </c>
      <c r="AD17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44.231000000000002</v>
      </c>
      <c r="AE17" s="723">
        <f>+Table25234678910111012131214121516151718[[#This Row],[Gas Export (MMscf/d)]]</f>
        <v>23.963999999999999</v>
      </c>
      <c r="AF17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1.9424000000000001</v>
      </c>
      <c r="AG17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18.324599999999997</v>
      </c>
      <c r="AH17" s="142"/>
      <c r="AI17" s="729"/>
      <c r="AJ17" s="763"/>
      <c r="AK17" s="762"/>
      <c r="AL17" s="762"/>
      <c r="AM17" s="762"/>
      <c r="AN17" s="762"/>
      <c r="AO17" s="762"/>
      <c r="AP17" s="762"/>
      <c r="AS17" s="454"/>
      <c r="AT17" s="454"/>
      <c r="AU17" s="454"/>
      <c r="AV17" s="454"/>
      <c r="AW17" s="454"/>
      <c r="AX17" s="454"/>
      <c r="AY17" s="454"/>
    </row>
    <row r="18" spans="2:51" ht="21.6">
      <c r="B18" s="716">
        <v>44483</v>
      </c>
      <c r="C18" s="749">
        <v>21.64</v>
      </c>
      <c r="D18" s="750">
        <v>15.132</v>
      </c>
      <c r="E18" s="751">
        <v>8.9</v>
      </c>
      <c r="F18" s="749">
        <v>3.77</v>
      </c>
      <c r="G18" s="749">
        <f>SUM(Table25234678910111012131214121516151718[[#This Row],[Jones Creek Target (Mbopd)]:[Egwa Target (Mbopd)]])</f>
        <v>49.442</v>
      </c>
      <c r="H18" s="752">
        <v>10.609</v>
      </c>
      <c r="I18" s="752">
        <v>11.843</v>
      </c>
      <c r="J18" s="752">
        <v>3.2549999999999999</v>
      </c>
      <c r="K18" s="752">
        <v>3.56</v>
      </c>
      <c r="L18" s="753">
        <f t="shared" si="1"/>
        <v>29.266999999999996</v>
      </c>
      <c r="M18" s="721">
        <v>5.74</v>
      </c>
      <c r="N18" s="765">
        <f>Table25234678910111012131214121516151718[[#This Row],[Jones Creek Target (Mbopd)]]-Table25234678910111012131214121516151718[[#This Row],[Jones Creek (Mbopd)]]</f>
        <v>11.031000000000001</v>
      </c>
      <c r="O18" s="723">
        <f>Table25234678910111012131214121516151718[[#This Row],[Odidi Target (Mbopd)]]-Table25234678910111012131214121516151718[[#This Row],[Odidi (Mbopd)]]</f>
        <v>3.2889999999999997</v>
      </c>
      <c r="P18" s="721">
        <f>Table25234678910111012131214121516151718[[#This Row],[Batan Target (Mbopd)]]-Table25234678910111012131214121516151718[[#This Row],[Batan (Mbopd)]]</f>
        <v>5.6450000000000005</v>
      </c>
      <c r="Q18" s="747">
        <f>Table25234678910111012131214121516151718[[#This Row],[Egwa Target (Mbopd)]]-Table25234678910111012131214121516151718[[#This Row],[Egwa (Mbopd)]]</f>
        <v>0.20999999999999996</v>
      </c>
      <c r="R18" s="745">
        <v>6.9298999999999999</v>
      </c>
      <c r="S18" s="723">
        <v>31.93</v>
      </c>
      <c r="T18" s="723">
        <v>1.1000000000000001</v>
      </c>
      <c r="U18" s="747">
        <v>1.921</v>
      </c>
      <c r="V18" s="746">
        <v>0.84240000000000004</v>
      </c>
      <c r="W18" s="723">
        <v>0</v>
      </c>
      <c r="X18" s="723">
        <v>0.6</v>
      </c>
      <c r="Y18" s="721">
        <v>0</v>
      </c>
      <c r="Z18" s="746">
        <f>+Table25234678910111012131214121516151718[[#This Row],[J/C Prod gas (MMscf)]]-Table25234678910111012131214121516151718[[#This Row],[J/C Utilised gas (MMscf)]]</f>
        <v>6.0875000000000004</v>
      </c>
      <c r="AA18" s="723">
        <f>+Table25234678910111012131214121516151718[[#This Row],[Odid Prod gas (MMscf)]]-Table25234678910111012131214121516151718[[#This Row],[Gas Export (MMscf/d)]]-Table25234678910111012131214121516151718[[#This Row],[Odid Utilised gas (MMscf)]]</f>
        <v>26.189999999999998</v>
      </c>
      <c r="AB18" s="723">
        <f>+Table25234678910111012131214121516151718[[#This Row],[Batn Prod gas (MMscf)]]-Table25234678910111012131214121516151718[[#This Row],[Batn Utilised gas (MMscf)]]</f>
        <v>0.50000000000000011</v>
      </c>
      <c r="AC18" s="747">
        <f>+Table25234678910111012131214121516151718[[#This Row],[Egwa Prod gas (MMscf)]]-Table25234678910111012131214121516151718[[#This Row],[Egwa Utilised gas (MMscf)]]</f>
        <v>1.921</v>
      </c>
      <c r="AD18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41.880899999999997</v>
      </c>
      <c r="AE18" s="723">
        <f>+Table25234678910111012131214121516151718[[#This Row],[Gas Export (MMscf/d)]]</f>
        <v>5.74</v>
      </c>
      <c r="AF18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1.4424000000000001</v>
      </c>
      <c r="AG18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34.698499999999996</v>
      </c>
      <c r="AH18" s="142"/>
      <c r="AI18" s="729"/>
      <c r="AJ18" s="763"/>
      <c r="AK18" s="762"/>
      <c r="AL18" s="762"/>
      <c r="AM18" s="762"/>
      <c r="AN18" s="762"/>
      <c r="AO18" s="762"/>
      <c r="AP18" s="762"/>
      <c r="AS18" s="454"/>
      <c r="AT18" s="454"/>
      <c r="AU18" s="454"/>
      <c r="AV18" s="454"/>
      <c r="AW18" s="454"/>
      <c r="AX18" s="454"/>
      <c r="AY18" s="454"/>
    </row>
    <row r="19" spans="2:51" ht="21.6">
      <c r="B19" s="716">
        <v>44484</v>
      </c>
      <c r="C19" s="749">
        <v>21.64</v>
      </c>
      <c r="D19" s="750">
        <v>15.132</v>
      </c>
      <c r="E19" s="751">
        <v>8.9</v>
      </c>
      <c r="F19" s="749">
        <v>3.77</v>
      </c>
      <c r="G19" s="749">
        <f>SUM(Table25234678910111012131214121516151718[[#This Row],[Jones Creek Target (Mbopd)]:[Egwa Target (Mbopd)]])</f>
        <v>49.442</v>
      </c>
      <c r="H19" s="754">
        <v>13.257</v>
      </c>
      <c r="I19" s="752">
        <v>11.79</v>
      </c>
      <c r="J19" s="752">
        <v>1.71</v>
      </c>
      <c r="K19" s="752">
        <v>3.5569999999999999</v>
      </c>
      <c r="L19" s="753">
        <f t="shared" si="1"/>
        <v>30.313999999999997</v>
      </c>
      <c r="M19" s="721">
        <v>16.672000000000001</v>
      </c>
      <c r="N19" s="765">
        <f>Table25234678910111012131214121516151718[[#This Row],[Jones Creek Target (Mbopd)]]-Table25234678910111012131214121516151718[[#This Row],[Jones Creek (Mbopd)]]</f>
        <v>8.3830000000000009</v>
      </c>
      <c r="O19" s="723">
        <f>Table25234678910111012131214121516151718[[#This Row],[Odidi Target (Mbopd)]]-Table25234678910111012131214121516151718[[#This Row],[Odidi (Mbopd)]]</f>
        <v>3.3420000000000005</v>
      </c>
      <c r="P19" s="721">
        <f>Table25234678910111012131214121516151718[[#This Row],[Batan Target (Mbopd)]]-Table25234678910111012131214121516151718[[#This Row],[Batan (Mbopd)]]</f>
        <v>7.19</v>
      </c>
      <c r="Q19" s="747">
        <f>Table25234678910111012131214121516151718[[#This Row],[Egwa Target (Mbopd)]]-Table25234678910111012131214121516151718[[#This Row],[Egwa (Mbopd)]]</f>
        <v>0.21300000000000008</v>
      </c>
      <c r="R19" s="745">
        <v>7.8368000000000002</v>
      </c>
      <c r="S19" s="723">
        <v>31.93</v>
      </c>
      <c r="T19" s="723">
        <v>1.1000000000000001</v>
      </c>
      <c r="U19" s="747">
        <v>1.9510000000000001</v>
      </c>
      <c r="V19" s="746">
        <v>0.84240000000000004</v>
      </c>
      <c r="W19" s="723">
        <v>0</v>
      </c>
      <c r="X19" s="723">
        <v>0.6</v>
      </c>
      <c r="Y19" s="721">
        <v>0</v>
      </c>
      <c r="Z19" s="746">
        <f>+Table25234678910111012131214121516151718[[#This Row],[J/C Prod gas (MMscf)]]-Table25234678910111012131214121516151718[[#This Row],[J/C Utilised gas (MMscf)]]</f>
        <v>6.9944000000000006</v>
      </c>
      <c r="AA19" s="723">
        <f>+Table25234678910111012131214121516151718[[#This Row],[Odid Prod gas (MMscf)]]-Table25234678910111012131214121516151718[[#This Row],[Gas Export (MMscf/d)]]-Table25234678910111012131214121516151718[[#This Row],[Odid Utilised gas (MMscf)]]</f>
        <v>15.257999999999999</v>
      </c>
      <c r="AB19" s="723">
        <f>+Table25234678910111012131214121516151718[[#This Row],[Batn Prod gas (MMscf)]]-Table25234678910111012131214121516151718[[#This Row],[Batn Utilised gas (MMscf)]]</f>
        <v>0.50000000000000011</v>
      </c>
      <c r="AC19" s="747">
        <f>+Table25234678910111012131214121516151718[[#This Row],[Egwa Prod gas (MMscf)]]-Table25234678910111012131214121516151718[[#This Row],[Egwa Utilised gas (MMscf)]]</f>
        <v>1.9510000000000001</v>
      </c>
      <c r="AD19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42.817800000000005</v>
      </c>
      <c r="AE19" s="723">
        <f>+Table25234678910111012131214121516151718[[#This Row],[Gas Export (MMscf/d)]]</f>
        <v>16.672000000000001</v>
      </c>
      <c r="AF19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1.4424000000000001</v>
      </c>
      <c r="AG19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24.703400000000002</v>
      </c>
      <c r="AH19" s="142"/>
      <c r="AI19" s="729"/>
      <c r="AJ19" s="763"/>
      <c r="AK19" s="762"/>
      <c r="AL19" s="762"/>
      <c r="AM19" s="762"/>
      <c r="AN19" s="762"/>
      <c r="AO19" s="762"/>
      <c r="AP19" s="762"/>
      <c r="AS19" s="454"/>
      <c r="AT19" s="454"/>
      <c r="AU19" s="454"/>
      <c r="AV19" s="454"/>
      <c r="AW19" s="454"/>
      <c r="AX19" s="454"/>
      <c r="AY19" s="454"/>
    </row>
    <row r="20" spans="2:51" ht="21.6">
      <c r="B20" s="716">
        <v>44485</v>
      </c>
      <c r="C20" s="749">
        <v>21.64</v>
      </c>
      <c r="D20" s="750">
        <v>15.132</v>
      </c>
      <c r="E20" s="751">
        <v>8.9</v>
      </c>
      <c r="F20" s="749">
        <v>3.77</v>
      </c>
      <c r="G20" s="749">
        <f>SUM(Table25234678910111012131214121516151718[[#This Row],[Jones Creek Target (Mbopd)]:[Egwa Target (Mbopd)]])</f>
        <v>49.442</v>
      </c>
      <c r="H20" s="754">
        <v>7.0090000000000003</v>
      </c>
      <c r="I20" s="752">
        <v>11.448</v>
      </c>
      <c r="J20" s="752">
        <v>3.8889999999999998</v>
      </c>
      <c r="K20" s="752">
        <v>3.5880000000000001</v>
      </c>
      <c r="L20" s="753">
        <f t="shared" si="1"/>
        <v>25.934000000000001</v>
      </c>
      <c r="M20" s="721">
        <v>22.16</v>
      </c>
      <c r="N20" s="765">
        <f>Table25234678910111012131214121516151718[[#This Row],[Jones Creek Target (Mbopd)]]-Table25234678910111012131214121516151718[[#This Row],[Jones Creek (Mbopd)]]</f>
        <v>14.631</v>
      </c>
      <c r="O20" s="723">
        <f>Table25234678910111012131214121516151718[[#This Row],[Odidi Target (Mbopd)]]-Table25234678910111012131214121516151718[[#This Row],[Odidi (Mbopd)]]</f>
        <v>3.6839999999999993</v>
      </c>
      <c r="P20" s="721">
        <f>Table25234678910111012131214121516151718[[#This Row],[Batan Target (Mbopd)]]-Table25234678910111012131214121516151718[[#This Row],[Batan (Mbopd)]]</f>
        <v>5.011000000000001</v>
      </c>
      <c r="Q20" s="747">
        <f>Table25234678910111012131214121516151718[[#This Row],[Egwa Target (Mbopd)]]-Table25234678910111012131214121516151718[[#This Row],[Egwa (Mbopd)]]</f>
        <v>0.18199999999999994</v>
      </c>
      <c r="R20" s="745">
        <v>5.85</v>
      </c>
      <c r="S20" s="723">
        <v>31.93</v>
      </c>
      <c r="T20" s="723">
        <v>1.1000000000000001</v>
      </c>
      <c r="U20" s="747">
        <v>1.9510000000000001</v>
      </c>
      <c r="V20" s="746">
        <v>0.84240000000000004</v>
      </c>
      <c r="W20" s="723">
        <v>0</v>
      </c>
      <c r="X20" s="723">
        <v>0.6</v>
      </c>
      <c r="Y20" s="721">
        <v>0</v>
      </c>
      <c r="Z20" s="746">
        <f>+Table25234678910111012131214121516151718[[#This Row],[J/C Prod gas (MMscf)]]-Table25234678910111012131214121516151718[[#This Row],[J/C Utilised gas (MMscf)]]</f>
        <v>5.0076000000000001</v>
      </c>
      <c r="AA20" s="723">
        <f>+Table25234678910111012131214121516151718[[#This Row],[Odid Prod gas (MMscf)]]-Table25234678910111012131214121516151718[[#This Row],[Gas Export (MMscf/d)]]-Table25234678910111012131214121516151718[[#This Row],[Odid Utilised gas (MMscf)]]</f>
        <v>9.77</v>
      </c>
      <c r="AB20" s="723">
        <f>+Table25234678910111012131214121516151718[[#This Row],[Batn Prod gas (MMscf)]]-Table25234678910111012131214121516151718[[#This Row],[Batn Utilised gas (MMscf)]]</f>
        <v>0.50000000000000011</v>
      </c>
      <c r="AC20" s="747">
        <f>+Table25234678910111012131214121516151718[[#This Row],[Egwa Prod gas (MMscf)]]-Table25234678910111012131214121516151718[[#This Row],[Egwa Utilised gas (MMscf)]]</f>
        <v>1.9510000000000001</v>
      </c>
      <c r="AD20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40.831000000000003</v>
      </c>
      <c r="AE20" s="723">
        <f>+Table25234678910111012131214121516151718[[#This Row],[Gas Export (MMscf/d)]]</f>
        <v>22.16</v>
      </c>
      <c r="AF20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1.4424000000000001</v>
      </c>
      <c r="AG20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17.2286</v>
      </c>
      <c r="AH20" s="142"/>
      <c r="AI20" s="729"/>
      <c r="AJ20" s="763"/>
      <c r="AK20" s="762"/>
      <c r="AL20" s="762"/>
      <c r="AM20" s="762"/>
      <c r="AN20" s="762"/>
      <c r="AO20" s="762"/>
      <c r="AP20" s="762"/>
      <c r="AS20" s="454"/>
      <c r="AT20" s="454"/>
      <c r="AU20" s="454"/>
      <c r="AV20" s="454"/>
      <c r="AW20" s="454"/>
      <c r="AX20" s="454"/>
      <c r="AY20" s="454"/>
    </row>
    <row r="21" spans="2:51" ht="21.6">
      <c r="B21" s="716">
        <v>44486</v>
      </c>
      <c r="C21" s="749">
        <v>21.64</v>
      </c>
      <c r="D21" s="750">
        <v>15.132</v>
      </c>
      <c r="E21" s="751">
        <v>8.9</v>
      </c>
      <c r="F21" s="749">
        <v>3.77</v>
      </c>
      <c r="G21" s="749">
        <f>SUM(Table25234678910111012131214121516151718[[#This Row],[Jones Creek Target (Mbopd)]:[Egwa Target (Mbopd)]])</f>
        <v>49.442</v>
      </c>
      <c r="H21" s="752">
        <v>11.818</v>
      </c>
      <c r="I21" s="752">
        <v>13.292999999999999</v>
      </c>
      <c r="J21" s="752">
        <v>3.319</v>
      </c>
      <c r="K21" s="752">
        <v>3.5750000000000002</v>
      </c>
      <c r="L21" s="753">
        <f t="shared" si="1"/>
        <v>32.004999999999995</v>
      </c>
      <c r="M21" s="721">
        <v>22.934999999999999</v>
      </c>
      <c r="N21" s="765">
        <f>Table25234678910111012131214121516151718[[#This Row],[Jones Creek Target (Mbopd)]]-Table25234678910111012131214121516151718[[#This Row],[Jones Creek (Mbopd)]]</f>
        <v>9.822000000000001</v>
      </c>
      <c r="O21" s="723">
        <f>Table25234678910111012131214121516151718[[#This Row],[Odidi Target (Mbopd)]]-Table25234678910111012131214121516151718[[#This Row],[Odidi (Mbopd)]]</f>
        <v>1.8390000000000004</v>
      </c>
      <c r="P21" s="721">
        <f>Table25234678910111012131214121516151718[[#This Row],[Batan Target (Mbopd)]]-Table25234678910111012131214121516151718[[#This Row],[Batan (Mbopd)]]</f>
        <v>5.5810000000000004</v>
      </c>
      <c r="Q21" s="747">
        <f>Table25234678910111012131214121516151718[[#This Row],[Egwa Target (Mbopd)]]-Table25234678910111012131214121516151718[[#This Row],[Egwa (Mbopd)]]</f>
        <v>0.19499999999999984</v>
      </c>
      <c r="R21" s="745">
        <v>5.8278999999999996</v>
      </c>
      <c r="S21" s="723">
        <v>31.93</v>
      </c>
      <c r="T21" s="723">
        <v>1.07</v>
      </c>
      <c r="U21" s="747">
        <v>1.9510000000000001</v>
      </c>
      <c r="V21" s="746">
        <v>0.84240000000000004</v>
      </c>
      <c r="W21" s="723">
        <v>0</v>
      </c>
      <c r="X21" s="723">
        <v>0.1</v>
      </c>
      <c r="Y21" s="721">
        <v>0</v>
      </c>
      <c r="Z21" s="746">
        <f>+Table25234678910111012131214121516151718[[#This Row],[J/C Prod gas (MMscf)]]-Table25234678910111012131214121516151718[[#This Row],[J/C Utilised gas (MMscf)]]</f>
        <v>4.9855</v>
      </c>
      <c r="AA21" s="723">
        <f>+Table25234678910111012131214121516151718[[#This Row],[Odid Prod gas (MMscf)]]-Table25234678910111012131214121516151718[[#This Row],[Gas Export (MMscf/d)]]-Table25234678910111012131214121516151718[[#This Row],[Odid Utilised gas (MMscf)]]</f>
        <v>8.995000000000001</v>
      </c>
      <c r="AB21" s="723">
        <f>+Table25234678910111012131214121516151718[[#This Row],[Batn Prod gas (MMscf)]]-Table25234678910111012131214121516151718[[#This Row],[Batn Utilised gas (MMscf)]]</f>
        <v>0.97000000000000008</v>
      </c>
      <c r="AC21" s="747">
        <f>+Table25234678910111012131214121516151718[[#This Row],[Egwa Prod gas (MMscf)]]-Table25234678910111012131214121516151718[[#This Row],[Egwa Utilised gas (MMscf)]]</f>
        <v>1.9510000000000001</v>
      </c>
      <c r="AD21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40.7789</v>
      </c>
      <c r="AE21" s="723">
        <f>+Table25234678910111012131214121516151718[[#This Row],[Gas Export (MMscf/d)]]</f>
        <v>22.934999999999999</v>
      </c>
      <c r="AF21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0.94240000000000002</v>
      </c>
      <c r="AG21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16.901500000000002</v>
      </c>
      <c r="AH21" s="142"/>
      <c r="AI21" s="729"/>
      <c r="AJ21" s="763"/>
      <c r="AK21" s="762"/>
      <c r="AL21" s="762"/>
      <c r="AM21" s="762"/>
      <c r="AN21" s="762"/>
      <c r="AO21" s="762"/>
      <c r="AP21" s="762"/>
      <c r="AS21" s="454"/>
      <c r="AT21" s="454"/>
      <c r="AU21" s="454"/>
      <c r="AV21" s="454"/>
      <c r="AW21" s="454"/>
      <c r="AX21" s="454"/>
      <c r="AY21" s="454"/>
    </row>
    <row r="22" spans="2:51" ht="21.6">
      <c r="B22" s="716">
        <v>44487</v>
      </c>
      <c r="C22" s="749">
        <v>21.64</v>
      </c>
      <c r="D22" s="750">
        <v>15.132</v>
      </c>
      <c r="E22" s="751">
        <v>8.9</v>
      </c>
      <c r="F22" s="749">
        <v>3.77</v>
      </c>
      <c r="G22" s="749">
        <f>SUM(Table25234678910111012131214121516151718[[#This Row],[Jones Creek Target (Mbopd)]:[Egwa Target (Mbopd)]])</f>
        <v>49.442</v>
      </c>
      <c r="H22" s="752">
        <v>16.117000000000001</v>
      </c>
      <c r="I22" s="752">
        <v>12.265000000000001</v>
      </c>
      <c r="J22" s="752">
        <v>2.3290000000000002</v>
      </c>
      <c r="K22" s="752">
        <v>3.5790000000000002</v>
      </c>
      <c r="L22" s="753">
        <f t="shared" si="1"/>
        <v>34.29</v>
      </c>
      <c r="M22" s="721">
        <v>24.003</v>
      </c>
      <c r="N22" s="765">
        <f>Table25234678910111012131214121516151718[[#This Row],[Jones Creek Target (Mbopd)]]-Table25234678910111012131214121516151718[[#This Row],[Jones Creek (Mbopd)]]</f>
        <v>5.5229999999999997</v>
      </c>
      <c r="O22" s="723">
        <f>Table25234678910111012131214121516151718[[#This Row],[Odidi Target (Mbopd)]]-Table25234678910111012131214121516151718[[#This Row],[Odidi (Mbopd)]]</f>
        <v>2.8669999999999991</v>
      </c>
      <c r="P22" s="721">
        <f>Table25234678910111012131214121516151718[[#This Row],[Batan Target (Mbopd)]]-Table25234678910111012131214121516151718[[#This Row],[Batan (Mbopd)]]</f>
        <v>6.5709999999999997</v>
      </c>
      <c r="Q22" s="747">
        <f>Table25234678910111012131214121516151718[[#This Row],[Egwa Target (Mbopd)]]-Table25234678910111012131214121516151718[[#This Row],[Egwa (Mbopd)]]</f>
        <v>0.19099999999999984</v>
      </c>
      <c r="R22" s="745">
        <v>8.44</v>
      </c>
      <c r="S22" s="723">
        <v>31.93</v>
      </c>
      <c r="T22" s="723">
        <v>1.1000000000000001</v>
      </c>
      <c r="U22" s="747">
        <v>2.21</v>
      </c>
      <c r="V22" s="746">
        <v>0.84240000000000004</v>
      </c>
      <c r="W22" s="723">
        <v>0</v>
      </c>
      <c r="X22" s="723">
        <v>0.6</v>
      </c>
      <c r="Y22" s="721">
        <v>0</v>
      </c>
      <c r="Z22" s="746">
        <f>+Table25234678910111012131214121516151718[[#This Row],[J/C Prod gas (MMscf)]]-Table25234678910111012131214121516151718[[#This Row],[J/C Utilised gas (MMscf)]]</f>
        <v>7.5975999999999999</v>
      </c>
      <c r="AA22" s="723">
        <f>+Table25234678910111012131214121516151718[[#This Row],[Odid Prod gas (MMscf)]]-Table25234678910111012131214121516151718[[#This Row],[Gas Export (MMscf/d)]]-Table25234678910111012131214121516151718[[#This Row],[Odid Utilised gas (MMscf)]]</f>
        <v>7.9269999999999996</v>
      </c>
      <c r="AB22" s="723">
        <f>+Table25234678910111012131214121516151718[[#This Row],[Batn Prod gas (MMscf)]]-Table25234678910111012131214121516151718[[#This Row],[Batn Utilised gas (MMscf)]]</f>
        <v>0.50000000000000011</v>
      </c>
      <c r="AC22" s="747">
        <f>+Table25234678910111012131214121516151718[[#This Row],[Egwa Prod gas (MMscf)]]-Table25234678910111012131214121516151718[[#This Row],[Egwa Utilised gas (MMscf)]]</f>
        <v>2.21</v>
      </c>
      <c r="AD22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43.68</v>
      </c>
      <c r="AE22" s="723">
        <f>+Table25234678910111012131214121516151718[[#This Row],[Gas Export (MMscf/d)]]</f>
        <v>24.003</v>
      </c>
      <c r="AF22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1.4424000000000001</v>
      </c>
      <c r="AG22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18.2346</v>
      </c>
      <c r="AH22" s="142"/>
      <c r="AI22" s="729"/>
      <c r="AJ22" s="763"/>
      <c r="AK22" s="762"/>
      <c r="AL22" s="762"/>
      <c r="AM22" s="762"/>
      <c r="AN22" s="762"/>
      <c r="AO22" s="762"/>
      <c r="AP22" s="762"/>
      <c r="AS22" s="454"/>
      <c r="AT22" s="454"/>
      <c r="AU22" s="454"/>
      <c r="AV22" s="454"/>
      <c r="AW22" s="454"/>
      <c r="AX22" s="454"/>
      <c r="AY22" s="454"/>
    </row>
    <row r="23" spans="2:51" ht="21.6">
      <c r="B23" s="716">
        <v>44488</v>
      </c>
      <c r="C23" s="749">
        <v>21.64</v>
      </c>
      <c r="D23" s="750">
        <v>15.132</v>
      </c>
      <c r="E23" s="751">
        <v>8.9</v>
      </c>
      <c r="F23" s="749">
        <v>3.77</v>
      </c>
      <c r="G23" s="749">
        <f>SUM(Table25234678910111012131214121516151718[[#This Row],[Jones Creek Target (Mbopd)]:[Egwa Target (Mbopd)]])</f>
        <v>49.442</v>
      </c>
      <c r="H23" s="752">
        <v>18.545999999999999</v>
      </c>
      <c r="I23" s="752">
        <v>12.105</v>
      </c>
      <c r="J23" s="752">
        <v>3.2690000000000001</v>
      </c>
      <c r="K23" s="752">
        <v>3.5659999999999998</v>
      </c>
      <c r="L23" s="753">
        <f t="shared" si="1"/>
        <v>37.486000000000004</v>
      </c>
      <c r="M23" s="721">
        <v>22.541</v>
      </c>
      <c r="N23" s="765">
        <f>Table25234678910111012131214121516151718[[#This Row],[Jones Creek Target (Mbopd)]]-Table25234678910111012131214121516151718[[#This Row],[Jones Creek (Mbopd)]]</f>
        <v>3.0940000000000012</v>
      </c>
      <c r="O23" s="723">
        <f>Table25234678910111012131214121516151718[[#This Row],[Odidi Target (Mbopd)]]-Table25234678910111012131214121516151718[[#This Row],[Odidi (Mbopd)]]</f>
        <v>3.0269999999999992</v>
      </c>
      <c r="P23" s="721">
        <f>Table25234678910111012131214121516151718[[#This Row],[Batan Target (Mbopd)]]-Table25234678910111012131214121516151718[[#This Row],[Batan (Mbopd)]]</f>
        <v>5.6310000000000002</v>
      </c>
      <c r="Q23" s="747">
        <f>Table25234678910111012131214121516151718[[#This Row],[Egwa Target (Mbopd)]]-Table25234678910111012131214121516151718[[#This Row],[Egwa (Mbopd)]]</f>
        <v>0.20400000000000018</v>
      </c>
      <c r="R23" s="745">
        <v>9.16</v>
      </c>
      <c r="S23" s="723">
        <v>31.77</v>
      </c>
      <c r="T23" s="723">
        <v>1.1000000000000001</v>
      </c>
      <c r="U23" s="747">
        <v>2.1829999999999998</v>
      </c>
      <c r="V23" s="746">
        <v>0.84240000000000004</v>
      </c>
      <c r="W23" s="723">
        <v>0</v>
      </c>
      <c r="X23" s="723">
        <v>0.6</v>
      </c>
      <c r="Y23" s="721">
        <v>0</v>
      </c>
      <c r="Z23" s="746">
        <f>+Table25234678910111012131214121516151718[[#This Row],[J/C Prod gas (MMscf)]]-Table25234678910111012131214121516151718[[#This Row],[J/C Utilised gas (MMscf)]]</f>
        <v>8.3176000000000005</v>
      </c>
      <c r="AA23" s="723">
        <f>+Table25234678910111012131214121516151718[[#This Row],[Odid Prod gas (MMscf)]]-Table25234678910111012131214121516151718[[#This Row],[Gas Export (MMscf/d)]]-Table25234678910111012131214121516151718[[#This Row],[Odid Utilised gas (MMscf)]]</f>
        <v>9.2289999999999992</v>
      </c>
      <c r="AB23" s="723">
        <f>+Table25234678910111012131214121516151718[[#This Row],[Batn Prod gas (MMscf)]]-Table25234678910111012131214121516151718[[#This Row],[Batn Utilised gas (MMscf)]]</f>
        <v>0.50000000000000011</v>
      </c>
      <c r="AC23" s="747">
        <f>+Table25234678910111012131214121516151718[[#This Row],[Egwa Prod gas (MMscf)]]-Table25234678910111012131214121516151718[[#This Row],[Egwa Utilised gas (MMscf)]]</f>
        <v>2.1829999999999998</v>
      </c>
      <c r="AD23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44.213000000000001</v>
      </c>
      <c r="AE23" s="723">
        <f>+Table25234678910111012131214121516151718[[#This Row],[Gas Export (MMscf/d)]]</f>
        <v>22.541</v>
      </c>
      <c r="AF23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1.4424000000000001</v>
      </c>
      <c r="AG23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20.229599999999998</v>
      </c>
      <c r="AH23" s="142"/>
      <c r="AI23" s="729"/>
      <c r="AJ23" s="763"/>
      <c r="AK23" s="762"/>
      <c r="AL23" s="762"/>
      <c r="AM23" s="762"/>
      <c r="AN23" s="762"/>
      <c r="AO23" s="762"/>
      <c r="AP23" s="762"/>
      <c r="AS23" s="454"/>
      <c r="AT23" s="454"/>
      <c r="AU23" s="454"/>
      <c r="AV23" s="454"/>
      <c r="AW23" s="454"/>
      <c r="AX23" s="454"/>
      <c r="AY23" s="454"/>
    </row>
    <row r="24" spans="2:51" ht="21.6">
      <c r="B24" s="716">
        <v>44489</v>
      </c>
      <c r="C24" s="749">
        <v>21.64</v>
      </c>
      <c r="D24" s="750">
        <v>15.132</v>
      </c>
      <c r="E24" s="751">
        <v>8.9</v>
      </c>
      <c r="F24" s="749">
        <v>3.77</v>
      </c>
      <c r="G24" s="749">
        <f>SUM(Table25234678910111012131214121516151718[[#This Row],[Jones Creek Target (Mbopd)]:[Egwa Target (Mbopd)]])</f>
        <v>49.442</v>
      </c>
      <c r="H24" s="752">
        <v>21.207999999999998</v>
      </c>
      <c r="I24" s="752">
        <v>12.401999999999999</v>
      </c>
      <c r="J24" s="752">
        <v>2.7189999999999999</v>
      </c>
      <c r="K24" s="752">
        <v>3.58</v>
      </c>
      <c r="L24" s="753">
        <f t="shared" si="1"/>
        <v>39.908999999999999</v>
      </c>
      <c r="M24" s="721">
        <v>22.541</v>
      </c>
      <c r="N24" s="765">
        <f>Table25234678910111012131214121516151718[[#This Row],[Jones Creek Target (Mbopd)]]-Table25234678910111012131214121516151718[[#This Row],[Jones Creek (Mbopd)]]</f>
        <v>0.43200000000000216</v>
      </c>
      <c r="O24" s="723">
        <f>Table25234678910111012131214121516151718[[#This Row],[Odidi Target (Mbopd)]]-Table25234678910111012131214121516151718[[#This Row],[Odidi (Mbopd)]]</f>
        <v>2.7300000000000004</v>
      </c>
      <c r="P24" s="721">
        <f>Table25234678910111012131214121516151718[[#This Row],[Batan Target (Mbopd)]]-Table25234678910111012131214121516151718[[#This Row],[Batan (Mbopd)]]</f>
        <v>6.1810000000000009</v>
      </c>
      <c r="Q24" s="747">
        <f>Table25234678910111012131214121516151718[[#This Row],[Egwa Target (Mbopd)]]-Table25234678910111012131214121516151718[[#This Row],[Egwa (Mbopd)]]</f>
        <v>0.18999999999999995</v>
      </c>
      <c r="R24" s="745">
        <v>9.6430000000000007</v>
      </c>
      <c r="S24" s="723">
        <v>33.4</v>
      </c>
      <c r="T24" s="723">
        <v>1.1000000000000001</v>
      </c>
      <c r="U24" s="747">
        <v>2.2120000000000002</v>
      </c>
      <c r="V24" s="746">
        <v>0.84240000000000004</v>
      </c>
      <c r="W24" s="723">
        <v>0</v>
      </c>
      <c r="X24" s="723">
        <v>0.6</v>
      </c>
      <c r="Y24" s="721">
        <v>0</v>
      </c>
      <c r="Z24" s="746">
        <f>+Table25234678910111012131214121516151718[[#This Row],[J/C Prod gas (MMscf)]]-Table25234678910111012131214121516151718[[#This Row],[J/C Utilised gas (MMscf)]]</f>
        <v>8.8006000000000011</v>
      </c>
      <c r="AA24" s="723">
        <f>+Table25234678910111012131214121516151718[[#This Row],[Odid Prod gas (MMscf)]]-Table25234678910111012131214121516151718[[#This Row],[Gas Export (MMscf/d)]]-Table25234678910111012131214121516151718[[#This Row],[Odid Utilised gas (MMscf)]]</f>
        <v>10.858999999999998</v>
      </c>
      <c r="AB24" s="723">
        <f>+Table25234678910111012131214121516151718[[#This Row],[Batn Prod gas (MMscf)]]-Table25234678910111012131214121516151718[[#This Row],[Batn Utilised gas (MMscf)]]</f>
        <v>0.50000000000000011</v>
      </c>
      <c r="AC24" s="747">
        <f>+Table25234678910111012131214121516151718[[#This Row],[Egwa Prod gas (MMscf)]]-Table25234678910111012131214121516151718[[#This Row],[Egwa Utilised gas (MMscf)]]</f>
        <v>2.2120000000000002</v>
      </c>
      <c r="AD24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46.355000000000004</v>
      </c>
      <c r="AE24" s="723">
        <f>+Table25234678910111012131214121516151718[[#This Row],[Gas Export (MMscf/d)]]</f>
        <v>22.541</v>
      </c>
      <c r="AF24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1.4424000000000001</v>
      </c>
      <c r="AG24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22.371599999999997</v>
      </c>
      <c r="AH24" s="142"/>
      <c r="AI24" s="729"/>
      <c r="AJ24" s="763"/>
      <c r="AK24" s="762"/>
      <c r="AL24" s="762"/>
      <c r="AM24" s="762"/>
      <c r="AN24" s="762"/>
      <c r="AO24" s="762"/>
      <c r="AP24" s="762"/>
      <c r="AS24" s="454"/>
      <c r="AT24" s="454"/>
      <c r="AU24" s="454"/>
      <c r="AV24" s="454"/>
      <c r="AW24" s="454"/>
      <c r="AX24" s="454"/>
      <c r="AY24" s="454"/>
    </row>
    <row r="25" spans="2:51" ht="21.6">
      <c r="B25" s="716">
        <v>44490</v>
      </c>
      <c r="C25" s="749">
        <v>21.64</v>
      </c>
      <c r="D25" s="750">
        <v>15.132</v>
      </c>
      <c r="E25" s="751">
        <v>8.9</v>
      </c>
      <c r="F25" s="749">
        <v>3.77</v>
      </c>
      <c r="G25" s="749">
        <f>SUM(Table25234678910111012131214121516151718[[#This Row],[Jones Creek Target (Mbopd)]:[Egwa Target (Mbopd)]])</f>
        <v>49.442</v>
      </c>
      <c r="H25" s="752">
        <v>18.035</v>
      </c>
      <c r="I25" s="752">
        <v>12.462</v>
      </c>
      <c r="J25" s="752">
        <v>2.5790000000000002</v>
      </c>
      <c r="K25" s="752">
        <v>3.5659999999999998</v>
      </c>
      <c r="L25" s="753">
        <f t="shared" si="1"/>
        <v>36.642000000000003</v>
      </c>
      <c r="M25" s="721">
        <v>26.922999999999998</v>
      </c>
      <c r="N25" s="765">
        <f>Table25234678910111012131214121516151718[[#This Row],[Jones Creek Target (Mbopd)]]-Table25234678910111012131214121516151718[[#This Row],[Jones Creek (Mbopd)]]</f>
        <v>3.6050000000000004</v>
      </c>
      <c r="O25" s="723">
        <f>Table25234678910111012131214121516151718[[#This Row],[Odidi Target (Mbopd)]]-Table25234678910111012131214121516151718[[#This Row],[Odidi (Mbopd)]]</f>
        <v>2.67</v>
      </c>
      <c r="P25" s="721">
        <f>Table25234678910111012131214121516151718[[#This Row],[Batan Target (Mbopd)]]-Table25234678910111012131214121516151718[[#This Row],[Batan (Mbopd)]]</f>
        <v>6.3209999999999997</v>
      </c>
      <c r="Q25" s="747">
        <f>Table25234678910111012131214121516151718[[#This Row],[Egwa Target (Mbopd)]]-Table25234678910111012131214121516151718[[#This Row],[Egwa (Mbopd)]]</f>
        <v>0.20400000000000018</v>
      </c>
      <c r="R25" s="745">
        <v>9.69</v>
      </c>
      <c r="S25" s="723">
        <v>36.840000000000003</v>
      </c>
      <c r="T25" s="723">
        <v>1.1000000000000001</v>
      </c>
      <c r="U25" s="747">
        <v>2.2120000000000002</v>
      </c>
      <c r="V25" s="746">
        <v>0.84240000000000004</v>
      </c>
      <c r="W25" s="723">
        <v>0</v>
      </c>
      <c r="X25" s="723">
        <v>0.6</v>
      </c>
      <c r="Y25" s="721">
        <v>0</v>
      </c>
      <c r="Z25" s="746">
        <f>+Table25234678910111012131214121516151718[[#This Row],[J/C Prod gas (MMscf)]]-Table25234678910111012131214121516151718[[#This Row],[J/C Utilised gas (MMscf)]]</f>
        <v>8.8475999999999999</v>
      </c>
      <c r="AA25" s="723">
        <f>+Table25234678910111012131214121516151718[[#This Row],[Odid Prod gas (MMscf)]]-Table25234678910111012131214121516151718[[#This Row],[Gas Export (MMscf/d)]]-Table25234678910111012131214121516151718[[#This Row],[Odid Utilised gas (MMscf)]]</f>
        <v>9.9170000000000051</v>
      </c>
      <c r="AB25" s="723">
        <f>+Table25234678910111012131214121516151718[[#This Row],[Batn Prod gas (MMscf)]]-Table25234678910111012131214121516151718[[#This Row],[Batn Utilised gas (MMscf)]]</f>
        <v>0.50000000000000011</v>
      </c>
      <c r="AC25" s="747">
        <f>+Table25234678910111012131214121516151718[[#This Row],[Egwa Prod gas (MMscf)]]-Table25234678910111012131214121516151718[[#This Row],[Egwa Utilised gas (MMscf)]]</f>
        <v>2.2120000000000002</v>
      </c>
      <c r="AD25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49.842000000000006</v>
      </c>
      <c r="AE25" s="723">
        <f>+Table25234678910111012131214121516151718[[#This Row],[Gas Export (MMscf/d)]]</f>
        <v>26.922999999999998</v>
      </c>
      <c r="AF25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1.4424000000000001</v>
      </c>
      <c r="AG25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21.476600000000005</v>
      </c>
      <c r="AH25" s="142"/>
      <c r="AI25" s="729"/>
      <c r="AJ25" s="763"/>
      <c r="AK25" s="762"/>
      <c r="AL25" s="762"/>
      <c r="AM25" s="762"/>
      <c r="AN25" s="762"/>
      <c r="AO25" s="762"/>
      <c r="AP25" s="762"/>
      <c r="AS25" s="454"/>
      <c r="AT25" s="454"/>
      <c r="AU25" s="454"/>
      <c r="AV25" s="454"/>
      <c r="AW25" s="454"/>
      <c r="AX25" s="454"/>
      <c r="AY25" s="454"/>
    </row>
    <row r="26" spans="2:51" ht="21.6">
      <c r="B26" s="716">
        <v>44491</v>
      </c>
      <c r="C26" s="749">
        <v>21.64</v>
      </c>
      <c r="D26" s="750">
        <v>15.132</v>
      </c>
      <c r="E26" s="751">
        <v>8.9</v>
      </c>
      <c r="F26" s="749">
        <v>3.77</v>
      </c>
      <c r="G26" s="749">
        <f>SUM(Table25234678910111012131214121516151718[[#This Row],[Jones Creek Target (Mbopd)]:[Egwa Target (Mbopd)]])</f>
        <v>49.442</v>
      </c>
      <c r="H26" s="752">
        <v>18.690000000000001</v>
      </c>
      <c r="I26" s="752">
        <v>11.789</v>
      </c>
      <c r="J26" s="752">
        <v>2.2599999999999998</v>
      </c>
      <c r="K26" s="752">
        <v>3.597</v>
      </c>
      <c r="L26" s="753">
        <f t="shared" si="1"/>
        <v>36.335999999999999</v>
      </c>
      <c r="M26" s="721">
        <v>24.777000000000001</v>
      </c>
      <c r="N26" s="765">
        <f>Table25234678910111012131214121516151718[[#This Row],[Jones Creek Target (Mbopd)]]-Table25234678910111012131214121516151718[[#This Row],[Jones Creek (Mbopd)]]</f>
        <v>2.9499999999999993</v>
      </c>
      <c r="O26" s="723">
        <f>Table25234678910111012131214121516151718[[#This Row],[Odidi Target (Mbopd)]]-Table25234678910111012131214121516151718[[#This Row],[Odidi (Mbopd)]]</f>
        <v>3.343</v>
      </c>
      <c r="P26" s="721">
        <f>Table25234678910111012131214121516151718[[#This Row],[Batan Target (Mbopd)]]-Table25234678910111012131214121516151718[[#This Row],[Batan (Mbopd)]]</f>
        <v>6.6400000000000006</v>
      </c>
      <c r="Q26" s="747">
        <f>Table25234678910111012131214121516151718[[#This Row],[Egwa Target (Mbopd)]]-Table25234678910111012131214121516151718[[#This Row],[Egwa (Mbopd)]]</f>
        <v>0.17300000000000004</v>
      </c>
      <c r="R26" s="745">
        <v>9.6936999999999998</v>
      </c>
      <c r="S26" s="723">
        <v>36.83</v>
      </c>
      <c r="T26" s="723">
        <v>1.1000000000000001</v>
      </c>
      <c r="U26" s="747">
        <v>2.3410000000000002</v>
      </c>
      <c r="V26" s="746">
        <v>0.84240000000000004</v>
      </c>
      <c r="W26" s="723">
        <v>0</v>
      </c>
      <c r="X26" s="723">
        <v>0.1</v>
      </c>
      <c r="Y26" s="721">
        <v>0</v>
      </c>
      <c r="Z26" s="746">
        <f>+Table25234678910111012131214121516151718[[#This Row],[J/C Prod gas (MMscf)]]-Table25234678910111012131214121516151718[[#This Row],[J/C Utilised gas (MMscf)]]</f>
        <v>8.8513000000000002</v>
      </c>
      <c r="AA26" s="723">
        <f>+Table25234678910111012131214121516151718[[#This Row],[Odid Prod gas (MMscf)]]-Table25234678910111012131214121516151718[[#This Row],[Gas Export (MMscf/d)]]-Table25234678910111012131214121516151718[[#This Row],[Odid Utilised gas (MMscf)]]</f>
        <v>12.052999999999997</v>
      </c>
      <c r="AB26" s="723">
        <f>+Table25234678910111012131214121516151718[[#This Row],[Batn Prod gas (MMscf)]]-Table25234678910111012131214121516151718[[#This Row],[Batn Utilised gas (MMscf)]]</f>
        <v>1</v>
      </c>
      <c r="AC26" s="747">
        <f>+Table25234678910111012131214121516151718[[#This Row],[Egwa Prod gas (MMscf)]]-Table25234678910111012131214121516151718[[#This Row],[Egwa Utilised gas (MMscf)]]</f>
        <v>2.3410000000000002</v>
      </c>
      <c r="AD26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49.964700000000001</v>
      </c>
      <c r="AE26" s="723">
        <f>+Table25234678910111012131214121516151718[[#This Row],[Gas Export (MMscf/d)]]</f>
        <v>24.777000000000001</v>
      </c>
      <c r="AF26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0.94240000000000002</v>
      </c>
      <c r="AG26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24.2453</v>
      </c>
      <c r="AH26" s="142"/>
      <c r="AI26" s="729"/>
      <c r="AJ26" s="763"/>
      <c r="AK26" s="762"/>
      <c r="AL26" s="762"/>
      <c r="AM26" s="762"/>
      <c r="AN26" s="762"/>
      <c r="AO26" s="762"/>
      <c r="AP26" s="762"/>
      <c r="AS26" s="454"/>
      <c r="AT26" s="454"/>
      <c r="AU26" s="454"/>
      <c r="AV26" s="454"/>
      <c r="AW26" s="454"/>
      <c r="AX26" s="454"/>
      <c r="AY26" s="454"/>
    </row>
    <row r="27" spans="2:51" ht="21.6">
      <c r="B27" s="716">
        <v>44492</v>
      </c>
      <c r="C27" s="749">
        <v>21.64</v>
      </c>
      <c r="D27" s="750">
        <v>15.132</v>
      </c>
      <c r="E27" s="751">
        <v>8.9</v>
      </c>
      <c r="F27" s="749">
        <v>3.77</v>
      </c>
      <c r="G27" s="749">
        <f>SUM(Table25234678910111012131214121516151718[[#This Row],[Jones Creek Target (Mbopd)]:[Egwa Target (Mbopd)]])</f>
        <v>49.442</v>
      </c>
      <c r="H27" s="752">
        <v>18.199000000000002</v>
      </c>
      <c r="I27" s="752">
        <v>7.2069999999999999</v>
      </c>
      <c r="J27" s="752">
        <v>2.2810000000000001</v>
      </c>
      <c r="K27" s="752">
        <v>3.5880000000000001</v>
      </c>
      <c r="L27" s="753">
        <f t="shared" si="1"/>
        <v>31.275000000000002</v>
      </c>
      <c r="M27" s="721">
        <v>25.870999999999999</v>
      </c>
      <c r="N27" s="765">
        <f>Table25234678910111012131214121516151718[[#This Row],[Jones Creek Target (Mbopd)]]-Table25234678910111012131214121516151718[[#This Row],[Jones Creek (Mbopd)]]</f>
        <v>3.4409999999999989</v>
      </c>
      <c r="O27" s="723">
        <f>Table25234678910111012131214121516151718[[#This Row],[Odidi Target (Mbopd)]]-Table25234678910111012131214121516151718[[#This Row],[Odidi (Mbopd)]]</f>
        <v>7.9249999999999998</v>
      </c>
      <c r="P27" s="721">
        <f>Table25234678910111012131214121516151718[[#This Row],[Batan Target (Mbopd)]]-Table25234678910111012131214121516151718[[#This Row],[Batan (Mbopd)]]</f>
        <v>6.6189999999999998</v>
      </c>
      <c r="Q27" s="747">
        <f>Table25234678910111012131214121516151718[[#This Row],[Egwa Target (Mbopd)]]-Table25234678910111012131214121516151718[[#This Row],[Egwa (Mbopd)]]</f>
        <v>0.18199999999999994</v>
      </c>
      <c r="R27" s="745">
        <v>10.44</v>
      </c>
      <c r="S27" s="723">
        <v>31.91</v>
      </c>
      <c r="T27" s="723">
        <v>1.1000000000000001</v>
      </c>
      <c r="U27" s="747">
        <v>2.38</v>
      </c>
      <c r="V27" s="746">
        <v>0.84240000000000004</v>
      </c>
      <c r="W27" s="723">
        <v>0</v>
      </c>
      <c r="X27" s="723">
        <v>0.1</v>
      </c>
      <c r="Y27" s="721">
        <v>0</v>
      </c>
      <c r="Z27" s="746">
        <f>+Table25234678910111012131214121516151718[[#This Row],[J/C Prod gas (MMscf)]]-Table25234678910111012131214121516151718[[#This Row],[J/C Utilised gas (MMscf)]]</f>
        <v>9.5975999999999999</v>
      </c>
      <c r="AA27" s="723">
        <f>+Table25234678910111012131214121516151718[[#This Row],[Odid Prod gas (MMscf)]]-Table25234678910111012131214121516151718[[#This Row],[Gas Export (MMscf/d)]]-Table25234678910111012131214121516151718[[#This Row],[Odid Utilised gas (MMscf)]]</f>
        <v>6.0390000000000015</v>
      </c>
      <c r="AB27" s="723">
        <f>+Table25234678910111012131214121516151718[[#This Row],[Batn Prod gas (MMscf)]]-Table25234678910111012131214121516151718[[#This Row],[Batn Utilised gas (MMscf)]]</f>
        <v>1</v>
      </c>
      <c r="AC27" s="747">
        <f>+Table25234678910111012131214121516151718[[#This Row],[Egwa Prod gas (MMscf)]]-Table25234678910111012131214121516151718[[#This Row],[Egwa Utilised gas (MMscf)]]</f>
        <v>2.38</v>
      </c>
      <c r="AD27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45.830000000000005</v>
      </c>
      <c r="AE27" s="723">
        <f>+Table25234678910111012131214121516151718[[#This Row],[Gas Export (MMscf/d)]]</f>
        <v>25.870999999999999</v>
      </c>
      <c r="AF27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0.94240000000000002</v>
      </c>
      <c r="AG27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19.0166</v>
      </c>
      <c r="AH27" s="142"/>
      <c r="AI27" s="729"/>
      <c r="AJ27" s="763"/>
      <c r="AK27" s="762"/>
      <c r="AL27" s="762"/>
      <c r="AM27" s="762"/>
      <c r="AN27" s="762"/>
      <c r="AO27" s="762"/>
      <c r="AP27" s="762"/>
      <c r="AS27" s="454"/>
      <c r="AT27" s="454"/>
      <c r="AU27" s="454"/>
      <c r="AV27" s="454"/>
      <c r="AW27" s="454"/>
      <c r="AX27" s="454"/>
      <c r="AY27" s="454"/>
    </row>
    <row r="28" spans="2:51" ht="21.6">
      <c r="B28" s="716">
        <v>44493</v>
      </c>
      <c r="C28" s="749">
        <v>21.64</v>
      </c>
      <c r="D28" s="750">
        <v>15.132</v>
      </c>
      <c r="E28" s="751">
        <v>8.9</v>
      </c>
      <c r="F28" s="749">
        <v>3.77</v>
      </c>
      <c r="G28" s="749">
        <f>SUM(Table25234678910111012131214121516151718[[#This Row],[Jones Creek Target (Mbopd)]:[Egwa Target (Mbopd)]])</f>
        <v>49.442</v>
      </c>
      <c r="H28" s="752">
        <v>19.315999999999999</v>
      </c>
      <c r="I28" s="752">
        <v>6.298</v>
      </c>
      <c r="J28" s="797">
        <v>2.2810000000000001</v>
      </c>
      <c r="K28" s="752">
        <v>3.52</v>
      </c>
      <c r="L28" s="753">
        <f t="shared" si="1"/>
        <v>31.414999999999996</v>
      </c>
      <c r="M28" s="721">
        <v>24.713999999999999</v>
      </c>
      <c r="N28" s="765">
        <f>Table25234678910111012131214121516151718[[#This Row],[Jones Creek Target (Mbopd)]]-Table25234678910111012131214121516151718[[#This Row],[Jones Creek (Mbopd)]]</f>
        <v>2.3240000000000016</v>
      </c>
      <c r="O28" s="723">
        <f>Table25234678910111012131214121516151718[[#This Row],[Odidi Target (Mbopd)]]-Table25234678910111012131214121516151718[[#This Row],[Odidi (Mbopd)]]</f>
        <v>8.8339999999999996</v>
      </c>
      <c r="P28" s="721">
        <f>Table25234678910111012131214121516151718[[#This Row],[Batan Target (Mbopd)]]-Table25234678910111012131214121516151718[[#This Row],[Batan (Mbopd)]]</f>
        <v>6.6189999999999998</v>
      </c>
      <c r="Q28" s="747">
        <f>Table25234678910111012131214121516151718[[#This Row],[Egwa Target (Mbopd)]]-Table25234678910111012131214121516151718[[#This Row],[Egwa (Mbopd)]]</f>
        <v>0.25</v>
      </c>
      <c r="R28" s="745">
        <v>10.6296</v>
      </c>
      <c r="S28" s="723">
        <v>31.24</v>
      </c>
      <c r="T28" s="723">
        <v>1.1000000000000001</v>
      </c>
      <c r="U28" s="747">
        <v>2.4060000000000001</v>
      </c>
      <c r="V28" s="746">
        <v>0.84240000000000004</v>
      </c>
      <c r="W28" s="723">
        <v>0</v>
      </c>
      <c r="X28" s="723">
        <v>0.1</v>
      </c>
      <c r="Y28" s="721">
        <v>0</v>
      </c>
      <c r="Z28" s="746">
        <f>+Table25234678910111012131214121516151718[[#This Row],[J/C Prod gas (MMscf)]]-Table25234678910111012131214121516151718[[#This Row],[J/C Utilised gas (MMscf)]]</f>
        <v>9.7872000000000003</v>
      </c>
      <c r="AA28" s="723">
        <f>+Table25234678910111012131214121516151718[[#This Row],[Odid Prod gas (MMscf)]]-Table25234678910111012131214121516151718[[#This Row],[Gas Export (MMscf/d)]]-Table25234678910111012131214121516151718[[#This Row],[Odid Utilised gas (MMscf)]]</f>
        <v>6.5259999999999998</v>
      </c>
      <c r="AB28" s="723">
        <f>+Table25234678910111012131214121516151718[[#This Row],[Batn Prod gas (MMscf)]]-Table25234678910111012131214121516151718[[#This Row],[Batn Utilised gas (MMscf)]]</f>
        <v>1</v>
      </c>
      <c r="AC28" s="747">
        <f>+Table25234678910111012131214121516151718[[#This Row],[Egwa Prod gas (MMscf)]]-Table25234678910111012131214121516151718[[#This Row],[Egwa Utilised gas (MMscf)]]</f>
        <v>2.4060000000000001</v>
      </c>
      <c r="AD28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45.375599999999999</v>
      </c>
      <c r="AE28" s="723">
        <f>+Table25234678910111012131214121516151718[[#This Row],[Gas Export (MMscf/d)]]</f>
        <v>24.713999999999999</v>
      </c>
      <c r="AF28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0.94240000000000002</v>
      </c>
      <c r="AG28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19.719200000000001</v>
      </c>
      <c r="AH28" s="142"/>
      <c r="AI28" s="729"/>
      <c r="AJ28" s="763"/>
      <c r="AK28" s="762"/>
      <c r="AL28" s="762"/>
      <c r="AM28" s="762"/>
      <c r="AN28" s="762"/>
      <c r="AO28" s="762"/>
      <c r="AP28" s="762"/>
      <c r="AS28" s="454"/>
      <c r="AT28" s="454"/>
      <c r="AU28" s="454"/>
      <c r="AV28" s="454"/>
      <c r="AW28" s="454"/>
      <c r="AX28" s="454"/>
      <c r="AY28" s="454"/>
    </row>
    <row r="29" spans="2:51" ht="21.6">
      <c r="B29" s="716">
        <v>44494</v>
      </c>
      <c r="C29" s="749">
        <v>21.64</v>
      </c>
      <c r="D29" s="750">
        <v>15.132</v>
      </c>
      <c r="E29" s="751">
        <v>8.9</v>
      </c>
      <c r="F29" s="749">
        <v>3.77</v>
      </c>
      <c r="G29" s="749">
        <f>SUM(Table25234678910111012131214121516151718[[#This Row],[Jones Creek Target (Mbopd)]:[Egwa Target (Mbopd)]])</f>
        <v>49.442</v>
      </c>
      <c r="H29" s="752">
        <v>18.968</v>
      </c>
      <c r="I29" s="752">
        <v>6.2690000000000001</v>
      </c>
      <c r="J29" s="752">
        <v>0</v>
      </c>
      <c r="K29" s="752">
        <v>3.5169999999999999</v>
      </c>
      <c r="L29" s="753">
        <f t="shared" si="1"/>
        <v>28.754000000000001</v>
      </c>
      <c r="M29" s="721">
        <v>5.4509999999999996</v>
      </c>
      <c r="N29" s="765">
        <f>Table25234678910111012131214121516151718[[#This Row],[Jones Creek Target (Mbopd)]]-Table25234678910111012131214121516151718[[#This Row],[Jones Creek (Mbopd)]]</f>
        <v>2.6720000000000006</v>
      </c>
      <c r="O29" s="723">
        <f>Table25234678910111012131214121516151718[[#This Row],[Odidi Target (Mbopd)]]-Table25234678910111012131214121516151718[[#This Row],[Odidi (Mbopd)]]</f>
        <v>8.8629999999999995</v>
      </c>
      <c r="P29" s="721">
        <f>Table25234678910111012131214121516151718[[#This Row],[Batan Target (Mbopd)]]-Table25234678910111012131214121516151718[[#This Row],[Batan (Mbopd)]]</f>
        <v>8.9</v>
      </c>
      <c r="Q29" s="747">
        <f>Table25234678910111012131214121516151718[[#This Row],[Egwa Target (Mbopd)]]-Table25234678910111012131214121516151718[[#This Row],[Egwa (Mbopd)]]</f>
        <v>0.25300000000000011</v>
      </c>
      <c r="R29" s="745">
        <v>10.63</v>
      </c>
      <c r="S29" s="723">
        <v>27.31</v>
      </c>
      <c r="T29" s="723">
        <v>0</v>
      </c>
      <c r="U29" s="747">
        <v>2.4500000000000002</v>
      </c>
      <c r="V29" s="746">
        <v>0.84240000000000004</v>
      </c>
      <c r="W29" s="723">
        <v>0</v>
      </c>
      <c r="X29" s="723">
        <v>0</v>
      </c>
      <c r="Y29" s="721">
        <v>0</v>
      </c>
      <c r="Z29" s="746">
        <f>+Table25234678910111012131214121516151718[[#This Row],[J/C Prod gas (MMscf)]]-Table25234678910111012131214121516151718[[#This Row],[J/C Utilised gas (MMscf)]]</f>
        <v>9.7876000000000012</v>
      </c>
      <c r="AA29" s="723">
        <f>+Table25234678910111012131214121516151718[[#This Row],[Odid Prod gas (MMscf)]]-Table25234678910111012131214121516151718[[#This Row],[Gas Export (MMscf/d)]]-Table25234678910111012131214121516151718[[#This Row],[Odid Utilised gas (MMscf)]]</f>
        <v>21.858999999999998</v>
      </c>
      <c r="AB29" s="723">
        <f>+Table25234678910111012131214121516151718[[#This Row],[Batn Prod gas (MMscf)]]-Table25234678910111012131214121516151718[[#This Row],[Batn Utilised gas (MMscf)]]</f>
        <v>0</v>
      </c>
      <c r="AC29" s="747">
        <f>+Table25234678910111012131214121516151718[[#This Row],[Egwa Prod gas (MMscf)]]-Table25234678910111012131214121516151718[[#This Row],[Egwa Utilised gas (MMscf)]]</f>
        <v>2.4500000000000002</v>
      </c>
      <c r="AD29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40.39</v>
      </c>
      <c r="AE29" s="723">
        <f>+Table25234678910111012131214121516151718[[#This Row],[Gas Export (MMscf/d)]]</f>
        <v>5.4509999999999996</v>
      </c>
      <c r="AF29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29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34.096600000000002</v>
      </c>
      <c r="AH29" s="142"/>
      <c r="AI29" s="729"/>
      <c r="AJ29" s="763"/>
      <c r="AK29" s="762"/>
      <c r="AL29" s="762"/>
      <c r="AM29" s="762"/>
      <c r="AN29" s="762"/>
      <c r="AO29" s="762"/>
      <c r="AP29" s="762"/>
      <c r="AS29" s="454"/>
      <c r="AT29" s="454"/>
      <c r="AU29" s="454"/>
      <c r="AV29" s="454"/>
      <c r="AW29" s="454"/>
      <c r="AX29" s="454"/>
      <c r="AY29" s="454"/>
    </row>
    <row r="30" spans="2:51" ht="21.6">
      <c r="B30" s="716">
        <v>44495</v>
      </c>
      <c r="C30" s="749">
        <v>21.64</v>
      </c>
      <c r="D30" s="750">
        <v>15.132</v>
      </c>
      <c r="E30" s="751">
        <v>8.9</v>
      </c>
      <c r="F30" s="749">
        <v>3.77</v>
      </c>
      <c r="G30" s="749">
        <f>SUM(Table25234678910111012131214121516151718[[#This Row],[Jones Creek Target (Mbopd)]:[Egwa Target (Mbopd)]])</f>
        <v>49.442</v>
      </c>
      <c r="H30" s="752">
        <v>19.747</v>
      </c>
      <c r="I30" s="752">
        <v>7.5590000000000002</v>
      </c>
      <c r="J30" s="752">
        <v>0</v>
      </c>
      <c r="K30" s="752">
        <v>3.5209999999999999</v>
      </c>
      <c r="L30" s="753">
        <f t="shared" si="1"/>
        <v>30.827000000000002</v>
      </c>
      <c r="M30" s="721">
        <v>13.003</v>
      </c>
      <c r="N30" s="765">
        <f>Table25234678910111012131214121516151718[[#This Row],[Jones Creek Target (Mbopd)]]-Table25234678910111012131214121516151718[[#This Row],[Jones Creek (Mbopd)]]</f>
        <v>1.8930000000000007</v>
      </c>
      <c r="O30" s="723">
        <f>Table25234678910111012131214121516151718[[#This Row],[Odidi Target (Mbopd)]]-Table25234678910111012131214121516151718[[#This Row],[Odidi (Mbopd)]]</f>
        <v>7.5729999999999995</v>
      </c>
      <c r="P30" s="721">
        <f>Table25234678910111012131214121516151718[[#This Row],[Batan Target (Mbopd)]]-Table25234678910111012131214121516151718[[#This Row],[Batan (Mbopd)]]</f>
        <v>8.9</v>
      </c>
      <c r="Q30" s="747">
        <f>Table25234678910111012131214121516151718[[#This Row],[Egwa Target (Mbopd)]]-Table25234678910111012131214121516151718[[#This Row],[Egwa (Mbopd)]]</f>
        <v>0.24900000000000011</v>
      </c>
      <c r="R30" s="745">
        <v>9.8514999999999997</v>
      </c>
      <c r="S30" s="723">
        <v>28.94</v>
      </c>
      <c r="T30" s="723">
        <v>0</v>
      </c>
      <c r="U30" s="747">
        <v>2.476</v>
      </c>
      <c r="V30" s="746">
        <v>0.84240000000000004</v>
      </c>
      <c r="W30" s="723">
        <v>0</v>
      </c>
      <c r="X30" s="723">
        <v>0</v>
      </c>
      <c r="Y30" s="721">
        <v>0</v>
      </c>
      <c r="Z30" s="746">
        <f>+Table25234678910111012131214121516151718[[#This Row],[J/C Prod gas (MMscf)]]-Table25234678910111012131214121516151718[[#This Row],[J/C Utilised gas (MMscf)]]</f>
        <v>9.0091000000000001</v>
      </c>
      <c r="AA30" s="723">
        <f>+Table25234678910111012131214121516151718[[#This Row],[Odid Prod gas (MMscf)]]-Table25234678910111012131214121516151718[[#This Row],[Gas Export (MMscf/d)]]-Table25234678910111012131214121516151718[[#This Row],[Odid Utilised gas (MMscf)]]</f>
        <v>15.937000000000001</v>
      </c>
      <c r="AB30" s="723">
        <f>+Table25234678910111012131214121516151718[[#This Row],[Batn Prod gas (MMscf)]]-Table25234678910111012131214121516151718[[#This Row],[Batn Utilised gas (MMscf)]]</f>
        <v>0</v>
      </c>
      <c r="AC30" s="747">
        <f>+Table25234678910111012131214121516151718[[#This Row],[Egwa Prod gas (MMscf)]]-Table25234678910111012131214121516151718[[#This Row],[Egwa Utilised gas (MMscf)]]</f>
        <v>2.476</v>
      </c>
      <c r="AD30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41.267499999999998</v>
      </c>
      <c r="AE30" s="723">
        <f>+Table25234678910111012131214121516151718[[#This Row],[Gas Export (MMscf/d)]]</f>
        <v>13.003</v>
      </c>
      <c r="AF30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0.84240000000000004</v>
      </c>
      <c r="AG30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27.4221</v>
      </c>
      <c r="AH30" s="142"/>
      <c r="AI30" s="729"/>
      <c r="AJ30" s="763"/>
      <c r="AK30" s="762"/>
      <c r="AL30" s="762"/>
      <c r="AM30" s="762"/>
      <c r="AN30" s="762"/>
      <c r="AO30" s="762"/>
      <c r="AP30" s="762"/>
      <c r="AS30" s="454"/>
      <c r="AT30" s="454"/>
      <c r="AU30" s="454"/>
      <c r="AV30" s="454"/>
      <c r="AW30" s="454"/>
      <c r="AX30" s="454"/>
      <c r="AY30" s="454"/>
    </row>
    <row r="31" spans="2:51" ht="21.6">
      <c r="B31" s="716">
        <v>44496</v>
      </c>
      <c r="C31" s="749">
        <v>21.64</v>
      </c>
      <c r="D31" s="750">
        <v>15.132</v>
      </c>
      <c r="E31" s="751">
        <v>8.9</v>
      </c>
      <c r="F31" s="749">
        <v>3.77</v>
      </c>
      <c r="G31" s="749">
        <f>SUM(Table25234678910111012131214121516151718[[#This Row],[Jones Creek Target (Mbopd)]:[Egwa Target (Mbopd)]])</f>
        <v>49.442</v>
      </c>
      <c r="H31" s="797">
        <v>8.5</v>
      </c>
      <c r="I31" s="752">
        <v>7.7069999999999999</v>
      </c>
      <c r="J31" s="752">
        <v>0</v>
      </c>
      <c r="K31" s="752">
        <v>3.5310000000000001</v>
      </c>
      <c r="L31" s="753">
        <f t="shared" si="1"/>
        <v>19.738</v>
      </c>
      <c r="M31" s="721">
        <v>20.355</v>
      </c>
      <c r="N31" s="765">
        <f>Table25234678910111012131214121516151718[[#This Row],[Jones Creek Target (Mbopd)]]-Table25234678910111012131214121516151718[[#This Row],[Jones Creek (Mbopd)]]</f>
        <v>13.14</v>
      </c>
      <c r="O31" s="723">
        <f>Table25234678910111012131214121516151718[[#This Row],[Odidi Target (Mbopd)]]-Table25234678910111012131214121516151718[[#This Row],[Odidi (Mbopd)]]</f>
        <v>7.4249999999999998</v>
      </c>
      <c r="P31" s="721">
        <f>Table25234678910111012131214121516151718[[#This Row],[Batan Target (Mbopd)]]-Table25234678910111012131214121516151718[[#This Row],[Batan (Mbopd)]]</f>
        <v>8.9</v>
      </c>
      <c r="Q31" s="747">
        <f>Table25234678910111012131214121516151718[[#This Row],[Egwa Target (Mbopd)]]-Table25234678910111012131214121516151718[[#This Row],[Egwa (Mbopd)]]</f>
        <v>0.23899999999999988</v>
      </c>
      <c r="R31" s="745">
        <v>5.8278999999999996</v>
      </c>
      <c r="S31" s="723">
        <v>28.46</v>
      </c>
      <c r="T31" s="723">
        <v>0</v>
      </c>
      <c r="U31" s="747">
        <v>2.6219999999999999</v>
      </c>
      <c r="V31" s="746">
        <v>0.84</v>
      </c>
      <c r="W31" s="723">
        <v>0</v>
      </c>
      <c r="X31" s="723">
        <v>0</v>
      </c>
      <c r="Y31" s="721">
        <v>0</v>
      </c>
      <c r="Z31" s="746">
        <f>+Table25234678910111012131214121516151718[[#This Row],[J/C Prod gas (MMscf)]]-Table25234678910111012131214121516151718[[#This Row],[J/C Utilised gas (MMscf)]]</f>
        <v>4.9878999999999998</v>
      </c>
      <c r="AA31" s="723">
        <f>+Table25234678910111012131214121516151718[[#This Row],[Odid Prod gas (MMscf)]]-Table25234678910111012131214121516151718[[#This Row],[Gas Export (MMscf/d)]]-Table25234678910111012131214121516151718[[#This Row],[Odid Utilised gas (MMscf)]]</f>
        <v>8.1050000000000004</v>
      </c>
      <c r="AB31" s="723">
        <f>+Table25234678910111012131214121516151718[[#This Row],[Batn Prod gas (MMscf)]]-Table25234678910111012131214121516151718[[#This Row],[Batn Utilised gas (MMscf)]]</f>
        <v>0</v>
      </c>
      <c r="AC31" s="747">
        <f>+Table25234678910111012131214121516151718[[#This Row],[Egwa Prod gas (MMscf)]]-Table25234678910111012131214121516151718[[#This Row],[Egwa Utilised gas (MMscf)]]</f>
        <v>2.6219999999999999</v>
      </c>
      <c r="AD31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36.9099</v>
      </c>
      <c r="AE31" s="723">
        <f>+Table25234678910111012131214121516151718[[#This Row],[Gas Export (MMscf/d)]]</f>
        <v>20.355</v>
      </c>
      <c r="AF31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1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15.7149</v>
      </c>
      <c r="AH31" s="142"/>
      <c r="AI31" s="729"/>
      <c r="AJ31" s="763"/>
      <c r="AK31" s="762"/>
      <c r="AL31" s="762"/>
      <c r="AM31" s="762"/>
      <c r="AN31" s="762"/>
      <c r="AO31" s="762"/>
      <c r="AP31" s="762"/>
      <c r="AS31" s="454"/>
      <c r="AT31" s="454"/>
      <c r="AU31" s="454"/>
      <c r="AV31" s="454"/>
      <c r="AW31" s="454"/>
      <c r="AX31" s="454"/>
      <c r="AY31" s="454"/>
    </row>
    <row r="32" spans="2:51" ht="21.6">
      <c r="B32" s="716">
        <v>44497</v>
      </c>
      <c r="C32" s="749">
        <v>21.64</v>
      </c>
      <c r="D32" s="750">
        <v>15.132</v>
      </c>
      <c r="E32" s="751">
        <v>8.9</v>
      </c>
      <c r="F32" s="749">
        <v>3.77</v>
      </c>
      <c r="G32" s="749">
        <f>SUM(Table25234678910111012131214121516151718[[#This Row],[Jones Creek Target (Mbopd)]:[Egwa Target (Mbopd)]])</f>
        <v>49.442</v>
      </c>
      <c r="H32" s="752">
        <v>0</v>
      </c>
      <c r="I32" s="752">
        <v>11.282</v>
      </c>
      <c r="J32" s="752">
        <v>0</v>
      </c>
      <c r="K32" s="752">
        <v>3.5089999999999999</v>
      </c>
      <c r="L32" s="753">
        <f t="shared" si="1"/>
        <v>14.791</v>
      </c>
      <c r="M32" s="721">
        <v>19.891999999999999</v>
      </c>
      <c r="N32" s="765">
        <f>Table25234678910111012131214121516151718[[#This Row],[Jones Creek Target (Mbopd)]]-Table25234678910111012131214121516151718[[#This Row],[Jones Creek (Mbopd)]]</f>
        <v>21.64</v>
      </c>
      <c r="O32" s="723">
        <f>Table25234678910111012131214121516151718[[#This Row],[Odidi Target (Mbopd)]]-Table25234678910111012131214121516151718[[#This Row],[Odidi (Mbopd)]]</f>
        <v>3.8499999999999996</v>
      </c>
      <c r="P32" s="721">
        <f>Table25234678910111012131214121516151718[[#This Row],[Batan Target (Mbopd)]]-Table25234678910111012131214121516151718[[#This Row],[Batan (Mbopd)]]</f>
        <v>8.9</v>
      </c>
      <c r="Q32" s="747">
        <f>Table25234678910111012131214121516151718[[#This Row],[Egwa Target (Mbopd)]]-Table25234678910111012131214121516151718[[#This Row],[Egwa (Mbopd)]]</f>
        <v>0.26100000000000012</v>
      </c>
      <c r="R32" s="745">
        <v>0</v>
      </c>
      <c r="S32" s="723">
        <v>31.33</v>
      </c>
      <c r="T32" s="723">
        <v>0</v>
      </c>
      <c r="U32" s="747">
        <v>2.7789999999999999</v>
      </c>
      <c r="V32" s="746">
        <v>0</v>
      </c>
      <c r="W32" s="723">
        <v>0</v>
      </c>
      <c r="X32" s="723">
        <v>0</v>
      </c>
      <c r="Y32" s="721">
        <v>0</v>
      </c>
      <c r="Z32" s="746">
        <f>+Table25234678910111012131214121516151718[[#This Row],[J/C Prod gas (MMscf)]]-Table25234678910111012131214121516151718[[#This Row],[J/C Utilised gas (MMscf)]]</f>
        <v>0</v>
      </c>
      <c r="AA32" s="723">
        <f>+Table25234678910111012131214121516151718[[#This Row],[Odid Prod gas (MMscf)]]-Table25234678910111012131214121516151718[[#This Row],[Gas Export (MMscf/d)]]-Table25234678910111012131214121516151718[[#This Row],[Odid Utilised gas (MMscf)]]</f>
        <v>11.437999999999999</v>
      </c>
      <c r="AB32" s="723">
        <f>+Table25234678910111012131214121516151718[[#This Row],[Batn Prod gas (MMscf)]]-Table25234678910111012131214121516151718[[#This Row],[Batn Utilised gas (MMscf)]]</f>
        <v>0</v>
      </c>
      <c r="AC32" s="747">
        <f>+Table25234678910111012131214121516151718[[#This Row],[Egwa Prod gas (MMscf)]]-Table25234678910111012131214121516151718[[#This Row],[Egwa Utilised gas (MMscf)]]</f>
        <v>2.7789999999999999</v>
      </c>
      <c r="AD32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34.108999999999995</v>
      </c>
      <c r="AE32" s="723">
        <f>+Table25234678910111012131214121516151718[[#This Row],[Gas Export (MMscf/d)]]</f>
        <v>19.891999999999999</v>
      </c>
      <c r="AF32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</v>
      </c>
      <c r="AG32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14.216999999999999</v>
      </c>
      <c r="AH32" s="142"/>
      <c r="AI32" s="729"/>
      <c r="AJ32" s="763"/>
      <c r="AK32" s="762"/>
      <c r="AL32" s="762"/>
      <c r="AM32" s="762"/>
      <c r="AN32" s="762"/>
      <c r="AO32" s="762"/>
      <c r="AP32" s="762"/>
      <c r="AS32" s="454"/>
      <c r="AT32" s="454"/>
      <c r="AU32" s="454"/>
      <c r="AV32" s="454"/>
      <c r="AW32" s="454"/>
      <c r="AX32" s="454"/>
      <c r="AY32" s="454"/>
    </row>
    <row r="33" spans="2:51" ht="21.6">
      <c r="B33" s="716">
        <v>44498</v>
      </c>
      <c r="C33" s="749">
        <v>21.64</v>
      </c>
      <c r="D33" s="750">
        <v>15.132</v>
      </c>
      <c r="E33" s="751">
        <v>8.9</v>
      </c>
      <c r="F33" s="749">
        <v>3.77</v>
      </c>
      <c r="G33" s="749">
        <f>SUM(Table25234678910111012131214121516151718[[#This Row],[Jones Creek Target (Mbopd)]:[Egwa Target (Mbopd)]])</f>
        <v>49.442</v>
      </c>
      <c r="H33" s="752">
        <v>11.519</v>
      </c>
      <c r="I33" s="752">
        <v>13.558999999999999</v>
      </c>
      <c r="J33" s="752">
        <v>0</v>
      </c>
      <c r="K33" s="752">
        <v>3.4769999999999999</v>
      </c>
      <c r="L33" s="753">
        <f t="shared" ref="L33:L39" si="2">H33+I33+J33+K33</f>
        <v>28.555</v>
      </c>
      <c r="M33" s="721">
        <v>2.6859999999999999</v>
      </c>
      <c r="N33" s="765">
        <f>Table25234678910111012131214121516151718[[#This Row],[Jones Creek Target (Mbopd)]]-Table25234678910111012131214121516151718[[#This Row],[Jones Creek (Mbopd)]]</f>
        <v>10.121</v>
      </c>
      <c r="O33" s="723">
        <f>Table25234678910111012131214121516151718[[#This Row],[Odidi Target (Mbopd)]]-Table25234678910111012131214121516151718[[#This Row],[Odidi (Mbopd)]]</f>
        <v>1.5730000000000004</v>
      </c>
      <c r="P33" s="721">
        <f>Table25234678910111012131214121516151718[[#This Row],[Batan Target (Mbopd)]]-Table25234678910111012131214121516151718[[#This Row],[Batan (Mbopd)]]</f>
        <v>8.9</v>
      </c>
      <c r="Q33" s="747">
        <f>Table25234678910111012131214121516151718[[#This Row],[Egwa Target (Mbopd)]]-Table25234678910111012131214121516151718[[#This Row],[Egwa (Mbopd)]]</f>
        <v>0.29300000000000015</v>
      </c>
      <c r="R33" s="745">
        <v>3.7772999999999999</v>
      </c>
      <c r="S33" s="723">
        <v>31.33</v>
      </c>
      <c r="T33" s="723">
        <v>0</v>
      </c>
      <c r="U33" s="747">
        <v>2.81</v>
      </c>
      <c r="V33" s="746">
        <v>0.84</v>
      </c>
      <c r="W33" s="723">
        <v>0</v>
      </c>
      <c r="X33" s="723">
        <v>0</v>
      </c>
      <c r="Y33" s="721">
        <v>0</v>
      </c>
      <c r="Z33" s="746">
        <f>+Table25234678910111012131214121516151718[[#This Row],[J/C Prod gas (MMscf)]]-Table25234678910111012131214121516151718[[#This Row],[J/C Utilised gas (MMscf)]]</f>
        <v>2.9373</v>
      </c>
      <c r="AA33" s="723">
        <f>+Table25234678910111012131214121516151718[[#This Row],[Odid Prod gas (MMscf)]]-Table25234678910111012131214121516151718[[#This Row],[Gas Export (MMscf/d)]]-Table25234678910111012131214121516151718[[#This Row],[Odid Utilised gas (MMscf)]]</f>
        <v>28.643999999999998</v>
      </c>
      <c r="AB33" s="723">
        <f>+Table25234678910111012131214121516151718[[#This Row],[Batn Prod gas (MMscf)]]-Table25234678910111012131214121516151718[[#This Row],[Batn Utilised gas (MMscf)]]</f>
        <v>0</v>
      </c>
      <c r="AC33" s="747">
        <f>+Table25234678910111012131214121516151718[[#This Row],[Egwa Prod gas (MMscf)]]-Table25234678910111012131214121516151718[[#This Row],[Egwa Utilised gas (MMscf)]]</f>
        <v>2.81</v>
      </c>
      <c r="AD33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37.917299999999997</v>
      </c>
      <c r="AE33" s="723">
        <f>+Table25234678910111012131214121516151718[[#This Row],[Gas Export (MMscf/d)]]</f>
        <v>2.6859999999999999</v>
      </c>
      <c r="AF33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3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34.391300000000001</v>
      </c>
      <c r="AH33" s="142"/>
      <c r="AI33" s="729"/>
      <c r="AJ33" s="763"/>
      <c r="AK33" s="762"/>
      <c r="AL33" s="762"/>
      <c r="AM33" s="762"/>
      <c r="AN33" s="762"/>
      <c r="AO33" s="762"/>
      <c r="AP33" s="762"/>
      <c r="AS33" s="454"/>
      <c r="AT33" s="454"/>
      <c r="AU33" s="454"/>
      <c r="AV33" s="454"/>
      <c r="AW33" s="454"/>
      <c r="AX33" s="454"/>
      <c r="AY33" s="454"/>
    </row>
    <row r="34" spans="2:51" ht="21.6">
      <c r="B34" s="716">
        <v>44499</v>
      </c>
      <c r="C34" s="749">
        <v>21.64</v>
      </c>
      <c r="D34" s="750">
        <v>15.132</v>
      </c>
      <c r="E34" s="751">
        <v>8.9</v>
      </c>
      <c r="F34" s="749">
        <v>3.77</v>
      </c>
      <c r="G34" s="749">
        <f>SUM(Table25234678910111012131214121516151718[[#This Row],[Jones Creek Target (Mbopd)]:[Egwa Target (Mbopd)]])</f>
        <v>49.442</v>
      </c>
      <c r="H34" s="752">
        <v>19.344000000000001</v>
      </c>
      <c r="I34" s="752">
        <v>13.788</v>
      </c>
      <c r="J34" s="752">
        <v>0</v>
      </c>
      <c r="K34" s="752">
        <v>3.4523000000000001</v>
      </c>
      <c r="L34" s="753">
        <f t="shared" si="2"/>
        <v>36.584300000000006</v>
      </c>
      <c r="M34" s="721">
        <v>7.125</v>
      </c>
      <c r="N34" s="765">
        <f>Table25234678910111012131214121516151718[[#This Row],[Jones Creek Target (Mbopd)]]-Table25234678910111012131214121516151718[[#This Row],[Jones Creek (Mbopd)]]</f>
        <v>2.2959999999999994</v>
      </c>
      <c r="O34" s="723">
        <f>Table25234678910111012131214121516151718[[#This Row],[Odidi Target (Mbopd)]]-Table25234678910111012131214121516151718[[#This Row],[Odidi (Mbopd)]]</f>
        <v>1.3439999999999994</v>
      </c>
      <c r="P34" s="721">
        <f>Table25234678910111012131214121516151718[[#This Row],[Batan Target (Mbopd)]]-Table25234678910111012131214121516151718[[#This Row],[Batan (Mbopd)]]</f>
        <v>8.9</v>
      </c>
      <c r="Q34" s="747">
        <f>Table25234678910111012131214121516151718[[#This Row],[Egwa Target (Mbopd)]]-Table25234678910111012131214121516151718[[#This Row],[Egwa (Mbopd)]]</f>
        <v>0.31769999999999987</v>
      </c>
      <c r="R34" s="745">
        <v>6.3761999999999999</v>
      </c>
      <c r="S34" s="723">
        <v>32.270000000000003</v>
      </c>
      <c r="T34" s="723">
        <v>0</v>
      </c>
      <c r="U34" s="747">
        <v>2.85</v>
      </c>
      <c r="V34" s="746">
        <v>0.84</v>
      </c>
      <c r="W34" s="723">
        <v>0</v>
      </c>
      <c r="X34" s="723">
        <v>0</v>
      </c>
      <c r="Y34" s="721">
        <v>0</v>
      </c>
      <c r="Z34" s="746">
        <f>+Table25234678910111012131214121516151718[[#This Row],[J/C Prod gas (MMscf)]]-Table25234678910111012131214121516151718[[#This Row],[J/C Utilised gas (MMscf)]]</f>
        <v>5.5362</v>
      </c>
      <c r="AA34" s="723">
        <f>+Table25234678910111012131214121516151718[[#This Row],[Odid Prod gas (MMscf)]]-Table25234678910111012131214121516151718[[#This Row],[Gas Export (MMscf/d)]]-Table25234678910111012131214121516151718[[#This Row],[Odid Utilised gas (MMscf)]]</f>
        <v>25.145000000000003</v>
      </c>
      <c r="AB34" s="723">
        <f>+Table25234678910111012131214121516151718[[#This Row],[Batn Prod gas (MMscf)]]-Table25234678910111012131214121516151718[[#This Row],[Batn Utilised gas (MMscf)]]</f>
        <v>0</v>
      </c>
      <c r="AC34" s="747">
        <f>+Table25234678910111012131214121516151718[[#This Row],[Egwa Prod gas (MMscf)]]-Table25234678910111012131214121516151718[[#This Row],[Egwa Utilised gas (MMscf)]]</f>
        <v>2.85</v>
      </c>
      <c r="AD34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41.496200000000002</v>
      </c>
      <c r="AE34" s="723">
        <f>+Table25234678910111012131214121516151718[[#This Row],[Gas Export (MMscf/d)]]</f>
        <v>7.125</v>
      </c>
      <c r="AF34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4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33.531200000000005</v>
      </c>
      <c r="AH34" s="142"/>
      <c r="AI34" s="729"/>
      <c r="AJ34" s="763"/>
      <c r="AK34" s="762"/>
      <c r="AL34" s="762"/>
      <c r="AM34" s="762"/>
      <c r="AN34" s="762"/>
      <c r="AO34" s="762"/>
      <c r="AP34" s="762"/>
      <c r="AS34" s="454"/>
      <c r="AT34" s="454"/>
      <c r="AU34" s="454"/>
      <c r="AV34" s="454"/>
      <c r="AW34" s="454"/>
      <c r="AX34" s="454"/>
      <c r="AY34" s="454"/>
    </row>
    <row r="35" spans="2:51" ht="21.6">
      <c r="B35" s="716">
        <v>44500</v>
      </c>
      <c r="C35" s="749">
        <v>21.64</v>
      </c>
      <c r="D35" s="750">
        <v>15.132</v>
      </c>
      <c r="E35" s="751">
        <v>8.9</v>
      </c>
      <c r="F35" s="749">
        <v>3.77</v>
      </c>
      <c r="G35" s="749">
        <f>SUM(Table25234678910111012131214121516151718[[#This Row],[Jones Creek Target (Mbopd)]:[Egwa Target (Mbopd)]])</f>
        <v>49.442</v>
      </c>
      <c r="H35" s="752">
        <v>20.053889999999999</v>
      </c>
      <c r="I35" s="752">
        <v>13.129</v>
      </c>
      <c r="J35" s="752">
        <v>0</v>
      </c>
      <c r="K35" s="752">
        <v>3.4303300000000001</v>
      </c>
      <c r="L35" s="753">
        <f t="shared" si="2"/>
        <v>36.613219999999998</v>
      </c>
      <c r="M35" s="721">
        <v>16.643000000000001</v>
      </c>
      <c r="N35" s="765">
        <f>Table25234678910111012131214121516151718[[#This Row],[Jones Creek Target (Mbopd)]]-Table25234678910111012131214121516151718[[#This Row],[Jones Creek (Mbopd)]]</f>
        <v>1.5861100000000015</v>
      </c>
      <c r="O35" s="723">
        <f>Table25234678910111012131214121516151718[[#This Row],[Odidi Target (Mbopd)]]-Table25234678910111012131214121516151718[[#This Row],[Odidi (Mbopd)]]</f>
        <v>2.0030000000000001</v>
      </c>
      <c r="P35" s="721">
        <f>Table25234678910111012131214121516151718[[#This Row],[Batan Target (Mbopd)]]-Table25234678910111012131214121516151718[[#This Row],[Batan (Mbopd)]]</f>
        <v>8.9</v>
      </c>
      <c r="Q35" s="747">
        <f>Table25234678910111012131214121516151718[[#This Row],[Egwa Target (Mbopd)]]-Table25234678910111012131214121516151718[[#This Row],[Egwa (Mbopd)]]</f>
        <v>0.33966999999999992</v>
      </c>
      <c r="R35" s="745">
        <v>5.9195000000000002</v>
      </c>
      <c r="S35" s="723">
        <v>32.270000000000003</v>
      </c>
      <c r="T35" s="723">
        <v>0</v>
      </c>
      <c r="U35" s="747">
        <v>2.97</v>
      </c>
      <c r="V35" s="746">
        <v>0.84</v>
      </c>
      <c r="W35" s="723">
        <v>0</v>
      </c>
      <c r="X35" s="723">
        <v>0</v>
      </c>
      <c r="Y35" s="721">
        <v>0</v>
      </c>
      <c r="Z35" s="746">
        <f>+Table25234678910111012131214121516151718[[#This Row],[J/C Prod gas (MMscf)]]-Table25234678910111012131214121516151718[[#This Row],[J/C Utilised gas (MMscf)]]</f>
        <v>5.0795000000000003</v>
      </c>
      <c r="AA35" s="723">
        <f>+Table25234678910111012131214121516151718[[#This Row],[Odid Prod gas (MMscf)]]-Table25234678910111012131214121516151718[[#This Row],[Gas Export (MMscf/d)]]-Table25234678910111012131214121516151718[[#This Row],[Odid Utilised gas (MMscf)]]</f>
        <v>15.627000000000002</v>
      </c>
      <c r="AB35" s="723">
        <f>+Table25234678910111012131214121516151718[[#This Row],[Batn Prod gas (MMscf)]]-Table25234678910111012131214121516151718[[#This Row],[Batn Utilised gas (MMscf)]]</f>
        <v>0</v>
      </c>
      <c r="AC35" s="747">
        <f>+Table25234678910111012131214121516151718[[#This Row],[Egwa Prod gas (MMscf)]]-Table25234678910111012131214121516151718[[#This Row],[Egwa Utilised gas (MMscf)]]</f>
        <v>2.97</v>
      </c>
      <c r="AD35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41.159500000000001</v>
      </c>
      <c r="AE35" s="723">
        <f>+Table25234678910111012131214121516151718[[#This Row],[Gas Export (MMscf/d)]]</f>
        <v>16.643000000000001</v>
      </c>
      <c r="AF35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5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23.676500000000001</v>
      </c>
      <c r="AH35" s="142"/>
      <c r="AI35" s="729"/>
      <c r="AJ35" s="763"/>
      <c r="AK35" s="762"/>
      <c r="AL35" s="762"/>
      <c r="AM35" s="762"/>
      <c r="AN35" s="762"/>
      <c r="AO35" s="762"/>
      <c r="AP35" s="762"/>
      <c r="AS35" s="454"/>
      <c r="AT35" s="454"/>
      <c r="AU35" s="454"/>
      <c r="AV35" s="454"/>
      <c r="AW35" s="454"/>
      <c r="AX35" s="454"/>
      <c r="AY35" s="454"/>
    </row>
    <row r="36" spans="2:51" ht="21.6">
      <c r="B36" s="716">
        <v>44501</v>
      </c>
      <c r="C36" s="749">
        <v>21.64</v>
      </c>
      <c r="D36" s="750">
        <v>15.132</v>
      </c>
      <c r="E36" s="751">
        <v>8.9</v>
      </c>
      <c r="F36" s="749">
        <v>3.77</v>
      </c>
      <c r="G36" s="749">
        <f>SUM(Table25234678910111012131214121516151718[[#This Row],[Jones Creek Target (Mbopd)]:[Egwa Target (Mbopd)]])</f>
        <v>49.442</v>
      </c>
      <c r="H36" s="752">
        <v>19.367999999999999</v>
      </c>
      <c r="I36" s="752">
        <v>13.608000000000001</v>
      </c>
      <c r="J36" s="752">
        <v>0</v>
      </c>
      <c r="K36" s="752">
        <v>3.4654099999999999</v>
      </c>
      <c r="L36" s="753">
        <f t="shared" si="2"/>
        <v>36.441409999999998</v>
      </c>
      <c r="M36" s="721">
        <v>19.75</v>
      </c>
      <c r="N36" s="765">
        <f>Table25234678910111012131214121516151718[[#This Row],[Jones Creek Target (Mbopd)]]-Table25234678910111012131214121516151718[[#This Row],[Jones Creek (Mbopd)]]</f>
        <v>2.272000000000002</v>
      </c>
      <c r="O36" s="723">
        <f>Table25234678910111012131214121516151718[[#This Row],[Odidi Target (Mbopd)]]-Table25234678910111012131214121516151718[[#This Row],[Odidi (Mbopd)]]</f>
        <v>1.5239999999999991</v>
      </c>
      <c r="P36" s="721">
        <f>Table25234678910111012131214121516151718[[#This Row],[Batan Target (Mbopd)]]-Table25234678910111012131214121516151718[[#This Row],[Batan (Mbopd)]]</f>
        <v>8.9</v>
      </c>
      <c r="Q36" s="747">
        <f>Table25234678910111012131214121516151718[[#This Row],[Egwa Target (Mbopd)]]-Table25234678910111012131214121516151718[[#This Row],[Egwa (Mbopd)]]</f>
        <v>0.30459000000000014</v>
      </c>
      <c r="R36" s="745">
        <v>5.9195000000000002</v>
      </c>
      <c r="S36" s="723">
        <v>32.270000000000003</v>
      </c>
      <c r="T36" s="723">
        <v>0</v>
      </c>
      <c r="U36" s="747">
        <v>2.96</v>
      </c>
      <c r="V36" s="746">
        <v>0.84</v>
      </c>
      <c r="W36" s="723">
        <v>0</v>
      </c>
      <c r="X36" s="723">
        <v>0</v>
      </c>
      <c r="Y36" s="721">
        <v>0</v>
      </c>
      <c r="Z36" s="746">
        <f>+Table25234678910111012131214121516151718[[#This Row],[J/C Prod gas (MMscf)]]-Table25234678910111012131214121516151718[[#This Row],[J/C Utilised gas (MMscf)]]</f>
        <v>5.0795000000000003</v>
      </c>
      <c r="AA36" s="723">
        <f>+Table25234678910111012131214121516151718[[#This Row],[Odid Prod gas (MMscf)]]-Table25234678910111012131214121516151718[[#This Row],[Gas Export (MMscf/d)]]-Table25234678910111012131214121516151718[[#This Row],[Odid Utilised gas (MMscf)]]</f>
        <v>12.520000000000003</v>
      </c>
      <c r="AB36" s="723">
        <f>+Table25234678910111012131214121516151718[[#This Row],[Batn Prod gas (MMscf)]]-Table25234678910111012131214121516151718[[#This Row],[Batn Utilised gas (MMscf)]]</f>
        <v>0</v>
      </c>
      <c r="AC36" s="747">
        <f>+Table25234678910111012131214121516151718[[#This Row],[Egwa Prod gas (MMscf)]]-Table25234678910111012131214121516151718[[#This Row],[Egwa Utilised gas (MMscf)]]</f>
        <v>2.96</v>
      </c>
      <c r="AD36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41.149500000000003</v>
      </c>
      <c r="AE36" s="723">
        <f>+Table25234678910111012131214121516151718[[#This Row],[Gas Export (MMscf/d)]]</f>
        <v>19.75</v>
      </c>
      <c r="AF36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6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20.559500000000003</v>
      </c>
      <c r="AH36" s="142"/>
    </row>
    <row r="37" spans="2:51" ht="21.6">
      <c r="B37" s="716">
        <v>44502</v>
      </c>
      <c r="C37" s="749">
        <v>21.64</v>
      </c>
      <c r="D37" s="750">
        <v>15.132</v>
      </c>
      <c r="E37" s="751">
        <v>8.9</v>
      </c>
      <c r="F37" s="749">
        <v>3.77</v>
      </c>
      <c r="G37" s="749">
        <f>SUM(Table25234678910111012131214121516151718[[#This Row],[Jones Creek Target (Mbopd)]:[Egwa Target (Mbopd)]])</f>
        <v>49.442</v>
      </c>
      <c r="H37" s="752">
        <v>18.472999999999999</v>
      </c>
      <c r="I37" s="752">
        <v>13.840999999999999</v>
      </c>
      <c r="J37" s="752">
        <v>0</v>
      </c>
      <c r="K37" s="752">
        <v>3.3839999999999999</v>
      </c>
      <c r="L37" s="753">
        <f t="shared" si="2"/>
        <v>35.698</v>
      </c>
      <c r="M37" s="721">
        <v>17.22</v>
      </c>
      <c r="N37" s="765">
        <f>Table25234678910111012131214121516151718[[#This Row],[Jones Creek Target (Mbopd)]]-Table25234678910111012131214121516151718[[#This Row],[Jones Creek (Mbopd)]]</f>
        <v>3.1670000000000016</v>
      </c>
      <c r="O37" s="723">
        <f>Table25234678910111012131214121516151718[[#This Row],[Odidi Target (Mbopd)]]-Table25234678910111012131214121516151718[[#This Row],[Odidi (Mbopd)]]</f>
        <v>1.2910000000000004</v>
      </c>
      <c r="P37" s="721">
        <f>Table25234678910111012131214121516151718[[#This Row],[Batan Target (Mbopd)]]-Table25234678910111012131214121516151718[[#This Row],[Batan (Mbopd)]]</f>
        <v>8.9</v>
      </c>
      <c r="Q37" s="747">
        <f>Table25234678910111012131214121516151718[[#This Row],[Egwa Target (Mbopd)]]-Table25234678910111012131214121516151718[[#This Row],[Egwa (Mbopd)]]</f>
        <v>0.38600000000000012</v>
      </c>
      <c r="R37" s="745">
        <v>5.92</v>
      </c>
      <c r="S37" s="723">
        <v>32.270000000000003</v>
      </c>
      <c r="T37" s="723">
        <v>0</v>
      </c>
      <c r="U37" s="747">
        <v>3.02</v>
      </c>
      <c r="V37" s="746">
        <v>0.84</v>
      </c>
      <c r="W37" s="723">
        <v>0</v>
      </c>
      <c r="X37" s="723">
        <v>0</v>
      </c>
      <c r="Y37" s="721">
        <v>0</v>
      </c>
      <c r="Z37" s="746">
        <f>+Table25234678910111012131214121516151718[[#This Row],[J/C Prod gas (MMscf)]]-Table25234678910111012131214121516151718[[#This Row],[J/C Utilised gas (MMscf)]]</f>
        <v>5.08</v>
      </c>
      <c r="AA37" s="723">
        <f>+Table25234678910111012131214121516151718[[#This Row],[Odid Prod gas (MMscf)]]-Table25234678910111012131214121516151718[[#This Row],[Gas Export (MMscf/d)]]-Table25234678910111012131214121516151718[[#This Row],[Odid Utilised gas (MMscf)]]</f>
        <v>15.050000000000004</v>
      </c>
      <c r="AB37" s="723">
        <f>+Table25234678910111012131214121516151718[[#This Row],[Batn Prod gas (MMscf)]]-Table25234678910111012131214121516151718[[#This Row],[Batn Utilised gas (MMscf)]]</f>
        <v>0</v>
      </c>
      <c r="AC37" s="747">
        <f>+Table25234678910111012131214121516151718[[#This Row],[Egwa Prod gas (MMscf)]]-Table25234678910111012131214121516151718[[#This Row],[Egwa Utilised gas (MMscf)]]</f>
        <v>3.02</v>
      </c>
      <c r="AD37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41.210000000000008</v>
      </c>
      <c r="AE37" s="723">
        <f>+Table25234678910111012131214121516151718[[#This Row],[Gas Export (MMscf/d)]]</f>
        <v>17.22</v>
      </c>
      <c r="AF37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7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23.150000000000002</v>
      </c>
      <c r="AH37" s="142"/>
    </row>
    <row r="38" spans="2:51" ht="21.6">
      <c r="B38" s="716">
        <v>44503</v>
      </c>
      <c r="C38" s="749">
        <v>21.64</v>
      </c>
      <c r="D38" s="750">
        <v>15.132</v>
      </c>
      <c r="E38" s="751">
        <v>8.9</v>
      </c>
      <c r="F38" s="749">
        <v>3.77</v>
      </c>
      <c r="G38" s="749">
        <f>SUM(Table25234678910111012131214121516151718[[#This Row],[Jones Creek Target (Mbopd)]:[Egwa Target (Mbopd)]])</f>
        <v>49.442</v>
      </c>
      <c r="H38" s="752">
        <v>18.982659999999999</v>
      </c>
      <c r="I38" s="752">
        <v>13.042999999999999</v>
      </c>
      <c r="J38" s="752">
        <v>0</v>
      </c>
      <c r="K38" s="754">
        <v>3.4289000000000001</v>
      </c>
      <c r="L38" s="753">
        <f t="shared" si="2"/>
        <v>35.454560000000001</v>
      </c>
      <c r="M38" s="721">
        <v>15.853</v>
      </c>
      <c r="N38" s="765">
        <f>Table25234678910111012131214121516151718[[#This Row],[Jones Creek Target (Mbopd)]]-Table25234678910111012131214121516151718[[#This Row],[Jones Creek (Mbopd)]]</f>
        <v>2.6573400000000014</v>
      </c>
      <c r="O38" s="723">
        <f>Table25234678910111012131214121516151718[[#This Row],[Odidi Target (Mbopd)]]-Table25234678910111012131214121516151718[[#This Row],[Odidi (Mbopd)]]</f>
        <v>2.0890000000000004</v>
      </c>
      <c r="P38" s="721">
        <f>Table25234678910111012131214121516151718[[#This Row],[Batan Target (Mbopd)]]-Table25234678910111012131214121516151718[[#This Row],[Batan (Mbopd)]]</f>
        <v>8.9</v>
      </c>
      <c r="Q38" s="747">
        <f>Table25234678910111012131214121516151718[[#This Row],[Egwa Target (Mbopd)]]-Table25234678910111012131214121516151718[[#This Row],[Egwa (Mbopd)]]</f>
        <v>0.34109999999999996</v>
      </c>
      <c r="R38" s="745">
        <v>5.92</v>
      </c>
      <c r="S38" s="723">
        <v>32.270000000000003</v>
      </c>
      <c r="T38" s="723">
        <v>0</v>
      </c>
      <c r="U38" s="747">
        <v>3.04</v>
      </c>
      <c r="V38" s="746">
        <v>0.84</v>
      </c>
      <c r="W38" s="723">
        <v>0</v>
      </c>
      <c r="X38" s="723">
        <v>0</v>
      </c>
      <c r="Y38" s="721">
        <v>0</v>
      </c>
      <c r="Z38" s="746">
        <f>+Table25234678910111012131214121516151718[[#This Row],[J/C Prod gas (MMscf)]]-Table25234678910111012131214121516151718[[#This Row],[J/C Utilised gas (MMscf)]]</f>
        <v>5.08</v>
      </c>
      <c r="AA38" s="723">
        <f>+Table25234678910111012131214121516151718[[#This Row],[Odid Prod gas (MMscf)]]-Table25234678910111012131214121516151718[[#This Row],[Gas Export (MMscf/d)]]-Table25234678910111012131214121516151718[[#This Row],[Odid Utilised gas (MMscf)]]</f>
        <v>16.417000000000002</v>
      </c>
      <c r="AB38" s="723">
        <f>+Table25234678910111012131214121516151718[[#This Row],[Batn Prod gas (MMscf)]]-Table25234678910111012131214121516151718[[#This Row],[Batn Utilised gas (MMscf)]]</f>
        <v>0</v>
      </c>
      <c r="AC38" s="747">
        <f>+Table25234678910111012131214121516151718[[#This Row],[Egwa Prod gas (MMscf)]]-Table25234678910111012131214121516151718[[#This Row],[Egwa Utilised gas (MMscf)]]</f>
        <v>3.04</v>
      </c>
      <c r="AD38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41.230000000000004</v>
      </c>
      <c r="AE38" s="723">
        <f>+Table25234678910111012131214121516151718[[#This Row],[Gas Export (MMscf/d)]]</f>
        <v>15.853</v>
      </c>
      <c r="AF38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8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24.536999999999999</v>
      </c>
      <c r="AH38" s="142"/>
    </row>
    <row r="39" spans="2:51" ht="21.6">
      <c r="B39" s="716">
        <v>44504</v>
      </c>
      <c r="C39" s="749">
        <v>21.64</v>
      </c>
      <c r="D39" s="750">
        <v>15.132</v>
      </c>
      <c r="E39" s="751">
        <v>8.9</v>
      </c>
      <c r="F39" s="749">
        <v>3.77</v>
      </c>
      <c r="G39" s="749">
        <f>SUM(Table25234678910111012131214121516151718[[#This Row],[Jones Creek Target (Mbopd)]:[Egwa Target (Mbopd)]])</f>
        <v>49.442</v>
      </c>
      <c r="H39" s="752">
        <v>19.226980000000001</v>
      </c>
      <c r="I39" s="752">
        <v>11.717000000000001</v>
      </c>
      <c r="J39" s="752">
        <v>0</v>
      </c>
      <c r="K39" s="752">
        <v>3.4418700000000002</v>
      </c>
      <c r="L39" s="753">
        <f t="shared" si="2"/>
        <v>34.385850000000005</v>
      </c>
      <c r="M39" s="721">
        <v>15.497</v>
      </c>
      <c r="N39" s="765">
        <f>Table25234678910111012131214121516151718[[#This Row],[Jones Creek Target (Mbopd)]]-Table25234678910111012131214121516151718[[#This Row],[Jones Creek (Mbopd)]]</f>
        <v>2.4130199999999995</v>
      </c>
      <c r="O39" s="723">
        <f>Table25234678910111012131214121516151718[[#This Row],[Odidi Target (Mbopd)]]-Table25234678910111012131214121516151718[[#This Row],[Odidi (Mbopd)]]</f>
        <v>3.4149999999999991</v>
      </c>
      <c r="P39" s="721">
        <f>Table25234678910111012131214121516151718[[#This Row],[Batan Target (Mbopd)]]-Table25234678910111012131214121516151718[[#This Row],[Batan (Mbopd)]]</f>
        <v>8.9</v>
      </c>
      <c r="Q39" s="747">
        <f>Table25234678910111012131214121516151718[[#This Row],[Egwa Target (Mbopd)]]-Table25234678910111012131214121516151718[[#This Row],[Egwa (Mbopd)]]</f>
        <v>0.32812999999999981</v>
      </c>
      <c r="R39" s="745">
        <v>5.92</v>
      </c>
      <c r="S39" s="723">
        <v>32.270000000000003</v>
      </c>
      <c r="T39" s="723">
        <v>0</v>
      </c>
      <c r="U39" s="747">
        <v>3.08</v>
      </c>
      <c r="V39" s="746">
        <v>0.84</v>
      </c>
      <c r="W39" s="723">
        <v>0</v>
      </c>
      <c r="X39" s="723">
        <v>0</v>
      </c>
      <c r="Y39" s="721">
        <v>0</v>
      </c>
      <c r="Z39" s="746">
        <f>+Table25234678910111012131214121516151718[[#This Row],[J/C Prod gas (MMscf)]]-Table25234678910111012131214121516151718[[#This Row],[J/C Utilised gas (MMscf)]]</f>
        <v>5.08</v>
      </c>
      <c r="AA39" s="723">
        <f>+Table25234678910111012131214121516151718[[#This Row],[Odid Prod gas (MMscf)]]-Table25234678910111012131214121516151718[[#This Row],[Gas Export (MMscf/d)]]-Table25234678910111012131214121516151718[[#This Row],[Odid Utilised gas (MMscf)]]</f>
        <v>16.773000000000003</v>
      </c>
      <c r="AB39" s="723">
        <f>+Table25234678910111012131214121516151718[[#This Row],[Batn Prod gas (MMscf)]]-Table25234678910111012131214121516151718[[#This Row],[Batn Utilised gas (MMscf)]]</f>
        <v>0</v>
      </c>
      <c r="AC39" s="747">
        <f>+Table25234678910111012131214121516151718[[#This Row],[Egwa Prod gas (MMscf)]]-Table25234678910111012131214121516151718[[#This Row],[Egwa Utilised gas (MMscf)]]</f>
        <v>3.08</v>
      </c>
      <c r="AD39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41.27</v>
      </c>
      <c r="AE39" s="723">
        <f>+Table25234678910111012131214121516151718[[#This Row],[Gas Export (MMscf/d)]]</f>
        <v>15.497</v>
      </c>
      <c r="AF39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0.84</v>
      </c>
      <c r="AG39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24.933</v>
      </c>
      <c r="AH39" s="142"/>
    </row>
    <row r="40" spans="2:51" ht="21.6">
      <c r="B40" s="716">
        <v>44505</v>
      </c>
      <c r="C40" s="749">
        <v>21.64</v>
      </c>
      <c r="D40" s="750">
        <v>15.132</v>
      </c>
      <c r="E40" s="751">
        <v>8.9</v>
      </c>
      <c r="F40" s="749">
        <v>3.77</v>
      </c>
      <c r="G40" s="749">
        <f>SUM(Table25234678910111012131214121516151718[[#This Row],[Jones Creek Target (Mbopd)]:[Egwa Target (Mbopd)]])</f>
        <v>49.442</v>
      </c>
      <c r="H40" s="754"/>
      <c r="I40" s="752"/>
      <c r="J40" s="752"/>
      <c r="K40" s="754"/>
      <c r="L40" s="753"/>
      <c r="M40" s="721"/>
      <c r="N40" s="765"/>
      <c r="O40" s="723"/>
      <c r="P40" s="721"/>
      <c r="Q40" s="747"/>
      <c r="R40" s="745"/>
      <c r="S40" s="723"/>
      <c r="T40" s="723"/>
      <c r="U40" s="747"/>
      <c r="V40" s="746"/>
      <c r="W40" s="723"/>
      <c r="X40" s="723"/>
      <c r="Y40" s="721"/>
      <c r="Z40" s="746">
        <f>+Table25234678910111012131214121516151718[[#This Row],[J/C Prod gas (MMscf)]]-Table25234678910111012131214121516151718[[#This Row],[J/C Utilised gas (MMscf)]]</f>
        <v>0</v>
      </c>
      <c r="AA40" s="723">
        <f>+Table25234678910111012131214121516151718[[#This Row],[Odid Prod gas (MMscf)]]-Table25234678910111012131214121516151718[[#This Row],[Gas Export (MMscf/d)]]-Table25234678910111012131214121516151718[[#This Row],[Odid Utilised gas (MMscf)]]</f>
        <v>0</v>
      </c>
      <c r="AB40" s="723">
        <f>+Table25234678910111012131214121516151718[[#This Row],[Batn Prod gas (MMscf)]]-Table25234678910111012131214121516151718[[#This Row],[Batn Utilised gas (MMscf)]]</f>
        <v>0</v>
      </c>
      <c r="AC40" s="747">
        <f>+Table25234678910111012131214121516151718[[#This Row],[Egwa Prod gas (MMscf)]]-Table25234678910111012131214121516151718[[#This Row],[Egwa Utilised gas (MMscf)]]</f>
        <v>0</v>
      </c>
      <c r="AD40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0</v>
      </c>
      <c r="AE40" s="723">
        <f>+Table25234678910111012131214121516151718[[#This Row],[Gas Export (MMscf/d)]]</f>
        <v>0</v>
      </c>
      <c r="AF40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</v>
      </c>
      <c r="AG40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0</v>
      </c>
      <c r="AH40" s="142"/>
    </row>
    <row r="41" spans="2:51" ht="21.6">
      <c r="B41" s="716">
        <v>44506</v>
      </c>
      <c r="C41" s="749">
        <v>21.64</v>
      </c>
      <c r="D41" s="750">
        <v>15.132</v>
      </c>
      <c r="E41" s="751">
        <v>8.9</v>
      </c>
      <c r="F41" s="749">
        <v>3.77</v>
      </c>
      <c r="G41" s="749">
        <f>SUM(Table25234678910111012131214121516151718[[#This Row],[Jones Creek Target (Mbopd)]:[Egwa Target (Mbopd)]])</f>
        <v>49.442</v>
      </c>
      <c r="H41" s="754"/>
      <c r="I41" s="754"/>
      <c r="J41" s="754"/>
      <c r="K41" s="754"/>
      <c r="L41" s="753"/>
      <c r="M41" s="721"/>
      <c r="N41" s="765"/>
      <c r="O41" s="723"/>
      <c r="P41" s="721"/>
      <c r="Q41" s="747"/>
      <c r="R41" s="745"/>
      <c r="S41" s="723"/>
      <c r="T41" s="723"/>
      <c r="U41" s="747"/>
      <c r="V41" s="746"/>
      <c r="W41" s="723"/>
      <c r="X41" s="723"/>
      <c r="Y41" s="721"/>
      <c r="Z41" s="746">
        <f>+Table25234678910111012131214121516151718[[#This Row],[J/C Prod gas (MMscf)]]-Table25234678910111012131214121516151718[[#This Row],[J/C Utilised gas (MMscf)]]</f>
        <v>0</v>
      </c>
      <c r="AA41" s="723">
        <f>+Table25234678910111012131214121516151718[[#This Row],[Odid Prod gas (MMscf)]]-Table25234678910111012131214121516151718[[#This Row],[Gas Export (MMscf/d)]]-Table25234678910111012131214121516151718[[#This Row],[Odid Utilised gas (MMscf)]]</f>
        <v>0</v>
      </c>
      <c r="AB41" s="723">
        <f>+Table25234678910111012131214121516151718[[#This Row],[Batn Prod gas (MMscf)]]-Table25234678910111012131214121516151718[[#This Row],[Batn Utilised gas (MMscf)]]</f>
        <v>0</v>
      </c>
      <c r="AC41" s="747">
        <f>+Table25234678910111012131214121516151718[[#This Row],[Egwa Prod gas (MMscf)]]-Table25234678910111012131214121516151718[[#This Row],[Egwa Utilised gas (MMscf)]]</f>
        <v>0</v>
      </c>
      <c r="AD41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0</v>
      </c>
      <c r="AE41" s="723">
        <f>+Table25234678910111012131214121516151718[[#This Row],[Gas Export (MMscf/d)]]</f>
        <v>0</v>
      </c>
      <c r="AF41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</v>
      </c>
      <c r="AG41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0</v>
      </c>
      <c r="AH41" s="142"/>
    </row>
    <row r="42" spans="2:51" ht="21.6">
      <c r="B42" s="716">
        <v>44507</v>
      </c>
      <c r="C42" s="749">
        <v>21.64</v>
      </c>
      <c r="D42" s="750">
        <v>15.132</v>
      </c>
      <c r="E42" s="751">
        <v>8.9</v>
      </c>
      <c r="F42" s="749">
        <v>3.77</v>
      </c>
      <c r="G42" s="749">
        <f>SUM(Table25234678910111012131214121516151718[[#This Row],[Jones Creek Target (Mbopd)]:[Egwa Target (Mbopd)]])</f>
        <v>49.442</v>
      </c>
      <c r="H42" s="754"/>
      <c r="I42" s="754"/>
      <c r="J42" s="754"/>
      <c r="K42" s="754"/>
      <c r="L42" s="753"/>
      <c r="M42" s="721"/>
      <c r="N42" s="765"/>
      <c r="O42" s="723"/>
      <c r="P42" s="721"/>
      <c r="Q42" s="747"/>
      <c r="R42" s="745"/>
      <c r="S42" s="723"/>
      <c r="T42" s="723"/>
      <c r="U42" s="747"/>
      <c r="V42" s="746"/>
      <c r="W42" s="723"/>
      <c r="X42" s="723"/>
      <c r="Y42" s="721"/>
      <c r="Z42" s="746">
        <f>+Table25234678910111012131214121516151718[[#This Row],[J/C Prod gas (MMscf)]]-Table25234678910111012131214121516151718[[#This Row],[J/C Utilised gas (MMscf)]]</f>
        <v>0</v>
      </c>
      <c r="AA42" s="723">
        <f>+Table25234678910111012131214121516151718[[#This Row],[Odid Prod gas (MMscf)]]-Table25234678910111012131214121516151718[[#This Row],[Gas Export (MMscf/d)]]-Table25234678910111012131214121516151718[[#This Row],[Odid Utilised gas (MMscf)]]</f>
        <v>0</v>
      </c>
      <c r="AB42" s="723">
        <f>+Table25234678910111012131214121516151718[[#This Row],[Batn Prod gas (MMscf)]]-Table25234678910111012131214121516151718[[#This Row],[Batn Utilised gas (MMscf)]]</f>
        <v>0</v>
      </c>
      <c r="AC42" s="747">
        <f>+Table25234678910111012131214121516151718[[#This Row],[Egwa Prod gas (MMscf)]]-Table25234678910111012131214121516151718[[#This Row],[Egwa Utilised gas (MMscf)]]</f>
        <v>0</v>
      </c>
      <c r="AD42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0</v>
      </c>
      <c r="AE42" s="723">
        <f>+Table25234678910111012131214121516151718[[#This Row],[Gas Export (MMscf/d)]]</f>
        <v>0</v>
      </c>
      <c r="AF42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</v>
      </c>
      <c r="AG42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0</v>
      </c>
      <c r="AH42" s="142"/>
      <c r="AI42" s="730"/>
    </row>
    <row r="43" spans="2:51" ht="21.6">
      <c r="B43" s="716">
        <v>44508</v>
      </c>
      <c r="C43" s="749">
        <v>21.64</v>
      </c>
      <c r="D43" s="750">
        <v>15.132</v>
      </c>
      <c r="E43" s="751">
        <v>8.9</v>
      </c>
      <c r="F43" s="749">
        <v>3.77</v>
      </c>
      <c r="G43" s="749">
        <f>SUM(Table25234678910111012131214121516151718[[#This Row],[Jones Creek Target (Mbopd)]:[Egwa Target (Mbopd)]])</f>
        <v>49.442</v>
      </c>
      <c r="H43" s="752"/>
      <c r="I43" s="752"/>
      <c r="J43" s="752"/>
      <c r="K43" s="754"/>
      <c r="L43" s="753"/>
      <c r="M43" s="721"/>
      <c r="N43" s="765"/>
      <c r="O43" s="723"/>
      <c r="P43" s="721"/>
      <c r="Q43" s="747"/>
      <c r="R43" s="745"/>
      <c r="S43" s="723"/>
      <c r="T43" s="723"/>
      <c r="U43" s="747"/>
      <c r="V43" s="746"/>
      <c r="W43" s="723"/>
      <c r="X43" s="723"/>
      <c r="Y43" s="721"/>
      <c r="Z43" s="746">
        <f>+Table25234678910111012131214121516151718[[#This Row],[J/C Prod gas (MMscf)]]-Table25234678910111012131214121516151718[[#This Row],[J/C Utilised gas (MMscf)]]</f>
        <v>0</v>
      </c>
      <c r="AA43" s="723">
        <f>+Table25234678910111012131214121516151718[[#This Row],[Odid Prod gas (MMscf)]]-Table25234678910111012131214121516151718[[#This Row],[Gas Export (MMscf/d)]]-Table25234678910111012131214121516151718[[#This Row],[Odid Utilised gas (MMscf)]]</f>
        <v>0</v>
      </c>
      <c r="AB43" s="723">
        <f>+Table25234678910111012131214121516151718[[#This Row],[Batn Prod gas (MMscf)]]-Table25234678910111012131214121516151718[[#This Row],[Batn Utilised gas (MMscf)]]</f>
        <v>0</v>
      </c>
      <c r="AC43" s="747">
        <f>+Table25234678910111012131214121516151718[[#This Row],[Egwa Prod gas (MMscf)]]-Table25234678910111012131214121516151718[[#This Row],[Egwa Utilised gas (MMscf)]]</f>
        <v>0</v>
      </c>
      <c r="AD43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0</v>
      </c>
      <c r="AE43" s="723">
        <f>+Table25234678910111012131214121516151718[[#This Row],[Gas Export (MMscf/d)]]</f>
        <v>0</v>
      </c>
      <c r="AF43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</v>
      </c>
      <c r="AG43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0</v>
      </c>
      <c r="AH43" s="142"/>
    </row>
    <row r="44" spans="2:51" ht="21.6">
      <c r="B44" s="716">
        <v>44509</v>
      </c>
      <c r="C44" s="749">
        <v>21.64</v>
      </c>
      <c r="D44" s="750">
        <v>15.132</v>
      </c>
      <c r="E44" s="751">
        <v>8.9</v>
      </c>
      <c r="F44" s="749">
        <v>3.77</v>
      </c>
      <c r="G44" s="749">
        <f>SUM(Table25234678910111012131214121516151718[[#This Row],[Jones Creek Target (Mbopd)]:[Egwa Target (Mbopd)]])</f>
        <v>49.442</v>
      </c>
      <c r="H44" s="752"/>
      <c r="I44" s="752"/>
      <c r="J44" s="752"/>
      <c r="K44" s="754"/>
      <c r="L44" s="753"/>
      <c r="M44" s="721"/>
      <c r="N44" s="765"/>
      <c r="O44" s="723"/>
      <c r="P44" s="721"/>
      <c r="Q44" s="747"/>
      <c r="R44" s="745"/>
      <c r="S44" s="723"/>
      <c r="T44" s="723"/>
      <c r="U44" s="747"/>
      <c r="V44" s="746"/>
      <c r="W44" s="723"/>
      <c r="X44" s="723"/>
      <c r="Y44" s="721"/>
      <c r="Z44" s="746">
        <f>+Table25234678910111012131214121516151718[[#This Row],[J/C Prod gas (MMscf)]]-Table25234678910111012131214121516151718[[#This Row],[J/C Utilised gas (MMscf)]]</f>
        <v>0</v>
      </c>
      <c r="AA44" s="723">
        <f>+Table25234678910111012131214121516151718[[#This Row],[Odid Prod gas (MMscf)]]-Table25234678910111012131214121516151718[[#This Row],[Gas Export (MMscf/d)]]-Table25234678910111012131214121516151718[[#This Row],[Odid Utilised gas (MMscf)]]</f>
        <v>0</v>
      </c>
      <c r="AB44" s="723">
        <f>+Table25234678910111012131214121516151718[[#This Row],[Batn Prod gas (MMscf)]]-Table25234678910111012131214121516151718[[#This Row],[Batn Utilised gas (MMscf)]]</f>
        <v>0</v>
      </c>
      <c r="AC44" s="747">
        <f>+Table25234678910111012131214121516151718[[#This Row],[Egwa Prod gas (MMscf)]]-Table25234678910111012131214121516151718[[#This Row],[Egwa Utilised gas (MMscf)]]</f>
        <v>0</v>
      </c>
      <c r="AD44" s="745">
        <f>+Table25234678910111012131214121516151718[[#This Row],[J/C Prod gas (MMscf)]]+Table25234678910111012131214121516151718[[#This Row],[Odid Prod gas (MMscf)]]+Table25234678910111012131214121516151718[[#This Row],[Batn Prod gas (MMscf)]]+Table25234678910111012131214121516151718[[#This Row],[Egwa Prod gas (MMscf)]]</f>
        <v>0</v>
      </c>
      <c r="AE44" s="723">
        <f>+Table25234678910111012131214121516151718[[#This Row],[Gas Export (MMscf/d)]]</f>
        <v>0</v>
      </c>
      <c r="AF44" s="723">
        <f>+Table25234678910111012131214121516151718[[#This Row],[J/C Utilised gas (MMscf)]]+Table25234678910111012131214121516151718[[#This Row],[Odid Utilised gas (MMscf)]]+Table25234678910111012131214121516151718[[#This Row],[Batn Utilised gas (MMscf)]]+Table25234678910111012131214121516151718[[#This Row],[Egwa Utilised gas (MMscf)]]</f>
        <v>0</v>
      </c>
      <c r="AG44" s="747">
        <f>+Table25234678910111012131214121516151718[[#This Row],[ J/C Flared Gas (MMscf/d)]]+Table25234678910111012131214121516151718[[#This Row],[ Odidi Flared Gas (MMscf/d)]]+Table25234678910111012131214121516151718[[#This Row],[ Batan Flared Gas (MMscf/d)]]+Table25234678910111012131214121516151718[[#This Row],[Egwa Flared Gas (MMscf/d)]]</f>
        <v>0</v>
      </c>
      <c r="AH44" s="142"/>
    </row>
    <row r="46" spans="2:51" ht="19.899999999999999" thickBot="1"/>
    <row r="47" spans="2:51" ht="33.950000000000003" customHeight="1" thickBot="1">
      <c r="B47" s="1345" t="s">
        <v>149</v>
      </c>
      <c r="C47" s="1346"/>
      <c r="D47" s="1346"/>
      <c r="E47" s="1346"/>
      <c r="F47" s="1346"/>
      <c r="G47" s="1346"/>
      <c r="H47" s="1346"/>
      <c r="I47" s="1346"/>
      <c r="J47" s="1346"/>
      <c r="K47" s="1346"/>
      <c r="L47" s="1346"/>
      <c r="M47" s="1346"/>
      <c r="N47" s="1346"/>
      <c r="O47" s="1346"/>
      <c r="P47" s="1346"/>
      <c r="Q47" s="1347"/>
      <c r="R47" s="683"/>
      <c r="S47" s="683"/>
      <c r="T47" s="683"/>
      <c r="U47" s="683"/>
      <c r="V47" s="683"/>
      <c r="W47" s="683"/>
      <c r="X47" s="683"/>
      <c r="Y47" s="683"/>
      <c r="Z47" s="683"/>
      <c r="AA47" s="683"/>
      <c r="AB47" s="683"/>
      <c r="AC47" s="683"/>
      <c r="AD47" s="683"/>
      <c r="AE47" s="683"/>
      <c r="AF47" s="683"/>
      <c r="AI47" s="142"/>
      <c r="AJ47" s="731"/>
    </row>
    <row r="48" spans="2:51" ht="41.45" customHeight="1">
      <c r="B48" s="655" t="s">
        <v>22</v>
      </c>
      <c r="C48" s="651" t="s">
        <v>358</v>
      </c>
      <c r="D48" s="1334" t="s">
        <v>24</v>
      </c>
      <c r="E48" s="1307"/>
      <c r="F48" s="1307"/>
      <c r="G48" s="1307"/>
      <c r="H48" s="1307"/>
      <c r="I48" s="1307"/>
      <c r="J48" s="1307"/>
      <c r="K48" s="1307"/>
      <c r="L48" s="1307"/>
      <c r="M48" s="1307"/>
      <c r="N48" s="1307"/>
      <c r="O48" s="1307"/>
      <c r="P48" s="1307"/>
      <c r="Q48" s="1308"/>
      <c r="R48" s="683"/>
      <c r="S48" s="683"/>
      <c r="T48" s="683"/>
      <c r="U48" s="683"/>
      <c r="V48" s="683"/>
      <c r="W48" s="683"/>
      <c r="X48" s="683"/>
      <c r="Y48" s="683"/>
      <c r="Z48" s="683"/>
      <c r="AA48" s="683"/>
      <c r="AB48" s="683"/>
      <c r="AC48" s="683"/>
      <c r="AD48" s="683"/>
      <c r="AE48" s="683"/>
      <c r="AF48" s="683"/>
      <c r="AI48" s="242"/>
      <c r="AJ48" s="732"/>
    </row>
    <row r="49" spans="2:36" ht="21.6">
      <c r="B49" s="656" t="s">
        <v>17</v>
      </c>
      <c r="C49" s="652">
        <v>10.119999999999999</v>
      </c>
      <c r="D49" s="1335" t="s">
        <v>466</v>
      </c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10"/>
      <c r="R49" s="684"/>
      <c r="S49" s="684"/>
      <c r="T49" s="684"/>
      <c r="U49" s="684"/>
      <c r="V49" s="684"/>
      <c r="W49" s="684"/>
      <c r="X49" s="684"/>
      <c r="Y49" s="684"/>
      <c r="Z49" s="684"/>
      <c r="AA49" s="684"/>
      <c r="AB49" s="684"/>
      <c r="AC49" s="684"/>
      <c r="AD49" s="684"/>
      <c r="AE49" s="684"/>
      <c r="AF49" s="684"/>
      <c r="AI49" s="242"/>
      <c r="AJ49" s="732"/>
    </row>
    <row r="50" spans="2:36" ht="21.6">
      <c r="B50" s="656" t="s">
        <v>19</v>
      </c>
      <c r="C50" s="652">
        <v>1.57</v>
      </c>
      <c r="D50" s="1336" t="s">
        <v>467</v>
      </c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6"/>
      <c r="R50" s="685"/>
      <c r="S50" s="685"/>
      <c r="T50" s="685"/>
      <c r="U50" s="685"/>
      <c r="V50" s="685"/>
      <c r="W50" s="685"/>
      <c r="X50" s="685"/>
      <c r="Y50" s="685"/>
      <c r="Z50" s="685"/>
      <c r="AA50" s="685"/>
      <c r="AB50" s="685"/>
      <c r="AC50" s="685"/>
      <c r="AD50" s="685"/>
      <c r="AE50" s="685"/>
      <c r="AF50" s="685"/>
      <c r="AI50" s="142"/>
    </row>
    <row r="51" spans="2:36" ht="21.6">
      <c r="B51" s="656" t="s">
        <v>16</v>
      </c>
      <c r="C51" s="652">
        <v>8.9</v>
      </c>
      <c r="D51" s="1336" t="s">
        <v>468</v>
      </c>
      <c r="E51" s="1285"/>
      <c r="F51" s="1285"/>
      <c r="G51" s="1285"/>
      <c r="H51" s="1285"/>
      <c r="I51" s="1285"/>
      <c r="J51" s="1285"/>
      <c r="K51" s="1285"/>
      <c r="L51" s="1285"/>
      <c r="M51" s="1285"/>
      <c r="N51" s="1285"/>
      <c r="O51" s="1285"/>
      <c r="P51" s="1285"/>
      <c r="Q51" s="1286"/>
      <c r="R51" s="685"/>
      <c r="S51" s="685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I51" s="242"/>
      <c r="AJ51" s="733"/>
    </row>
    <row r="52" spans="2:36" ht="22.15" thickBot="1">
      <c r="B52" s="657" t="s">
        <v>18</v>
      </c>
      <c r="C52" s="653">
        <v>0.28999999999999998</v>
      </c>
      <c r="D52" s="1328" t="s">
        <v>152</v>
      </c>
      <c r="E52" s="1329"/>
      <c r="F52" s="1329"/>
      <c r="G52" s="1329"/>
      <c r="H52" s="1329"/>
      <c r="I52" s="1329"/>
      <c r="J52" s="1329"/>
      <c r="K52" s="1329"/>
      <c r="L52" s="1329"/>
      <c r="M52" s="1329"/>
      <c r="N52" s="1329"/>
      <c r="O52" s="1329"/>
      <c r="P52" s="1329"/>
      <c r="Q52" s="1330"/>
      <c r="R52" s="685"/>
      <c r="S52" s="685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I52" s="242"/>
      <c r="AJ52" s="732"/>
    </row>
    <row r="53" spans="2:36" ht="22.15" thickBot="1">
      <c r="B53" s="658" t="s">
        <v>187</v>
      </c>
      <c r="C53" s="654">
        <f>SUM(C49:C52)</f>
        <v>20.88</v>
      </c>
      <c r="D53" s="1331" t="s">
        <v>469</v>
      </c>
      <c r="E53" s="1332"/>
      <c r="F53" s="1332"/>
      <c r="G53" s="1332"/>
      <c r="H53" s="1332"/>
      <c r="I53" s="1332"/>
      <c r="J53" s="1332"/>
      <c r="K53" s="1332"/>
      <c r="L53" s="1332"/>
      <c r="M53" s="1332"/>
      <c r="N53" s="1332"/>
      <c r="O53" s="1332"/>
      <c r="P53" s="1332"/>
      <c r="Q53" s="1333"/>
      <c r="R53" s="684"/>
      <c r="S53" s="684"/>
      <c r="T53" s="684"/>
      <c r="U53" s="684"/>
      <c r="V53" s="684"/>
      <c r="W53" s="684"/>
      <c r="X53" s="684"/>
      <c r="Y53" s="684"/>
      <c r="Z53" s="684"/>
      <c r="AA53" s="684"/>
      <c r="AB53" s="684"/>
      <c r="AC53" s="684"/>
      <c r="AD53" s="684"/>
      <c r="AE53" s="684"/>
      <c r="AF53" s="684"/>
      <c r="AG53" s="790"/>
      <c r="AH53" s="734"/>
    </row>
    <row r="56" spans="2:36" ht="24.6">
      <c r="D56" s="778">
        <f>D57+4.84</f>
        <v>8.5500000000000007</v>
      </c>
      <c r="F56" s="735">
        <f>6.71+4.78</f>
        <v>11.49</v>
      </c>
      <c r="G56" s="735">
        <f>4.78-0.33</f>
        <v>4.45</v>
      </c>
    </row>
    <row r="57" spans="2:36" ht="27.75" customHeight="1">
      <c r="C57" s="736"/>
      <c r="D57" s="735">
        <f>0.89+2.82</f>
        <v>3.71</v>
      </c>
      <c r="H57" s="737"/>
      <c r="I57" s="737"/>
      <c r="J57" s="737"/>
    </row>
    <row r="58" spans="2:36" ht="24.75" customHeight="1">
      <c r="D58" s="735"/>
      <c r="F58" s="580">
        <f>8.9-4.84</f>
        <v>4.0600000000000005</v>
      </c>
      <c r="H58" s="738"/>
      <c r="I58" s="738"/>
      <c r="J58" s="738"/>
    </row>
    <row r="59" spans="2:36" ht="20.25" customHeight="1">
      <c r="G59" s="142"/>
      <c r="H59" s="142"/>
      <c r="I59" s="794"/>
      <c r="J59" s="142"/>
      <c r="K59" s="142"/>
      <c r="M59" s="142"/>
      <c r="N59" s="142"/>
      <c r="V59" s="142"/>
      <c r="W59" s="142"/>
      <c r="X59" s="142"/>
      <c r="Y59" s="142"/>
      <c r="AE59" s="142"/>
      <c r="AF59" s="142"/>
    </row>
    <row r="60" spans="2:36" ht="21.6">
      <c r="C60" s="739"/>
      <c r="G60" s="734"/>
      <c r="H60" s="142"/>
      <c r="I60" s="142"/>
      <c r="J60" s="142"/>
      <c r="K60" s="142"/>
      <c r="M60" s="142"/>
      <c r="N60" s="142"/>
      <c r="V60" s="142"/>
      <c r="W60" s="142"/>
      <c r="X60" s="142"/>
      <c r="Y60" s="142"/>
      <c r="AE60" s="142"/>
      <c r="AF60" s="142"/>
    </row>
    <row r="61" spans="2:36" ht="21.6">
      <c r="C61" s="741"/>
      <c r="D61" s="741"/>
      <c r="F61" s="741"/>
      <c r="G61" s="793"/>
      <c r="H61" s="142"/>
      <c r="I61" s="142"/>
      <c r="J61" s="142"/>
      <c r="K61" s="142"/>
      <c r="M61" s="142"/>
      <c r="N61" s="142"/>
      <c r="V61" s="142"/>
      <c r="W61" s="142"/>
      <c r="X61" s="142"/>
      <c r="Y61" s="142"/>
      <c r="AE61" s="142"/>
      <c r="AF61" s="142"/>
    </row>
    <row r="62" spans="2:36" ht="21.6">
      <c r="C62" s="741"/>
      <c r="D62" s="796"/>
      <c r="F62" s="741"/>
      <c r="G62" s="741"/>
    </row>
    <row r="63" spans="2:36">
      <c r="C63" s="741"/>
      <c r="D63" s="741"/>
      <c r="F63" s="741"/>
      <c r="G63" s="741"/>
    </row>
    <row r="64" spans="2:36">
      <c r="C64" s="741"/>
      <c r="D64" s="741"/>
      <c r="F64" s="741"/>
      <c r="G64" s="741"/>
    </row>
    <row r="84" spans="36:36" ht="24.6">
      <c r="AJ84" s="735"/>
    </row>
  </sheetData>
  <mergeCells count="8">
    <mergeCell ref="D52:Q52"/>
    <mergeCell ref="D53:Q53"/>
    <mergeCell ref="AL3:AP3"/>
    <mergeCell ref="B47:Q47"/>
    <mergeCell ref="D48:Q48"/>
    <mergeCell ref="D49:Q49"/>
    <mergeCell ref="D50:Q50"/>
    <mergeCell ref="D51:Q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1:AC999"/>
  <sheetViews>
    <sheetView topLeftCell="A52" zoomScale="90" zoomScaleNormal="90" workbookViewId="0">
      <selection activeCell="G80" sqref="G80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9.21875" style="580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7.6640625" style="580" customWidth="1"/>
    <col min="12" max="12" width="11.21875" style="580" bestFit="1" customWidth="1"/>
    <col min="13" max="13" width="9.21875" style="580"/>
    <col min="14" max="14" width="10.109375" style="580" bestFit="1" customWidth="1"/>
    <col min="15" max="16384" width="9.21875" style="580"/>
  </cols>
  <sheetData>
    <row r="1" spans="2:29" ht="22.9" thickBot="1">
      <c r="B1"/>
      <c r="C1" s="1226" t="s">
        <v>470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 thickBo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24.75" customHeight="1" thickBot="1">
      <c r="B3"/>
      <c r="C3" s="1252" t="s">
        <v>471</v>
      </c>
      <c r="D3" s="1291"/>
      <c r="E3" s="1291"/>
      <c r="F3" s="1291"/>
      <c r="G3" s="1291"/>
      <c r="H3" s="1291"/>
      <c r="I3" s="1291"/>
      <c r="J3" s="1291"/>
      <c r="K3" s="1292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27" customHeight="1" thickBot="1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 ht="19.899999999999999" thickBot="1">
      <c r="B5" s="808">
        <v>1</v>
      </c>
      <c r="C5" s="809" t="s">
        <v>41</v>
      </c>
      <c r="D5" s="810" t="s">
        <v>42</v>
      </c>
      <c r="E5" s="811">
        <v>28</v>
      </c>
      <c r="F5" s="812">
        <v>1706</v>
      </c>
      <c r="G5" s="812">
        <v>580</v>
      </c>
      <c r="H5" s="812">
        <v>66</v>
      </c>
      <c r="I5" s="812">
        <v>995</v>
      </c>
      <c r="J5" s="812">
        <v>494</v>
      </c>
      <c r="K5" s="813" t="s">
        <v>235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 ht="19.899999999999999" thickBot="1">
      <c r="B6" s="814">
        <v>2</v>
      </c>
      <c r="C6" s="815" t="s">
        <v>43</v>
      </c>
      <c r="D6" s="219" t="s">
        <v>44</v>
      </c>
      <c r="E6" s="220">
        <v>28</v>
      </c>
      <c r="F6" s="221">
        <v>1132</v>
      </c>
      <c r="G6" s="278">
        <v>566</v>
      </c>
      <c r="H6" s="221">
        <v>50</v>
      </c>
      <c r="I6" s="221">
        <v>607</v>
      </c>
      <c r="J6" s="221">
        <v>147</v>
      </c>
      <c r="K6" s="816" t="s">
        <v>235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 ht="19.899999999999999" thickBot="1">
      <c r="B7" s="863">
        <v>3</v>
      </c>
      <c r="C7" s="864" t="s">
        <v>45</v>
      </c>
      <c r="D7" s="254" t="s">
        <v>44</v>
      </c>
      <c r="E7" s="255">
        <v>32</v>
      </c>
      <c r="F7" s="197">
        <v>2221</v>
      </c>
      <c r="G7" s="295">
        <v>1044</v>
      </c>
      <c r="H7" s="197">
        <v>53</v>
      </c>
      <c r="I7" s="197">
        <v>669</v>
      </c>
      <c r="J7" s="197">
        <v>249</v>
      </c>
      <c r="K7" s="865"/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 ht="19.899999999999999" thickBot="1">
      <c r="B8" s="817">
        <v>4</v>
      </c>
      <c r="C8" s="818" t="s">
        <v>46</v>
      </c>
      <c r="D8" s="192" t="s">
        <v>47</v>
      </c>
      <c r="E8" s="193">
        <v>40</v>
      </c>
      <c r="F8" s="194">
        <v>1753</v>
      </c>
      <c r="G8" s="188">
        <v>1157</v>
      </c>
      <c r="H8" s="194">
        <v>34</v>
      </c>
      <c r="I8" s="194">
        <v>323</v>
      </c>
      <c r="J8" s="194">
        <v>129</v>
      </c>
      <c r="K8" s="81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 ht="19.899999999999999" thickBot="1">
      <c r="B9" s="817">
        <v>5</v>
      </c>
      <c r="C9" s="818" t="s">
        <v>48</v>
      </c>
      <c r="D9" s="192" t="s">
        <v>47</v>
      </c>
      <c r="E9" s="193" t="s">
        <v>49</v>
      </c>
      <c r="F9" s="194">
        <v>1538</v>
      </c>
      <c r="G9" s="188">
        <v>1000</v>
      </c>
      <c r="H9" s="194">
        <v>35</v>
      </c>
      <c r="I9" s="194">
        <v>310</v>
      </c>
      <c r="J9" s="194">
        <v>163</v>
      </c>
      <c r="K9" s="81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 ht="19.899999999999999" thickBot="1">
      <c r="B10" s="814">
        <v>6</v>
      </c>
      <c r="C10" s="815" t="s">
        <v>373</v>
      </c>
      <c r="D10" s="219" t="s">
        <v>47</v>
      </c>
      <c r="E10" s="220">
        <v>24</v>
      </c>
      <c r="F10" s="221"/>
      <c r="G10" s="278"/>
      <c r="H10" s="221"/>
      <c r="I10" s="221"/>
      <c r="J10" s="221"/>
      <c r="K10" s="816" t="s">
        <v>402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 ht="19.899999999999999" thickBot="1">
      <c r="B11" s="814">
        <v>7</v>
      </c>
      <c r="C11" s="815" t="s">
        <v>50</v>
      </c>
      <c r="D11" s="219" t="s">
        <v>47</v>
      </c>
      <c r="E11" s="220" t="s">
        <v>51</v>
      </c>
      <c r="F11" s="221">
        <v>1480</v>
      </c>
      <c r="G11" s="278">
        <v>444</v>
      </c>
      <c r="H11" s="221">
        <v>70</v>
      </c>
      <c r="I11" s="221">
        <v>762</v>
      </c>
      <c r="J11" s="221">
        <v>173</v>
      </c>
      <c r="K11" s="816" t="s">
        <v>235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 ht="19.899999999999999" thickBot="1">
      <c r="B12" s="814">
        <v>8</v>
      </c>
      <c r="C12" s="815" t="s">
        <v>52</v>
      </c>
      <c r="D12" s="219" t="s">
        <v>47</v>
      </c>
      <c r="E12" s="220">
        <v>40</v>
      </c>
      <c r="F12" s="221">
        <v>1652</v>
      </c>
      <c r="G12" s="278">
        <v>760</v>
      </c>
      <c r="H12" s="221">
        <v>54</v>
      </c>
      <c r="I12" s="221">
        <v>447</v>
      </c>
      <c r="J12" s="221">
        <v>159</v>
      </c>
      <c r="K12" s="816" t="s">
        <v>235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 ht="19.899999999999999" thickBot="1">
      <c r="B13" s="814">
        <v>9</v>
      </c>
      <c r="C13" s="815" t="s">
        <v>53</v>
      </c>
      <c r="D13" s="219" t="s">
        <v>47</v>
      </c>
      <c r="E13" s="220">
        <v>28</v>
      </c>
      <c r="F13" s="221">
        <v>1410</v>
      </c>
      <c r="G13" s="278">
        <v>663</v>
      </c>
      <c r="H13" s="221">
        <v>53.33</v>
      </c>
      <c r="I13" s="221">
        <v>430</v>
      </c>
      <c r="J13" s="221">
        <v>342</v>
      </c>
      <c r="K13" s="698" t="s">
        <v>235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 ht="19.899999999999999" thickBot="1">
      <c r="B14" s="814">
        <v>10</v>
      </c>
      <c r="C14" s="815" t="s">
        <v>54</v>
      </c>
      <c r="D14" s="219" t="s">
        <v>47</v>
      </c>
      <c r="E14" s="220" t="s">
        <v>55</v>
      </c>
      <c r="F14" s="221">
        <v>1633</v>
      </c>
      <c r="G14" s="278">
        <v>784</v>
      </c>
      <c r="H14" s="221">
        <v>52</v>
      </c>
      <c r="I14" s="221">
        <v>492</v>
      </c>
      <c r="J14" s="221">
        <v>377</v>
      </c>
      <c r="K14" s="698" t="s">
        <v>415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19.899999999999999" thickBot="1">
      <c r="B15" s="820">
        <v>11</v>
      </c>
      <c r="C15" s="818" t="s">
        <v>56</v>
      </c>
      <c r="D15" s="192" t="s">
        <v>47</v>
      </c>
      <c r="E15" s="193">
        <v>44</v>
      </c>
      <c r="F15" s="194">
        <v>3857</v>
      </c>
      <c r="G15" s="188">
        <v>1620</v>
      </c>
      <c r="H15" s="194">
        <v>58</v>
      </c>
      <c r="I15" s="194">
        <v>329</v>
      </c>
      <c r="J15" s="194">
        <v>352</v>
      </c>
      <c r="K15" s="821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 ht="19.899999999999999" thickBot="1">
      <c r="B16" s="822">
        <v>12</v>
      </c>
      <c r="C16" s="823" t="s">
        <v>57</v>
      </c>
      <c r="D16" s="824" t="s">
        <v>47</v>
      </c>
      <c r="E16" s="825">
        <v>28</v>
      </c>
      <c r="F16" s="826">
        <v>1706</v>
      </c>
      <c r="G16" s="827">
        <v>273</v>
      </c>
      <c r="H16" s="826">
        <v>84</v>
      </c>
      <c r="I16" s="826">
        <v>377</v>
      </c>
      <c r="J16" s="826">
        <v>305</v>
      </c>
      <c r="K16" s="698" t="s">
        <v>235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 ht="19.899999999999999" thickBot="1">
      <c r="B17"/>
      <c r="C17" s="204"/>
      <c r="D17" s="205"/>
      <c r="E17" s="205"/>
      <c r="F17" s="224">
        <f>SUM(F5:F16)</f>
        <v>20088</v>
      </c>
      <c r="G17" s="224">
        <f>SUM(G5:G16)</f>
        <v>8891</v>
      </c>
      <c r="H17" s="207"/>
      <c r="I17" s="408"/>
      <c r="J17" s="207"/>
      <c r="K17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 ht="19.899999999999999" thickBot="1">
      <c r="B18"/>
      <c r="C18"/>
      <c r="D18" s="1253"/>
      <c r="E18" s="1253"/>
      <c r="F18" s="1"/>
      <c r="G18" s="208">
        <f>ROUNDUP(G17,-1)</f>
        <v>8900</v>
      </c>
      <c r="H18" s="373"/>
      <c r="I18" s="418"/>
      <c r="J18" s="699"/>
      <c r="K18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 ht="19.5" customHeight="1" thickBot="1">
      <c r="B19"/>
      <c r="C19"/>
      <c r="D19" s="1"/>
      <c r="E19" s="1"/>
      <c r="F19" s="1"/>
      <c r="G19" s="1"/>
      <c r="H19" s="1"/>
      <c r="I19"/>
      <c r="J19" s="1"/>
      <c r="K1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19.899999999999999" thickBot="1">
      <c r="B20"/>
      <c r="C20"/>
      <c r="D20" s="1"/>
      <c r="E20" s="1"/>
      <c r="F20" s="1"/>
      <c r="G20" s="1"/>
      <c r="H20" s="1"/>
      <c r="I20" s="1"/>
      <c r="J20" s="1"/>
      <c r="K20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26.25" customHeight="1" thickBot="1">
      <c r="B21" s="303"/>
      <c r="C21" s="1252" t="s">
        <v>472</v>
      </c>
      <c r="D21" s="1291"/>
      <c r="E21" s="1291"/>
      <c r="F21" s="1291"/>
      <c r="G21" s="1291"/>
      <c r="H21" s="1291"/>
      <c r="I21" s="1291"/>
      <c r="J21" s="1291"/>
      <c r="K21" s="1292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ht="40.15" thickBot="1">
      <c r="B22" s="829" t="s">
        <v>156</v>
      </c>
      <c r="C22" s="830" t="s">
        <v>31</v>
      </c>
      <c r="D22" s="803" t="s">
        <v>32</v>
      </c>
      <c r="E22" s="803" t="s">
        <v>33</v>
      </c>
      <c r="F22" s="803" t="s">
        <v>34</v>
      </c>
      <c r="G22" s="803" t="s">
        <v>35</v>
      </c>
      <c r="H22" s="803" t="s">
        <v>37</v>
      </c>
      <c r="I22" s="803" t="s">
        <v>38</v>
      </c>
      <c r="J22" s="803" t="s">
        <v>39</v>
      </c>
      <c r="K22" s="868" t="s">
        <v>40</v>
      </c>
      <c r="L22" s="866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</row>
    <row r="23" spans="2:29" ht="19.899999999999999" thickBot="1">
      <c r="B23" s="991">
        <v>1</v>
      </c>
      <c r="C23" s="992" t="s">
        <v>417</v>
      </c>
      <c r="D23" s="992" t="s">
        <v>418</v>
      </c>
      <c r="E23" s="993">
        <v>24</v>
      </c>
      <c r="F23" s="994">
        <v>547</v>
      </c>
      <c r="G23" s="995">
        <v>241</v>
      </c>
      <c r="H23" s="995">
        <v>56</v>
      </c>
      <c r="I23" s="995">
        <v>1724</v>
      </c>
      <c r="J23" s="995">
        <v>600</v>
      </c>
      <c r="K23" s="996"/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19.899999999999999" thickBot="1">
      <c r="B24" s="831">
        <v>2</v>
      </c>
      <c r="C24" s="832" t="s">
        <v>376</v>
      </c>
      <c r="D24" s="832" t="s">
        <v>89</v>
      </c>
      <c r="E24" s="833">
        <v>24</v>
      </c>
      <c r="F24" s="834">
        <v>1203</v>
      </c>
      <c r="G24" s="787">
        <v>412</v>
      </c>
      <c r="H24" s="835">
        <v>56</v>
      </c>
      <c r="I24" s="835">
        <v>340</v>
      </c>
      <c r="J24" s="835">
        <v>600</v>
      </c>
      <c r="K24" s="836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 ht="19.899999999999999" thickBot="1">
      <c r="B25" s="831">
        <v>3</v>
      </c>
      <c r="C25" s="837" t="s">
        <v>61</v>
      </c>
      <c r="D25" s="837" t="s">
        <v>62</v>
      </c>
      <c r="E25" s="838">
        <v>28</v>
      </c>
      <c r="F25" s="834">
        <v>888</v>
      </c>
      <c r="G25" s="787">
        <v>355</v>
      </c>
      <c r="H25" s="835">
        <v>56</v>
      </c>
      <c r="I25" s="835">
        <v>782</v>
      </c>
      <c r="J25" s="835">
        <v>370</v>
      </c>
      <c r="K25" s="836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 ht="19.899999999999999" thickBot="1">
      <c r="B26" s="783">
        <v>4</v>
      </c>
      <c r="C26" s="784" t="s">
        <v>64</v>
      </c>
      <c r="D26" s="784" t="s">
        <v>65</v>
      </c>
      <c r="E26" s="785">
        <v>32</v>
      </c>
      <c r="F26" s="786">
        <v>2161</v>
      </c>
      <c r="G26" s="787">
        <v>1404</v>
      </c>
      <c r="H26" s="787">
        <v>33</v>
      </c>
      <c r="I26" s="787">
        <v>430</v>
      </c>
      <c r="J26" s="787">
        <v>400</v>
      </c>
      <c r="K26" s="788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 ht="19.899999999999999" thickBot="1">
      <c r="B27" s="772">
        <v>5</v>
      </c>
      <c r="C27" s="773" t="s">
        <v>69</v>
      </c>
      <c r="D27" s="773" t="s">
        <v>70</v>
      </c>
      <c r="E27" s="774">
        <v>24</v>
      </c>
      <c r="F27" s="775">
        <v>963</v>
      </c>
      <c r="G27" s="776">
        <v>347</v>
      </c>
      <c r="H27" s="776">
        <v>65</v>
      </c>
      <c r="I27" s="776">
        <v>2411</v>
      </c>
      <c r="J27" s="776">
        <v>750</v>
      </c>
      <c r="K27" s="698" t="s">
        <v>235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19.899999999999999" thickBot="1">
      <c r="B28" s="783">
        <v>6</v>
      </c>
      <c r="C28" s="784" t="s">
        <v>71</v>
      </c>
      <c r="D28" s="784" t="s">
        <v>72</v>
      </c>
      <c r="E28" s="785">
        <v>28</v>
      </c>
      <c r="F28" s="786">
        <v>859</v>
      </c>
      <c r="G28" s="787">
        <v>326</v>
      </c>
      <c r="H28" s="787">
        <v>67</v>
      </c>
      <c r="I28" s="787">
        <v>3000</v>
      </c>
      <c r="J28" s="787">
        <v>750</v>
      </c>
      <c r="K28" s="777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19.899999999999999" thickBot="1">
      <c r="B29" s="783">
        <v>7</v>
      </c>
      <c r="C29" s="784" t="s">
        <v>73</v>
      </c>
      <c r="D29" s="784" t="s">
        <v>72</v>
      </c>
      <c r="E29" s="785">
        <v>44</v>
      </c>
      <c r="F29" s="786">
        <v>1099</v>
      </c>
      <c r="G29" s="787">
        <v>659</v>
      </c>
      <c r="H29" s="787">
        <v>23</v>
      </c>
      <c r="I29" s="787">
        <v>3206</v>
      </c>
      <c r="J29" s="787">
        <v>480</v>
      </c>
      <c r="K29" s="791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ht="19.899999999999999" thickBot="1">
      <c r="B30" s="831">
        <v>8</v>
      </c>
      <c r="C30" s="837" t="s">
        <v>74</v>
      </c>
      <c r="D30" s="837" t="s">
        <v>75</v>
      </c>
      <c r="E30" s="838">
        <v>36</v>
      </c>
      <c r="F30" s="834">
        <v>3196</v>
      </c>
      <c r="G30" s="787">
        <v>1406</v>
      </c>
      <c r="H30" s="835">
        <v>55</v>
      </c>
      <c r="I30" s="835">
        <v>1306</v>
      </c>
      <c r="J30" s="835">
        <v>850</v>
      </c>
      <c r="K30" s="836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</row>
    <row r="31" spans="2:29" ht="19.899999999999999" thickBot="1">
      <c r="B31" s="772">
        <v>9</v>
      </c>
      <c r="C31" s="773" t="s">
        <v>76</v>
      </c>
      <c r="D31" s="773" t="s">
        <v>77</v>
      </c>
      <c r="E31" s="774">
        <v>20</v>
      </c>
      <c r="F31" s="775">
        <v>717</v>
      </c>
      <c r="G31" s="776">
        <v>323</v>
      </c>
      <c r="H31" s="776">
        <v>56</v>
      </c>
      <c r="I31" s="776">
        <v>264</v>
      </c>
      <c r="J31" s="776">
        <v>180</v>
      </c>
      <c r="K31" s="698" t="s">
        <v>235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</row>
    <row r="32" spans="2:29" ht="19.899999999999999" thickBot="1">
      <c r="B32" s="783">
        <v>10</v>
      </c>
      <c r="C32" s="784" t="s">
        <v>78</v>
      </c>
      <c r="D32" s="784" t="s">
        <v>79</v>
      </c>
      <c r="E32" s="785">
        <v>52</v>
      </c>
      <c r="F32" s="786">
        <v>1046</v>
      </c>
      <c r="G32" s="787">
        <v>1025</v>
      </c>
      <c r="H32" s="787">
        <v>1</v>
      </c>
      <c r="I32" s="787">
        <v>553</v>
      </c>
      <c r="J32" s="787">
        <v>200</v>
      </c>
      <c r="K32" s="788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</row>
    <row r="33" spans="2:29" s="647" customFormat="1" ht="19.899999999999999" thickBot="1">
      <c r="B33" s="783">
        <v>11</v>
      </c>
      <c r="C33" s="784" t="s">
        <v>80</v>
      </c>
      <c r="D33" s="784" t="s">
        <v>81</v>
      </c>
      <c r="E33" s="785">
        <v>32</v>
      </c>
      <c r="F33" s="786">
        <v>1639</v>
      </c>
      <c r="G33" s="787">
        <v>492</v>
      </c>
      <c r="H33" s="787">
        <v>70</v>
      </c>
      <c r="I33" s="787">
        <v>1849</v>
      </c>
      <c r="J33" s="787">
        <v>435</v>
      </c>
      <c r="K33" s="788"/>
      <c r="L33" s="646"/>
      <c r="M33" s="646"/>
      <c r="N33" s="646"/>
      <c r="O33" s="646"/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</row>
    <row r="34" spans="2:29" ht="19.899999999999999" thickBot="1">
      <c r="B34" s="772">
        <v>12</v>
      </c>
      <c r="C34" s="773" t="s">
        <v>82</v>
      </c>
      <c r="D34" s="773" t="s">
        <v>65</v>
      </c>
      <c r="E34" s="774">
        <v>28</v>
      </c>
      <c r="F34" s="775">
        <v>1023</v>
      </c>
      <c r="G34" s="776">
        <v>1003</v>
      </c>
      <c r="H34" s="776">
        <v>15</v>
      </c>
      <c r="I34" s="776">
        <v>587</v>
      </c>
      <c r="J34" s="776">
        <v>400</v>
      </c>
      <c r="K34" s="698" t="s">
        <v>235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</row>
    <row r="35" spans="2:29" s="647" customFormat="1" ht="19.899999999999999" thickBot="1">
      <c r="B35" s="772">
        <v>13</v>
      </c>
      <c r="C35" s="773" t="s">
        <v>379</v>
      </c>
      <c r="D35" s="773" t="s">
        <v>380</v>
      </c>
      <c r="E35" s="774">
        <v>20</v>
      </c>
      <c r="F35" s="775">
        <v>758</v>
      </c>
      <c r="G35" s="776">
        <v>286</v>
      </c>
      <c r="H35" s="776">
        <v>63</v>
      </c>
      <c r="I35" s="776">
        <v>2273</v>
      </c>
      <c r="J35" s="776">
        <v>762</v>
      </c>
      <c r="K35" s="782" t="s">
        <v>473</v>
      </c>
      <c r="L35" s="646"/>
      <c r="M35" s="646"/>
      <c r="N35" s="646"/>
      <c r="O35" s="646"/>
      <c r="P35" s="646"/>
      <c r="Q35" s="646"/>
      <c r="R35" s="646"/>
      <c r="S35" s="646"/>
      <c r="T35" s="646"/>
      <c r="U35" s="646"/>
      <c r="V35" s="646"/>
      <c r="W35" s="646"/>
      <c r="X35" s="646"/>
      <c r="Y35" s="646"/>
      <c r="Z35" s="646"/>
      <c r="AA35" s="646"/>
      <c r="AB35" s="646"/>
      <c r="AC35" s="646"/>
    </row>
    <row r="36" spans="2:29" ht="19.899999999999999" thickBot="1">
      <c r="B36" s="772">
        <v>14</v>
      </c>
      <c r="C36" s="773" t="s">
        <v>351</v>
      </c>
      <c r="D36" s="773" t="s">
        <v>352</v>
      </c>
      <c r="E36" s="774">
        <v>24</v>
      </c>
      <c r="F36" s="775">
        <v>750</v>
      </c>
      <c r="G36" s="776">
        <v>300</v>
      </c>
      <c r="H36" s="776">
        <v>60</v>
      </c>
      <c r="I36" s="776" t="s">
        <v>164</v>
      </c>
      <c r="J36" s="776">
        <v>1000</v>
      </c>
      <c r="K36" s="782" t="s">
        <v>473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</row>
    <row r="37" spans="2:29" s="647" customFormat="1" ht="19.899999999999999" thickBot="1">
      <c r="B37" s="772">
        <v>15</v>
      </c>
      <c r="C37" s="773" t="s">
        <v>83</v>
      </c>
      <c r="D37" s="773" t="s">
        <v>84</v>
      </c>
      <c r="E37" s="774">
        <v>44</v>
      </c>
      <c r="F37" s="775">
        <v>3273</v>
      </c>
      <c r="G37" s="776">
        <v>1047</v>
      </c>
      <c r="H37" s="776">
        <v>64</v>
      </c>
      <c r="I37" s="776">
        <v>4131</v>
      </c>
      <c r="J37" s="776">
        <v>1150</v>
      </c>
      <c r="K37" s="698" t="s">
        <v>235</v>
      </c>
      <c r="L37" s="780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</row>
    <row r="38" spans="2:29" ht="19.899999999999999" thickBot="1">
      <c r="B38" s="772">
        <v>16</v>
      </c>
      <c r="C38" s="773" t="s">
        <v>85</v>
      </c>
      <c r="D38" s="773" t="s">
        <v>72</v>
      </c>
      <c r="E38" s="774">
        <v>32</v>
      </c>
      <c r="F38" s="775">
        <v>1427</v>
      </c>
      <c r="G38" s="776">
        <v>899</v>
      </c>
      <c r="H38" s="776">
        <v>37</v>
      </c>
      <c r="I38" s="776">
        <v>1058</v>
      </c>
      <c r="J38" s="776">
        <v>522</v>
      </c>
      <c r="K38" s="698" t="s">
        <v>235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</row>
    <row r="39" spans="2:29" s="647" customFormat="1" ht="19.899999999999999" thickBot="1">
      <c r="B39" s="831">
        <v>17</v>
      </c>
      <c r="C39" s="837" t="s">
        <v>86</v>
      </c>
      <c r="D39" s="837" t="s">
        <v>87</v>
      </c>
      <c r="E39" s="838">
        <v>28</v>
      </c>
      <c r="F39" s="834">
        <v>901</v>
      </c>
      <c r="G39" s="835">
        <v>405</v>
      </c>
      <c r="H39" s="835">
        <v>55</v>
      </c>
      <c r="I39" s="835">
        <v>5513</v>
      </c>
      <c r="J39" s="835">
        <v>1450</v>
      </c>
      <c r="K39" s="836"/>
      <c r="L39" s="646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</row>
    <row r="40" spans="2:29" ht="19.899999999999999" thickBot="1">
      <c r="B40" s="783">
        <v>18</v>
      </c>
      <c r="C40" s="784" t="s">
        <v>88</v>
      </c>
      <c r="D40" s="784" t="s">
        <v>89</v>
      </c>
      <c r="E40" s="785">
        <v>28</v>
      </c>
      <c r="F40" s="786">
        <v>1172</v>
      </c>
      <c r="G40" s="787">
        <v>527</v>
      </c>
      <c r="H40" s="787">
        <v>55</v>
      </c>
      <c r="I40" s="787">
        <v>2051</v>
      </c>
      <c r="J40" s="787">
        <v>522</v>
      </c>
      <c r="K40" s="788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</row>
    <row r="41" spans="2:29" s="647" customFormat="1" ht="19.899999999999999" thickBot="1">
      <c r="B41" s="783">
        <v>19</v>
      </c>
      <c r="C41" s="784" t="s">
        <v>90</v>
      </c>
      <c r="D41" s="784" t="s">
        <v>84</v>
      </c>
      <c r="E41" s="785">
        <v>48</v>
      </c>
      <c r="F41" s="786">
        <v>547</v>
      </c>
      <c r="G41" s="787">
        <v>509</v>
      </c>
      <c r="H41" s="787">
        <v>7</v>
      </c>
      <c r="I41" s="787">
        <v>6498</v>
      </c>
      <c r="J41" s="787">
        <v>550</v>
      </c>
      <c r="K41" s="788"/>
      <c r="L41" s="646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ht="19.899999999999999" thickBot="1">
      <c r="B42" s="783">
        <v>20</v>
      </c>
      <c r="C42" s="784" t="s">
        <v>91</v>
      </c>
      <c r="D42" s="784" t="s">
        <v>89</v>
      </c>
      <c r="E42" s="785">
        <v>36</v>
      </c>
      <c r="F42" s="786">
        <v>497</v>
      </c>
      <c r="G42" s="787">
        <v>496</v>
      </c>
      <c r="H42" s="787">
        <v>0</v>
      </c>
      <c r="I42" s="787">
        <v>1297</v>
      </c>
      <c r="J42" s="787">
        <v>200</v>
      </c>
      <c r="K42" s="788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</row>
    <row r="43" spans="2:29" ht="19.899999999999999" thickBot="1">
      <c r="B43" s="783">
        <v>21</v>
      </c>
      <c r="C43" s="784" t="s">
        <v>92</v>
      </c>
      <c r="D43" s="784" t="s">
        <v>93</v>
      </c>
      <c r="E43" s="785">
        <v>24</v>
      </c>
      <c r="F43" s="786">
        <v>651</v>
      </c>
      <c r="G43" s="787">
        <v>378</v>
      </c>
      <c r="H43" s="787">
        <v>38</v>
      </c>
      <c r="I43" s="787">
        <v>373</v>
      </c>
      <c r="J43" s="787">
        <v>180</v>
      </c>
      <c r="K43" s="788"/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</row>
    <row r="44" spans="2:29" s="647" customFormat="1" ht="19.899999999999999" thickBot="1">
      <c r="B44" s="783">
        <v>22</v>
      </c>
      <c r="C44" s="784" t="s">
        <v>94</v>
      </c>
      <c r="D44" s="784" t="s">
        <v>67</v>
      </c>
      <c r="E44" s="785">
        <v>24</v>
      </c>
      <c r="F44" s="786">
        <v>1600</v>
      </c>
      <c r="G44" s="787">
        <v>912</v>
      </c>
      <c r="H44" s="787">
        <v>41</v>
      </c>
      <c r="I44" s="787">
        <v>258</v>
      </c>
      <c r="J44" s="787">
        <v>370</v>
      </c>
      <c r="K44" s="788"/>
      <c r="L44" s="646"/>
      <c r="M44" s="646"/>
      <c r="N44" s="646"/>
      <c r="O44" s="646"/>
      <c r="P44" s="646"/>
      <c r="Q44" s="646"/>
      <c r="R44" s="646"/>
      <c r="S44" s="646"/>
      <c r="T44" s="646"/>
      <c r="U44" s="646"/>
      <c r="V44" s="646"/>
      <c r="W44" s="646"/>
      <c r="X44" s="646"/>
      <c r="Y44" s="646"/>
      <c r="Z44" s="646"/>
      <c r="AA44" s="646"/>
      <c r="AB44" s="646"/>
      <c r="AC44" s="646"/>
    </row>
    <row r="45" spans="2:29" ht="19.899999999999999" thickBot="1">
      <c r="B45" s="772">
        <v>23</v>
      </c>
      <c r="C45" s="773" t="s">
        <v>95</v>
      </c>
      <c r="D45" s="773" t="s">
        <v>65</v>
      </c>
      <c r="E45" s="998">
        <v>20</v>
      </c>
      <c r="F45" s="775">
        <v>576</v>
      </c>
      <c r="G45" s="776">
        <v>426</v>
      </c>
      <c r="H45" s="776">
        <v>51</v>
      </c>
      <c r="I45" s="776">
        <v>415</v>
      </c>
      <c r="J45" s="776">
        <v>300</v>
      </c>
      <c r="K45" s="698" t="s">
        <v>235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</row>
    <row r="46" spans="2:29" ht="19.899999999999999" thickBot="1">
      <c r="B46" s="756">
        <v>24</v>
      </c>
      <c r="C46" s="757" t="s">
        <v>96</v>
      </c>
      <c r="D46" s="757" t="s">
        <v>67</v>
      </c>
      <c r="E46" s="758">
        <v>36</v>
      </c>
      <c r="F46" s="759">
        <v>2120</v>
      </c>
      <c r="G46" s="760">
        <v>954</v>
      </c>
      <c r="H46" s="760">
        <v>53</v>
      </c>
      <c r="I46" s="760">
        <v>450</v>
      </c>
      <c r="J46" s="760">
        <v>400</v>
      </c>
      <c r="K46" s="788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.75" customHeight="1" thickBot="1">
      <c r="B47" s="839"/>
      <c r="C47" s="700"/>
      <c r="D47" s="701"/>
      <c r="E47" s="701"/>
      <c r="F47" s="224">
        <f>SUM(F24:F46)</f>
        <v>29066</v>
      </c>
      <c r="G47" s="224">
        <f>SUM(G23:G46)</f>
        <v>15132</v>
      </c>
      <c r="H47" s="840"/>
      <c r="I47" s="841"/>
      <c r="J47" s="840"/>
      <c r="K47" s="83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" customHeight="1" thickBot="1">
      <c r="B48" s="839"/>
      <c r="C48" s="1343"/>
      <c r="D48" s="1343"/>
      <c r="E48" s="1343"/>
      <c r="F48" s="842"/>
      <c r="G48" s="208">
        <f>ROUNDUP(G47,-1)</f>
        <v>15140</v>
      </c>
      <c r="H48" s="842"/>
      <c r="I48" s="843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8.75" customHeight="1" thickBot="1">
      <c r="B49" s="839"/>
      <c r="C49" s="839"/>
      <c r="D49" s="842"/>
      <c r="E49" s="842"/>
      <c r="F49" s="842"/>
      <c r="G49"/>
      <c r="H49" s="842"/>
      <c r="I49" s="842"/>
      <c r="J49" s="839"/>
      <c r="K49" s="83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5" customHeight="1" thickBot="1">
      <c r="B50" s="844"/>
      <c r="C50" s="844"/>
      <c r="D50" s="844"/>
      <c r="E50" s="844"/>
      <c r="F50" s="844"/>
      <c r="G50" s="844"/>
      <c r="H50" s="844"/>
      <c r="I50" s="844"/>
      <c r="J50" s="844"/>
      <c r="K50" s="845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19.899999999999999" thickBot="1">
      <c r="B51" s="844"/>
      <c r="C51" s="844"/>
      <c r="D51" s="844"/>
      <c r="E51" s="844"/>
      <c r="F51" s="844"/>
      <c r="G51" s="844"/>
      <c r="H51" s="844"/>
      <c r="I51" s="844"/>
      <c r="J51" s="844"/>
      <c r="K51" s="845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25.9" customHeight="1" thickBot="1">
      <c r="B52" s="844"/>
      <c r="C52" s="1252" t="s">
        <v>474</v>
      </c>
      <c r="D52" s="1291"/>
      <c r="E52" s="1291"/>
      <c r="F52" s="1291"/>
      <c r="G52" s="1291"/>
      <c r="H52" s="1291"/>
      <c r="I52" s="1291"/>
      <c r="J52" s="1291"/>
      <c r="K52" s="1292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40.15" thickBot="1">
      <c r="B53" s="179" t="s">
        <v>156</v>
      </c>
      <c r="C53" s="179" t="s">
        <v>31</v>
      </c>
      <c r="D53" s="180" t="s">
        <v>32</v>
      </c>
      <c r="E53" s="180" t="s">
        <v>33</v>
      </c>
      <c r="F53" s="180" t="s">
        <v>34</v>
      </c>
      <c r="G53" s="180" t="s">
        <v>35</v>
      </c>
      <c r="H53" s="180" t="s">
        <v>37</v>
      </c>
      <c r="I53" s="182" t="s">
        <v>38</v>
      </c>
      <c r="J53" s="182" t="s">
        <v>39</v>
      </c>
      <c r="K53" s="183" t="s">
        <v>40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</row>
    <row r="54" spans="2:29" ht="19.899999999999999" thickBot="1">
      <c r="B54" s="263">
        <v>1</v>
      </c>
      <c r="C54" s="253" t="s">
        <v>98</v>
      </c>
      <c r="D54" s="254" t="s">
        <v>99</v>
      </c>
      <c r="E54" s="255">
        <v>36</v>
      </c>
      <c r="F54" s="197">
        <f>((100/(100-H54))*G54)</f>
        <v>2403.2258064516127</v>
      </c>
      <c r="G54" s="197">
        <v>1490</v>
      </c>
      <c r="H54" s="197">
        <v>38</v>
      </c>
      <c r="I54" s="255">
        <v>439</v>
      </c>
      <c r="J54" s="255">
        <v>330</v>
      </c>
      <c r="K54" s="788"/>
      <c r="L54" s="621"/>
      <c r="M54" s="621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8.75" customHeight="1" thickBot="1">
      <c r="B55" s="210">
        <v>2</v>
      </c>
      <c r="C55" s="216" t="s">
        <v>100</v>
      </c>
      <c r="D55" s="192" t="s">
        <v>101</v>
      </c>
      <c r="E55" s="193">
        <v>36</v>
      </c>
      <c r="F55" s="194">
        <v>968</v>
      </c>
      <c r="G55" s="194">
        <v>968</v>
      </c>
      <c r="H55" s="194">
        <v>0</v>
      </c>
      <c r="I55" s="193">
        <v>345</v>
      </c>
      <c r="J55" s="193">
        <v>120</v>
      </c>
      <c r="K55" s="846"/>
      <c r="L55" s="602"/>
      <c r="M55" s="602"/>
      <c r="N55" s="602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 ht="15" customHeight="1" thickBot="1">
      <c r="B56" s="210">
        <v>3</v>
      </c>
      <c r="C56" s="216" t="s">
        <v>104</v>
      </c>
      <c r="D56" s="192" t="s">
        <v>99</v>
      </c>
      <c r="E56" s="193">
        <v>24</v>
      </c>
      <c r="F56" s="194">
        <f>((100/(100-H56))*G56)</f>
        <v>1108.1081081081081</v>
      </c>
      <c r="G56" s="194">
        <v>410</v>
      </c>
      <c r="H56" s="194">
        <v>63</v>
      </c>
      <c r="I56" s="193">
        <v>373</v>
      </c>
      <c r="J56" s="193">
        <v>220</v>
      </c>
      <c r="K56" s="846"/>
      <c r="L56" s="621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 ht="19.899999999999999" thickBot="1">
      <c r="B57" s="210">
        <v>4</v>
      </c>
      <c r="C57" s="216" t="s">
        <v>106</v>
      </c>
      <c r="D57" s="192" t="s">
        <v>103</v>
      </c>
      <c r="E57" s="193">
        <v>28</v>
      </c>
      <c r="F57" s="194">
        <v>778</v>
      </c>
      <c r="G57" s="194">
        <v>630</v>
      </c>
      <c r="H57" s="194">
        <v>19</v>
      </c>
      <c r="I57" s="193">
        <v>959</v>
      </c>
      <c r="J57" s="193">
        <v>370</v>
      </c>
      <c r="K57" s="782"/>
      <c r="L57" s="621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5" customHeight="1" thickBot="1">
      <c r="B58" s="210">
        <v>6</v>
      </c>
      <c r="C58" s="216" t="s">
        <v>109</v>
      </c>
      <c r="D58" s="192" t="s">
        <v>110</v>
      </c>
      <c r="E58" s="193">
        <v>28</v>
      </c>
      <c r="F58" s="194">
        <v>1096</v>
      </c>
      <c r="G58" s="194">
        <v>526</v>
      </c>
      <c r="H58" s="194">
        <v>52</v>
      </c>
      <c r="I58" s="193">
        <v>308</v>
      </c>
      <c r="J58" s="193">
        <v>240</v>
      </c>
      <c r="K58" s="846"/>
      <c r="L58" s="621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 ht="19.899999999999999" thickBot="1">
      <c r="B59" s="210">
        <v>7</v>
      </c>
      <c r="C59" s="216" t="s">
        <v>111</v>
      </c>
      <c r="D59" s="192" t="s">
        <v>99</v>
      </c>
      <c r="E59" s="193">
        <v>36</v>
      </c>
      <c r="F59" s="194">
        <v>2705</v>
      </c>
      <c r="G59" s="194">
        <v>1271</v>
      </c>
      <c r="H59" s="194">
        <v>53</v>
      </c>
      <c r="I59" s="193">
        <v>439</v>
      </c>
      <c r="J59" s="193">
        <v>370</v>
      </c>
      <c r="K59" s="846"/>
      <c r="L59" s="621"/>
      <c r="M59" s="621"/>
      <c r="N59" s="621"/>
      <c r="O59" s="621"/>
      <c r="P59" s="621"/>
      <c r="Q59" s="621"/>
      <c r="R59" s="621"/>
      <c r="S59" s="621"/>
      <c r="T59" s="62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 ht="19.899999999999999" thickBot="1">
      <c r="B60" s="210">
        <v>8</v>
      </c>
      <c r="C60" s="216" t="s">
        <v>112</v>
      </c>
      <c r="D60" s="192" t="s">
        <v>103</v>
      </c>
      <c r="E60" s="193">
        <v>56</v>
      </c>
      <c r="F60" s="194">
        <v>5814</v>
      </c>
      <c r="G60" s="194">
        <v>5814</v>
      </c>
      <c r="H60" s="194">
        <v>0</v>
      </c>
      <c r="I60" s="193">
        <v>439</v>
      </c>
      <c r="J60" s="193">
        <v>602</v>
      </c>
      <c r="K60" s="846"/>
      <c r="L60" s="621"/>
      <c r="M60" s="621"/>
      <c r="N60" s="871"/>
      <c r="O60" s="871"/>
      <c r="P60" s="871"/>
      <c r="Q60" s="871"/>
      <c r="R60" s="871"/>
      <c r="S60" s="871"/>
      <c r="T60" s="871"/>
      <c r="U60" s="871"/>
      <c r="V60" s="871"/>
      <c r="W60" s="871"/>
      <c r="X60" s="871"/>
      <c r="Y60" s="871"/>
      <c r="Z60" s="871"/>
      <c r="AA60" s="871"/>
      <c r="AB60" s="621"/>
      <c r="AC60" s="621"/>
    </row>
    <row r="61" spans="2:29" ht="19.899999999999999" thickBot="1">
      <c r="B61" s="210">
        <v>9</v>
      </c>
      <c r="C61" s="216" t="s">
        <v>113</v>
      </c>
      <c r="D61" s="192" t="s">
        <v>103</v>
      </c>
      <c r="E61" s="193">
        <v>36</v>
      </c>
      <c r="F61" s="194">
        <v>2199</v>
      </c>
      <c r="G61" s="194">
        <v>2001</v>
      </c>
      <c r="H61" s="194">
        <v>9</v>
      </c>
      <c r="I61" s="193">
        <v>346</v>
      </c>
      <c r="J61" s="193">
        <v>440</v>
      </c>
      <c r="K61" s="846"/>
      <c r="L61" s="621"/>
      <c r="M61" s="869"/>
      <c r="N61" s="873"/>
      <c r="O61" s="873"/>
      <c r="P61" s="873"/>
      <c r="Q61" s="873"/>
      <c r="R61" s="873"/>
      <c r="S61" s="873"/>
      <c r="T61" s="873"/>
      <c r="U61" s="873"/>
      <c r="V61" s="873"/>
      <c r="W61" s="873"/>
      <c r="X61" s="873"/>
      <c r="Y61" s="873"/>
      <c r="Z61" s="873"/>
      <c r="AA61" s="873"/>
      <c r="AB61" s="870"/>
      <c r="AC61" s="621"/>
    </row>
    <row r="62" spans="2:29" ht="19.899999999999999" thickBot="1">
      <c r="B62" s="210">
        <v>11</v>
      </c>
      <c r="C62" s="216" t="s">
        <v>114</v>
      </c>
      <c r="D62" s="192" t="s">
        <v>99</v>
      </c>
      <c r="E62" s="193">
        <v>40</v>
      </c>
      <c r="F62" s="194">
        <v>1958</v>
      </c>
      <c r="G62" s="194">
        <v>1155</v>
      </c>
      <c r="H62" s="194">
        <v>41</v>
      </c>
      <c r="I62" s="193">
        <v>396</v>
      </c>
      <c r="J62" s="193">
        <v>300</v>
      </c>
      <c r="K62" s="846"/>
      <c r="L62" s="621"/>
      <c r="M62" s="621"/>
      <c r="N62" s="872"/>
      <c r="O62" s="872"/>
      <c r="P62" s="872"/>
      <c r="Q62" s="872"/>
      <c r="R62" s="872"/>
      <c r="S62" s="872"/>
      <c r="T62" s="872"/>
      <c r="U62" s="872"/>
      <c r="V62" s="872"/>
      <c r="W62" s="872"/>
      <c r="X62" s="872"/>
      <c r="Y62" s="872"/>
      <c r="Z62" s="872"/>
      <c r="AA62" s="872"/>
      <c r="AB62" s="621"/>
      <c r="AC62" s="621"/>
    </row>
    <row r="63" spans="2:29" ht="19.899999999999999" thickBot="1">
      <c r="B63" s="210">
        <v>10</v>
      </c>
      <c r="C63" s="216" t="s">
        <v>115</v>
      </c>
      <c r="D63" s="192" t="s">
        <v>105</v>
      </c>
      <c r="E63" s="193">
        <v>20</v>
      </c>
      <c r="F63" s="194">
        <v>738</v>
      </c>
      <c r="G63" s="194">
        <v>649</v>
      </c>
      <c r="H63" s="194">
        <v>12</v>
      </c>
      <c r="I63" s="193">
        <v>293</v>
      </c>
      <c r="J63" s="193">
        <v>510</v>
      </c>
      <c r="K63" s="846"/>
      <c r="L63" s="621"/>
      <c r="M63" s="621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 ht="19.899999999999999" thickBot="1">
      <c r="B64" s="263">
        <v>12</v>
      </c>
      <c r="C64" s="253" t="s">
        <v>116</v>
      </c>
      <c r="D64" s="254" t="s">
        <v>117</v>
      </c>
      <c r="E64" s="255">
        <v>28</v>
      </c>
      <c r="F64" s="197">
        <v>771</v>
      </c>
      <c r="G64" s="197">
        <v>172</v>
      </c>
      <c r="H64" s="197">
        <v>78</v>
      </c>
      <c r="I64" s="255">
        <v>669</v>
      </c>
      <c r="J64" s="255">
        <v>200</v>
      </c>
      <c r="K64" s="990"/>
      <c r="L64" s="621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 ht="19.899999999999999" thickBot="1">
      <c r="B65" s="210">
        <v>14</v>
      </c>
      <c r="C65" s="216" t="s">
        <v>119</v>
      </c>
      <c r="D65" s="192" t="s">
        <v>103</v>
      </c>
      <c r="E65" s="193">
        <v>28</v>
      </c>
      <c r="F65" s="194">
        <v>628</v>
      </c>
      <c r="G65" s="194">
        <v>308</v>
      </c>
      <c r="H65" s="194">
        <v>51</v>
      </c>
      <c r="I65" s="193">
        <v>340</v>
      </c>
      <c r="J65" s="193">
        <v>120</v>
      </c>
      <c r="K65" s="846"/>
      <c r="L65" s="621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 ht="19.899999999999999" thickBot="1">
      <c r="B66" s="210">
        <v>15</v>
      </c>
      <c r="C66" s="216" t="s">
        <v>120</v>
      </c>
      <c r="D66" s="192" t="s">
        <v>101</v>
      </c>
      <c r="E66" s="193">
        <v>20</v>
      </c>
      <c r="F66" s="194">
        <v>240</v>
      </c>
      <c r="G66" s="194">
        <v>113</v>
      </c>
      <c r="H66" s="194">
        <v>53</v>
      </c>
      <c r="I66" s="193">
        <v>393</v>
      </c>
      <c r="J66" s="193">
        <v>160</v>
      </c>
      <c r="K66" s="846"/>
      <c r="L66" s="621"/>
      <c r="M66" s="621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 ht="19.899999999999999" thickBot="1">
      <c r="B67" s="210">
        <v>16</v>
      </c>
      <c r="C67" s="216" t="s">
        <v>121</v>
      </c>
      <c r="D67" s="192" t="s">
        <v>105</v>
      </c>
      <c r="E67" s="193">
        <v>24</v>
      </c>
      <c r="F67" s="194">
        <v>360</v>
      </c>
      <c r="G67" s="194">
        <v>227</v>
      </c>
      <c r="H67" s="194">
        <v>40</v>
      </c>
      <c r="I67" s="193">
        <v>217</v>
      </c>
      <c r="J67" s="193">
        <v>140</v>
      </c>
      <c r="K67" s="846"/>
      <c r="L67" s="621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 ht="19.899999999999999" thickBot="1">
      <c r="B68" s="263">
        <v>17</v>
      </c>
      <c r="C68" s="253" t="s">
        <v>122</v>
      </c>
      <c r="D68" s="254" t="s">
        <v>110</v>
      </c>
      <c r="E68" s="255">
        <v>24</v>
      </c>
      <c r="F68" s="197">
        <v>908</v>
      </c>
      <c r="G68" s="197">
        <v>835</v>
      </c>
      <c r="H68" s="197">
        <v>8</v>
      </c>
      <c r="I68" s="255">
        <v>332</v>
      </c>
      <c r="J68" s="255">
        <v>570</v>
      </c>
      <c r="K68" s="779"/>
      <c r="L68" s="621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 ht="19.899999999999999" thickBot="1">
      <c r="B69" s="210">
        <v>18</v>
      </c>
      <c r="C69" s="216" t="s">
        <v>123</v>
      </c>
      <c r="D69" s="192" t="s">
        <v>124</v>
      </c>
      <c r="E69" s="193">
        <v>24</v>
      </c>
      <c r="F69" s="194">
        <v>903</v>
      </c>
      <c r="G69" s="194">
        <v>289</v>
      </c>
      <c r="H69" s="194">
        <v>68</v>
      </c>
      <c r="I69" s="193">
        <v>1025</v>
      </c>
      <c r="J69" s="193">
        <v>330</v>
      </c>
      <c r="K69" s="846"/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 ht="15" customHeight="1" thickBot="1">
      <c r="B70" s="222">
        <v>19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7" t="s">
        <v>235</v>
      </c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 ht="19.899999999999999" thickBot="1">
      <c r="B71" s="210">
        <v>20</v>
      </c>
      <c r="C71" s="216" t="s">
        <v>128</v>
      </c>
      <c r="D71" s="192" t="s">
        <v>105</v>
      </c>
      <c r="E71" s="193">
        <v>24</v>
      </c>
      <c r="F71" s="194">
        <v>741</v>
      </c>
      <c r="G71" s="194">
        <v>200</v>
      </c>
      <c r="H71" s="194">
        <v>73</v>
      </c>
      <c r="I71" s="193">
        <v>300</v>
      </c>
      <c r="J71" s="193">
        <v>180</v>
      </c>
      <c r="K71" s="846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16.5" customHeight="1" thickBot="1">
      <c r="B72" s="222">
        <v>21</v>
      </c>
      <c r="C72" s="218" t="s">
        <v>129</v>
      </c>
      <c r="D72" s="219" t="s">
        <v>99</v>
      </c>
      <c r="E72" s="220">
        <v>20</v>
      </c>
      <c r="F72" s="221">
        <v>700</v>
      </c>
      <c r="G72" s="221">
        <v>427</v>
      </c>
      <c r="H72" s="221">
        <v>39</v>
      </c>
      <c r="I72" s="220">
        <v>345</v>
      </c>
      <c r="J72" s="220">
        <v>100</v>
      </c>
      <c r="K72" s="848" t="s">
        <v>68</v>
      </c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 ht="15" customHeight="1" thickBot="1">
      <c r="B73" s="222">
        <v>22</v>
      </c>
      <c r="C73" s="218" t="s">
        <v>130</v>
      </c>
      <c r="D73" s="219" t="s">
        <v>105</v>
      </c>
      <c r="E73" s="220">
        <v>16</v>
      </c>
      <c r="F73" s="221">
        <v>791</v>
      </c>
      <c r="G73" s="220">
        <v>340</v>
      </c>
      <c r="H73" s="221">
        <v>57</v>
      </c>
      <c r="I73" s="220">
        <v>309</v>
      </c>
      <c r="J73" s="220">
        <v>182</v>
      </c>
      <c r="K73" s="848" t="s">
        <v>68</v>
      </c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18" customHeight="1" thickBot="1">
      <c r="B74" s="222">
        <v>23</v>
      </c>
      <c r="C74" s="218" t="s">
        <v>131</v>
      </c>
      <c r="D74" s="219" t="s">
        <v>110</v>
      </c>
      <c r="E74" s="220">
        <v>24</v>
      </c>
      <c r="F74" s="221">
        <v>878</v>
      </c>
      <c r="G74" s="220">
        <v>430</v>
      </c>
      <c r="H74" s="221">
        <v>51</v>
      </c>
      <c r="I74" s="220">
        <v>486</v>
      </c>
      <c r="J74" s="220">
        <v>377</v>
      </c>
      <c r="K74" s="848" t="s">
        <v>68</v>
      </c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27" thickBot="1">
      <c r="B75" s="210">
        <v>24</v>
      </c>
      <c r="C75" s="216" t="s">
        <v>132</v>
      </c>
      <c r="D75" s="192" t="s">
        <v>133</v>
      </c>
      <c r="E75" s="193">
        <v>24</v>
      </c>
      <c r="F75" s="194">
        <v>595</v>
      </c>
      <c r="G75" s="194">
        <v>304</v>
      </c>
      <c r="H75" s="194">
        <v>49</v>
      </c>
      <c r="I75" s="193">
        <v>333</v>
      </c>
      <c r="J75" s="193">
        <v>170</v>
      </c>
      <c r="K75" s="846"/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1" customHeight="1" thickBot="1">
      <c r="B76" s="210">
        <v>25</v>
      </c>
      <c r="C76" s="216" t="s">
        <v>134</v>
      </c>
      <c r="D76" s="192" t="s">
        <v>135</v>
      </c>
      <c r="E76" s="193">
        <v>20</v>
      </c>
      <c r="F76" s="194">
        <v>475</v>
      </c>
      <c r="G76" s="194">
        <v>190</v>
      </c>
      <c r="H76" s="194">
        <v>60</v>
      </c>
      <c r="I76" s="193">
        <v>1836</v>
      </c>
      <c r="J76" s="193">
        <v>563</v>
      </c>
      <c r="K76" s="848"/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18.75" customHeight="1" thickBot="1">
      <c r="B77" s="263">
        <v>26</v>
      </c>
      <c r="C77" s="253" t="s">
        <v>136</v>
      </c>
      <c r="D77" s="254" t="s">
        <v>105</v>
      </c>
      <c r="E77" s="255">
        <v>40</v>
      </c>
      <c r="F77" s="197">
        <v>2922</v>
      </c>
      <c r="G77" s="197">
        <v>1169</v>
      </c>
      <c r="H77" s="197">
        <v>60</v>
      </c>
      <c r="I77" s="197">
        <v>319</v>
      </c>
      <c r="J77" s="197">
        <v>310</v>
      </c>
      <c r="K77" s="779"/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21" customHeight="1" thickBot="1">
      <c r="B78" s="263">
        <v>27</v>
      </c>
      <c r="C78" s="253" t="s">
        <v>137</v>
      </c>
      <c r="D78" s="254" t="s">
        <v>110</v>
      </c>
      <c r="E78" s="255">
        <v>40</v>
      </c>
      <c r="F78" s="867">
        <v>2222</v>
      </c>
      <c r="G78" s="867">
        <v>822</v>
      </c>
      <c r="H78" s="197">
        <v>63</v>
      </c>
      <c r="I78" s="255">
        <v>348</v>
      </c>
      <c r="J78" s="255">
        <v>260</v>
      </c>
      <c r="K78" s="779"/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.75" customHeight="1" thickBot="1">
      <c r="B79"/>
      <c r="C79" s="1344"/>
      <c r="D79" s="1344"/>
      <c r="E79" s="1344"/>
      <c r="F79" s="850">
        <f>SUM(F54:F78)</f>
        <v>35984.33391455972</v>
      </c>
      <c r="G79" s="851">
        <f>SUM(G54:G78)</f>
        <v>21634</v>
      </c>
      <c r="H79" s="225"/>
      <c r="I79" s="408"/>
      <c r="J79" s="225"/>
      <c r="K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</row>
    <row r="80" spans="2:29" ht="21" customHeight="1" thickBot="1">
      <c r="B80"/>
      <c r="C80"/>
      <c r="D80"/>
      <c r="E80"/>
      <c r="F80" s="1"/>
      <c r="G80" s="852">
        <f>ROUNDUP(G79,-1)</f>
        <v>21640</v>
      </c>
      <c r="H80" s="1"/>
      <c r="I80"/>
      <c r="J80" s="225"/>
      <c r="K80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 thickBot="1">
      <c r="B81"/>
      <c r="C81"/>
      <c r="D81" s="1"/>
      <c r="E81" s="1"/>
      <c r="F81" s="1"/>
      <c r="G81" s="1"/>
      <c r="H81" s="1"/>
      <c r="I81" s="1"/>
      <c r="J81" s="1"/>
      <c r="K81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18.95" customHeight="1" thickBot="1">
      <c r="B82"/>
      <c r="C82" s="1252" t="s">
        <v>420</v>
      </c>
      <c r="D82" s="1291"/>
      <c r="E82" s="1291"/>
      <c r="F82" s="1291"/>
      <c r="G82" s="1291"/>
      <c r="H82" s="1291"/>
      <c r="I82" s="1291"/>
      <c r="J82" s="1291"/>
      <c r="K82" s="1292"/>
      <c r="L82" s="579"/>
      <c r="M82" s="579"/>
      <c r="N82" s="660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28.9" customHeight="1" thickBot="1">
      <c r="B83" s="179" t="s">
        <v>156</v>
      </c>
      <c r="C83" s="803" t="s">
        <v>31</v>
      </c>
      <c r="D83" s="804" t="s">
        <v>32</v>
      </c>
      <c r="E83" s="804" t="s">
        <v>33</v>
      </c>
      <c r="F83" s="795" t="s">
        <v>34</v>
      </c>
      <c r="G83" s="795" t="s">
        <v>35</v>
      </c>
      <c r="H83" s="804" t="s">
        <v>37</v>
      </c>
      <c r="I83" s="806" t="s">
        <v>38</v>
      </c>
      <c r="J83" s="806" t="s">
        <v>39</v>
      </c>
      <c r="K83" s="226" t="s">
        <v>40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19.899999999999999" thickBot="1">
      <c r="B84" s="766">
        <v>1</v>
      </c>
      <c r="C84" s="767" t="s">
        <v>139</v>
      </c>
      <c r="D84" s="768" t="s">
        <v>140</v>
      </c>
      <c r="E84" s="769">
        <v>20</v>
      </c>
      <c r="F84" s="770">
        <v>550</v>
      </c>
      <c r="G84" s="770">
        <v>137.5</v>
      </c>
      <c r="H84" s="769">
        <v>75</v>
      </c>
      <c r="I84" s="771">
        <v>335</v>
      </c>
      <c r="J84" s="769">
        <v>420</v>
      </c>
      <c r="K84" s="294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19.899999999999999" thickBot="1">
      <c r="B85" s="853">
        <v>2</v>
      </c>
      <c r="C85" s="229" t="s">
        <v>142</v>
      </c>
      <c r="D85" s="230" t="s">
        <v>143</v>
      </c>
      <c r="E85" s="193">
        <v>24</v>
      </c>
      <c r="F85" s="188">
        <v>555</v>
      </c>
      <c r="G85" s="188">
        <v>540</v>
      </c>
      <c r="H85" s="193">
        <v>3.5</v>
      </c>
      <c r="I85" s="432">
        <v>400</v>
      </c>
      <c r="J85" s="187">
        <v>315</v>
      </c>
      <c r="K85" s="238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 ht="19.899999999999999" thickBot="1">
      <c r="B86" s="853">
        <v>3</v>
      </c>
      <c r="C86" s="229" t="s">
        <v>144</v>
      </c>
      <c r="D86" s="230" t="s">
        <v>140</v>
      </c>
      <c r="E86" s="193">
        <v>32</v>
      </c>
      <c r="F86" s="194">
        <v>1561</v>
      </c>
      <c r="G86" s="194">
        <v>1153</v>
      </c>
      <c r="H86" s="193">
        <v>27</v>
      </c>
      <c r="I86" s="432">
        <v>841</v>
      </c>
      <c r="J86" s="187">
        <v>770</v>
      </c>
      <c r="K86" s="238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 ht="19.899999999999999" thickBot="1">
      <c r="B87" s="702">
        <v>4</v>
      </c>
      <c r="C87" s="703" t="s">
        <v>145</v>
      </c>
      <c r="D87" s="704" t="s">
        <v>146</v>
      </c>
      <c r="E87" s="705">
        <v>36</v>
      </c>
      <c r="F87" s="706">
        <v>2142</v>
      </c>
      <c r="G87" s="706">
        <v>1935</v>
      </c>
      <c r="H87" s="407">
        <v>6.5</v>
      </c>
      <c r="I87" s="707">
        <v>377</v>
      </c>
      <c r="J87" s="708">
        <v>500</v>
      </c>
      <c r="K87" s="203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 ht="19.899999999999999" thickBot="1">
      <c r="B88"/>
      <c r="C88" s="204"/>
      <c r="D88" s="205"/>
      <c r="E88" s="205"/>
      <c r="F88" s="850">
        <v>4893.8756749777749</v>
      </c>
      <c r="G88" s="851">
        <f>SUM(G84:G87)</f>
        <v>3765.5</v>
      </c>
      <c r="H88" s="207"/>
      <c r="I88" s="207"/>
      <c r="J88" s="207"/>
      <c r="K88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 ht="19.5" customHeight="1" thickBot="1">
      <c r="B89"/>
      <c r="C89" s="1342"/>
      <c r="D89" s="1342"/>
      <c r="E89" s="1342"/>
      <c r="F89" s="1"/>
      <c r="G89" s="852">
        <f>ROUNDUP(G88,-1)</f>
        <v>3770</v>
      </c>
      <c r="H89" s="1"/>
      <c r="I89"/>
      <c r="J89" s="1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 thickBot="1">
      <c r="B90" s="579"/>
      <c r="C90" s="579"/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899999999999999" thickBo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 ht="19.899999999999999" thickBot="1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 ht="19.899999999999999" thickBot="1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 ht="19.899999999999999" thickBot="1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 ht="19.899999999999999" thickBot="1">
      <c r="B95" s="579"/>
      <c r="C95" s="579"/>
      <c r="D95" s="579"/>
      <c r="E95" s="579"/>
      <c r="F95" s="579"/>
      <c r="G95" s="660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 ht="19.899999999999999" thickBot="1">
      <c r="B96" s="579"/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 ht="19.899999999999999" thickBot="1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 ht="19.899999999999999" thickBot="1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 ht="19.899999999999999" thickBot="1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 ht="19.899999999999999" thickBot="1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 ht="19.899999999999999" thickBot="1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 ht="19.899999999999999" thickBot="1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 ht="19.899999999999999" thickBot="1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 ht="19.899999999999999" thickBot="1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 ht="19.899999999999999" thickBot="1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 ht="19.899999999999999" thickBot="1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 ht="19.899999999999999" thickBot="1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 ht="19.899999999999999" thickBot="1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 ht="19.899999999999999" thickBot="1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 ht="19.899999999999999" thickBot="1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 ht="19.899999999999999" thickBot="1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 ht="19.899999999999999" thickBot="1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 ht="19.899999999999999" thickBot="1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 ht="19.899999999999999" thickBot="1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 ht="19.899999999999999" thickBot="1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 ht="19.899999999999999" thickBot="1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 ht="19.899999999999999" thickBot="1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 ht="19.899999999999999" thickBot="1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 ht="19.899999999999999" thickBot="1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 ht="19.899999999999999" thickBot="1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 ht="19.899999999999999" thickBot="1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 ht="19.899999999999999" thickBot="1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 ht="19.899999999999999" thickBot="1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 ht="19.899999999999999" thickBot="1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 ht="19.899999999999999" thickBot="1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 ht="19.899999999999999" thickBot="1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 ht="19.899999999999999" thickBot="1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 ht="19.899999999999999" thickBot="1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 ht="19.899999999999999" thickBot="1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 ht="19.899999999999999" thickBot="1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 ht="19.899999999999999" thickBot="1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 ht="19.899999999999999" thickBot="1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 ht="19.899999999999999" thickBot="1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 ht="19.899999999999999" thickBot="1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 ht="19.899999999999999" thickBot="1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 ht="19.899999999999999" thickBot="1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 ht="19.899999999999999" thickBot="1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 ht="19.899999999999999" thickBot="1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 ht="19.899999999999999" thickBot="1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 ht="19.899999999999999" thickBot="1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 ht="19.899999999999999" thickBot="1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 ht="19.899999999999999" thickBot="1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 ht="19.899999999999999" thickBot="1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 ht="19.899999999999999" thickBot="1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 ht="19.899999999999999" thickBot="1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 ht="19.899999999999999" thickBot="1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 ht="19.899999999999999" thickBot="1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 ht="19.899999999999999" thickBot="1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 ht="19.899999999999999" thickBot="1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 ht="19.899999999999999" thickBot="1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 ht="19.899999999999999" thickBot="1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 ht="19.899999999999999" thickBot="1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 ht="19.899999999999999" thickBot="1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 ht="19.899999999999999" thickBot="1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 ht="19.899999999999999" thickBot="1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 ht="19.899999999999999" thickBot="1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 ht="19.899999999999999" thickBot="1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 ht="19.899999999999999" thickBot="1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 ht="19.899999999999999" thickBot="1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 ht="19.899999999999999" thickBot="1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 ht="19.899999999999999" thickBot="1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 ht="19.899999999999999" thickBot="1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 ht="19.899999999999999" thickBot="1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 ht="19.899999999999999" thickBot="1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 ht="19.899999999999999" thickBot="1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 ht="19.899999999999999" thickBot="1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 ht="19.899999999999999" thickBot="1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 ht="19.899999999999999" thickBot="1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 ht="19.899999999999999" thickBot="1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 ht="19.899999999999999" thickBot="1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 ht="19.899999999999999" thickBot="1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 ht="19.899999999999999" thickBot="1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 ht="19.899999999999999" thickBot="1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 ht="19.899999999999999" thickBot="1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 ht="19.899999999999999" thickBot="1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 ht="19.899999999999999" thickBot="1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 ht="19.899999999999999" thickBot="1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 ht="19.899999999999999" thickBot="1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 ht="19.899999999999999" thickBot="1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 ht="19.899999999999999" thickBot="1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 ht="19.899999999999999" thickBot="1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 ht="19.899999999999999" thickBot="1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 ht="19.899999999999999" thickBot="1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 ht="19.899999999999999" thickBot="1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 ht="19.899999999999999" thickBot="1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 ht="19.899999999999999" thickBot="1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 ht="19.899999999999999" thickBot="1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 ht="19.899999999999999" thickBot="1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 ht="19.899999999999999" thickBot="1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 ht="19.899999999999999" thickBot="1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 ht="19.899999999999999" thickBot="1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 ht="19.899999999999999" thickBot="1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 ht="19.899999999999999" thickBot="1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 ht="19.899999999999999" thickBot="1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 ht="19.899999999999999" thickBot="1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 ht="19.899999999999999" thickBot="1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 ht="19.899999999999999" thickBot="1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 ht="19.899999999999999" thickBot="1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 ht="19.899999999999999" thickBot="1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 ht="19.899999999999999" thickBot="1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 ht="19.899999999999999" thickBot="1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 ht="19.899999999999999" thickBot="1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 ht="19.899999999999999" thickBot="1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 ht="19.899999999999999" thickBot="1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 ht="19.899999999999999" thickBot="1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 ht="19.899999999999999" thickBot="1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 ht="19.899999999999999" thickBot="1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 ht="19.899999999999999" thickBot="1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 ht="19.899999999999999" thickBot="1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 ht="19.899999999999999" thickBot="1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 ht="19.899999999999999" thickBot="1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 ht="19.899999999999999" thickBot="1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 ht="19.899999999999999" thickBot="1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 ht="19.899999999999999" thickBot="1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 ht="19.899999999999999" thickBot="1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 ht="19.899999999999999" thickBot="1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 ht="19.899999999999999" thickBot="1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 ht="19.899999999999999" thickBot="1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 ht="19.899999999999999" thickBot="1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 ht="19.899999999999999" thickBot="1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 ht="19.899999999999999" thickBot="1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 ht="19.899999999999999" thickBot="1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 ht="19.899999999999999" thickBot="1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 ht="19.899999999999999" thickBot="1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 ht="19.899999999999999" thickBot="1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 ht="19.899999999999999" thickBot="1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 ht="19.899999999999999" thickBot="1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 ht="19.899999999999999" thickBot="1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 ht="19.899999999999999" thickBot="1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 ht="19.899999999999999" thickBot="1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 ht="19.899999999999999" thickBot="1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 ht="19.899999999999999" thickBot="1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 ht="19.899999999999999" thickBot="1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 ht="19.899999999999999" thickBot="1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 ht="19.899999999999999" thickBot="1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 ht="19.899999999999999" thickBot="1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 ht="19.899999999999999" thickBot="1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 ht="19.899999999999999" thickBot="1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 ht="19.899999999999999" thickBot="1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 ht="19.899999999999999" thickBot="1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 ht="19.899999999999999" thickBot="1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 ht="19.899999999999999" thickBot="1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 ht="19.899999999999999" thickBot="1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 ht="19.899999999999999" thickBot="1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 ht="19.899999999999999" thickBot="1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 ht="19.899999999999999" thickBot="1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 ht="19.899999999999999" thickBot="1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 ht="19.899999999999999" thickBot="1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 ht="19.899999999999999" thickBot="1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 ht="19.899999999999999" thickBot="1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 ht="19.899999999999999" thickBot="1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 ht="19.899999999999999" thickBot="1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 ht="19.899999999999999" thickBot="1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 ht="19.899999999999999" thickBot="1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 ht="19.899999999999999" thickBot="1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 ht="19.899999999999999" thickBot="1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 ht="19.899999999999999" thickBot="1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 ht="19.899999999999999" thickBot="1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 ht="19.899999999999999" thickBot="1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 ht="19.899999999999999" thickBot="1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 ht="19.899999999999999" thickBot="1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 ht="19.899999999999999" thickBot="1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 ht="19.899999999999999" thickBot="1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 ht="19.899999999999999" thickBot="1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 ht="19.899999999999999" thickBot="1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 ht="19.899999999999999" thickBot="1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 ht="19.899999999999999" thickBot="1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 ht="19.899999999999999" thickBot="1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 ht="19.899999999999999" thickBot="1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 ht="19.899999999999999" thickBot="1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 ht="19.899999999999999" thickBot="1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 ht="19.899999999999999" thickBot="1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 ht="19.899999999999999" thickBot="1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 ht="19.899999999999999" thickBot="1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 ht="19.899999999999999" thickBot="1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 ht="19.899999999999999" thickBot="1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 ht="19.899999999999999" thickBot="1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 ht="19.899999999999999" thickBot="1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 ht="19.899999999999999" thickBot="1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 ht="19.899999999999999" thickBot="1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 ht="19.899999999999999" thickBot="1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 ht="19.899999999999999" thickBot="1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 ht="19.899999999999999" thickBot="1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 ht="19.899999999999999" thickBot="1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 ht="19.899999999999999" thickBot="1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 ht="19.899999999999999" thickBot="1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 ht="19.899999999999999" thickBot="1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 ht="19.899999999999999" thickBot="1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 ht="19.899999999999999" thickBot="1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 ht="19.899999999999999" thickBot="1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 ht="19.899999999999999" thickBot="1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 ht="19.899999999999999" thickBot="1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 ht="19.899999999999999" thickBot="1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 ht="19.899999999999999" thickBot="1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 ht="19.899999999999999" thickBot="1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 ht="19.899999999999999" thickBot="1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 ht="19.899999999999999" thickBot="1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 ht="19.899999999999999" thickBot="1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 ht="19.899999999999999" thickBot="1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 ht="19.899999999999999" thickBot="1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 ht="19.899999999999999" thickBot="1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 ht="19.899999999999999" thickBot="1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 ht="19.899999999999999" thickBot="1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 ht="19.899999999999999" thickBot="1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 ht="19.899999999999999" thickBot="1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 ht="19.899999999999999" thickBot="1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 ht="19.899999999999999" thickBot="1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 ht="19.899999999999999" thickBot="1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 ht="19.899999999999999" thickBot="1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 ht="19.899999999999999" thickBot="1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 ht="19.899999999999999" thickBot="1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 ht="19.899999999999999" thickBot="1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 ht="19.899999999999999" thickBot="1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 ht="19.899999999999999" thickBot="1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 ht="19.899999999999999" thickBot="1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 ht="19.899999999999999" thickBot="1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 ht="19.899999999999999" thickBot="1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 ht="19.899999999999999" thickBot="1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 ht="19.899999999999999" thickBot="1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 ht="19.899999999999999" thickBot="1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 ht="19.899999999999999" thickBot="1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 ht="19.899999999999999" thickBot="1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 ht="19.899999999999999" thickBot="1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 ht="19.899999999999999" thickBot="1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 ht="19.899999999999999" thickBot="1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 ht="19.899999999999999" thickBot="1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 ht="19.899999999999999" thickBot="1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 ht="19.899999999999999" thickBot="1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 ht="19.899999999999999" thickBot="1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 ht="19.899999999999999" thickBot="1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 ht="19.899999999999999" thickBot="1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 ht="19.899999999999999" thickBot="1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 ht="19.899999999999999" thickBot="1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 ht="19.899999999999999" thickBot="1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 ht="19.899999999999999" thickBot="1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 ht="19.899999999999999" thickBot="1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 ht="19.899999999999999" thickBot="1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 ht="19.899999999999999" thickBot="1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 ht="19.899999999999999" thickBot="1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 ht="19.899999999999999" thickBot="1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 ht="19.899999999999999" thickBot="1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 ht="19.899999999999999" thickBot="1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 ht="19.899999999999999" thickBot="1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 ht="19.899999999999999" thickBot="1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 ht="19.899999999999999" thickBot="1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 ht="19.899999999999999" thickBot="1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 ht="19.899999999999999" thickBot="1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 ht="19.899999999999999" thickBot="1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 ht="19.899999999999999" thickBot="1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 ht="19.899999999999999" thickBot="1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 ht="19.899999999999999" thickBot="1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 ht="19.899999999999999" thickBot="1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 ht="19.899999999999999" thickBot="1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 ht="19.899999999999999" thickBot="1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 ht="19.899999999999999" thickBot="1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 ht="19.899999999999999" thickBot="1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 ht="19.899999999999999" thickBot="1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 ht="19.899999999999999" thickBot="1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 ht="19.899999999999999" thickBot="1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 ht="19.899999999999999" thickBot="1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 ht="19.899999999999999" thickBot="1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 ht="19.899999999999999" thickBot="1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 ht="19.899999999999999" thickBot="1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 ht="19.899999999999999" thickBot="1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 ht="19.899999999999999" thickBot="1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 ht="19.899999999999999" thickBot="1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 ht="19.899999999999999" thickBot="1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 ht="19.899999999999999" thickBot="1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 ht="19.899999999999999" thickBot="1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 ht="19.899999999999999" thickBot="1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 ht="19.899999999999999" thickBot="1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 ht="19.899999999999999" thickBot="1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 ht="19.899999999999999" thickBot="1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 ht="19.899999999999999" thickBot="1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 ht="19.899999999999999" thickBot="1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 ht="19.899999999999999" thickBot="1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 ht="19.899999999999999" thickBot="1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 ht="19.899999999999999" thickBot="1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 ht="19.899999999999999" thickBot="1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 ht="19.899999999999999" thickBot="1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 ht="19.899999999999999" thickBot="1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 ht="19.899999999999999" thickBot="1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 ht="19.899999999999999" thickBot="1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 ht="19.899999999999999" thickBot="1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 ht="19.899999999999999" thickBot="1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 ht="19.899999999999999" thickBot="1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 ht="19.899999999999999" thickBot="1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 ht="19.899999999999999" thickBot="1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 ht="19.899999999999999" thickBot="1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 ht="19.899999999999999" thickBot="1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 ht="19.899999999999999" thickBot="1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 ht="19.899999999999999" thickBot="1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 ht="19.899999999999999" thickBot="1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 ht="19.899999999999999" thickBot="1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 ht="19.899999999999999" thickBot="1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 ht="19.899999999999999" thickBot="1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 ht="19.899999999999999" thickBot="1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 ht="19.899999999999999" thickBot="1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 ht="19.899999999999999" thickBot="1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 ht="19.899999999999999" thickBot="1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 ht="19.899999999999999" thickBot="1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 ht="19.899999999999999" thickBot="1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 ht="19.899999999999999" thickBot="1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 ht="19.899999999999999" thickBot="1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 ht="19.899999999999999" thickBot="1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 ht="19.899999999999999" thickBot="1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 ht="19.899999999999999" thickBot="1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 ht="19.899999999999999" thickBot="1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 ht="19.899999999999999" thickBot="1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 ht="19.899999999999999" thickBot="1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 ht="19.899999999999999" thickBot="1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 ht="19.899999999999999" thickBot="1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 ht="19.899999999999999" thickBot="1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 ht="19.899999999999999" thickBot="1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 ht="19.899999999999999" thickBot="1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 ht="19.899999999999999" thickBot="1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 ht="19.899999999999999" thickBot="1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 ht="19.899999999999999" thickBot="1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 ht="19.899999999999999" thickBot="1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 ht="19.899999999999999" thickBot="1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 ht="19.899999999999999" thickBot="1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 ht="19.899999999999999" thickBot="1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 ht="19.899999999999999" thickBot="1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 ht="19.899999999999999" thickBot="1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 ht="19.899999999999999" thickBot="1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 ht="19.899999999999999" thickBot="1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 ht="19.899999999999999" thickBot="1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 ht="19.899999999999999" thickBot="1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 ht="19.899999999999999" thickBot="1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 ht="19.899999999999999" thickBot="1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 ht="19.899999999999999" thickBot="1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 ht="19.899999999999999" thickBot="1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 ht="19.899999999999999" thickBot="1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 ht="19.899999999999999" thickBot="1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 ht="19.899999999999999" thickBot="1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 ht="19.899999999999999" thickBot="1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 ht="19.899999999999999" thickBot="1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 ht="19.899999999999999" thickBot="1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 ht="19.899999999999999" thickBot="1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 ht="19.899999999999999" thickBot="1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 ht="19.899999999999999" thickBot="1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 ht="19.899999999999999" thickBot="1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 ht="19.899999999999999" thickBot="1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 ht="19.899999999999999" thickBot="1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 ht="19.899999999999999" thickBot="1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 ht="19.899999999999999" thickBot="1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 ht="19.899999999999999" thickBot="1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 ht="19.899999999999999" thickBot="1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 ht="19.899999999999999" thickBot="1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 ht="19.899999999999999" thickBot="1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 ht="19.899999999999999" thickBot="1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 ht="19.899999999999999" thickBot="1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 ht="19.899999999999999" thickBot="1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 ht="19.899999999999999" thickBot="1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 ht="19.899999999999999" thickBot="1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 ht="19.899999999999999" thickBot="1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 ht="19.899999999999999" thickBot="1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 ht="19.899999999999999" thickBot="1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 ht="19.899999999999999" thickBot="1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 ht="19.899999999999999" thickBot="1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 ht="19.899999999999999" thickBot="1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 ht="19.899999999999999" thickBot="1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 ht="19.899999999999999" thickBot="1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 ht="19.899999999999999" thickBot="1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 ht="19.899999999999999" thickBot="1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 ht="19.899999999999999" thickBot="1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 ht="19.899999999999999" thickBot="1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 ht="19.899999999999999" thickBot="1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 ht="19.899999999999999" thickBot="1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 ht="19.899999999999999" thickBot="1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 ht="19.899999999999999" thickBot="1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 ht="19.899999999999999" thickBot="1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 ht="19.899999999999999" thickBot="1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 ht="19.899999999999999" thickBot="1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 ht="19.899999999999999" thickBot="1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 ht="19.899999999999999" thickBot="1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 ht="19.899999999999999" thickBot="1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 ht="19.899999999999999" thickBot="1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 ht="19.899999999999999" thickBot="1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 ht="19.899999999999999" thickBot="1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 ht="19.899999999999999" thickBot="1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 ht="19.899999999999999" thickBot="1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 ht="19.899999999999999" thickBot="1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 ht="19.899999999999999" thickBot="1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 ht="19.899999999999999" thickBot="1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 ht="19.899999999999999" thickBot="1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 ht="19.899999999999999" thickBot="1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 ht="19.899999999999999" thickBot="1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 ht="19.899999999999999" thickBot="1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 ht="19.899999999999999" thickBot="1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 ht="19.899999999999999" thickBot="1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 ht="19.899999999999999" thickBot="1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 ht="19.899999999999999" thickBot="1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 ht="19.899999999999999" thickBot="1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 ht="19.899999999999999" thickBot="1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 ht="19.899999999999999" thickBot="1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 ht="19.899999999999999" thickBot="1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 ht="19.899999999999999" thickBot="1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 ht="19.899999999999999" thickBot="1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 ht="19.899999999999999" thickBot="1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 ht="19.899999999999999" thickBot="1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 ht="19.899999999999999" thickBot="1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 ht="19.899999999999999" thickBot="1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 ht="19.899999999999999" thickBot="1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 ht="19.899999999999999" thickBot="1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 ht="19.899999999999999" thickBot="1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 ht="19.899999999999999" thickBot="1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 ht="19.899999999999999" thickBot="1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 ht="19.899999999999999" thickBot="1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 ht="19.899999999999999" thickBot="1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 ht="19.899999999999999" thickBot="1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 ht="19.899999999999999" thickBot="1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 ht="19.899999999999999" thickBot="1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 ht="19.899999999999999" thickBot="1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 ht="19.899999999999999" thickBot="1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 ht="19.899999999999999" thickBot="1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 ht="19.899999999999999" thickBot="1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 ht="19.899999999999999" thickBot="1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 ht="19.899999999999999" thickBot="1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 ht="19.899999999999999" thickBot="1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 ht="19.899999999999999" thickBot="1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 ht="19.899999999999999" thickBot="1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 ht="19.899999999999999" thickBot="1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 ht="19.899999999999999" thickBot="1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 ht="19.899999999999999" thickBot="1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 ht="19.899999999999999" thickBot="1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 ht="19.899999999999999" thickBot="1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 ht="19.899999999999999" thickBot="1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 ht="19.899999999999999" thickBot="1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 ht="19.899999999999999" thickBot="1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 ht="19.899999999999999" thickBot="1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 ht="19.899999999999999" thickBot="1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 ht="19.899999999999999" thickBot="1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 ht="19.899999999999999" thickBot="1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 ht="19.899999999999999" thickBot="1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 ht="19.899999999999999" thickBot="1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 ht="19.899999999999999" thickBot="1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 ht="19.899999999999999" thickBot="1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 ht="19.899999999999999" thickBot="1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 ht="19.899999999999999" thickBot="1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 ht="19.899999999999999" thickBot="1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 ht="19.899999999999999" thickBot="1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 ht="19.899999999999999" thickBot="1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 ht="19.899999999999999" thickBot="1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 ht="19.899999999999999" thickBot="1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 ht="19.899999999999999" thickBot="1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 ht="19.899999999999999" thickBot="1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 ht="19.899999999999999" thickBot="1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 ht="19.899999999999999" thickBot="1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 ht="19.899999999999999" thickBot="1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 ht="19.899999999999999" thickBot="1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 ht="19.899999999999999" thickBot="1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 ht="19.899999999999999" thickBot="1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 ht="19.899999999999999" thickBot="1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 ht="19.899999999999999" thickBot="1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 ht="19.899999999999999" thickBot="1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 ht="19.899999999999999" thickBot="1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 ht="19.899999999999999" thickBot="1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 ht="19.899999999999999" thickBot="1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 ht="19.899999999999999" thickBot="1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 ht="19.899999999999999" thickBot="1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 ht="19.899999999999999" thickBot="1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 ht="19.899999999999999" thickBot="1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 ht="19.899999999999999" thickBot="1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 ht="19.899999999999999" thickBot="1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 ht="19.899999999999999" thickBot="1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 ht="19.899999999999999" thickBot="1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 ht="19.899999999999999" thickBot="1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 ht="19.899999999999999" thickBot="1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 ht="19.899999999999999" thickBot="1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 ht="19.899999999999999" thickBot="1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 ht="19.899999999999999" thickBot="1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 ht="19.899999999999999" thickBot="1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 ht="19.899999999999999" thickBot="1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 ht="19.899999999999999" thickBot="1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 ht="19.899999999999999" thickBot="1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 ht="19.899999999999999" thickBot="1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 ht="19.899999999999999" thickBot="1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 ht="19.899999999999999" thickBot="1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 ht="19.899999999999999" thickBot="1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 ht="19.899999999999999" thickBot="1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 ht="19.899999999999999" thickBot="1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 ht="19.899999999999999" thickBot="1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 ht="19.899999999999999" thickBot="1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 ht="19.899999999999999" thickBot="1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 ht="19.899999999999999" thickBot="1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 ht="19.899999999999999" thickBot="1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 ht="19.899999999999999" thickBot="1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 ht="19.899999999999999" thickBot="1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 ht="19.899999999999999" thickBot="1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 ht="19.899999999999999" thickBot="1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 ht="19.899999999999999" thickBot="1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 ht="19.899999999999999" thickBot="1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 ht="19.899999999999999" thickBot="1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 ht="19.899999999999999" thickBot="1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 ht="19.899999999999999" thickBot="1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 ht="19.899999999999999" thickBot="1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 ht="19.899999999999999" thickBot="1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 ht="19.899999999999999" thickBot="1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 ht="19.899999999999999" thickBot="1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 ht="19.899999999999999" thickBot="1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 ht="19.899999999999999" thickBot="1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 ht="19.899999999999999" thickBot="1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 ht="19.899999999999999" thickBot="1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 ht="19.899999999999999" thickBot="1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 ht="19.899999999999999" thickBot="1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 ht="19.899999999999999" thickBot="1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 ht="19.899999999999999" thickBot="1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 ht="19.899999999999999" thickBot="1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 ht="19.899999999999999" thickBot="1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 ht="19.899999999999999" thickBot="1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 ht="19.899999999999999" thickBot="1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 ht="19.899999999999999" thickBot="1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 ht="19.899999999999999" thickBot="1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 ht="19.899999999999999" thickBot="1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 ht="19.899999999999999" thickBot="1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 ht="19.899999999999999" thickBot="1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 ht="19.899999999999999" thickBot="1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 ht="19.899999999999999" thickBot="1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 ht="19.899999999999999" thickBot="1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 ht="19.899999999999999" thickBot="1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 ht="19.899999999999999" thickBot="1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 ht="19.899999999999999" thickBot="1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 ht="19.899999999999999" thickBot="1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 ht="19.899999999999999" thickBot="1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 ht="19.899999999999999" thickBot="1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 ht="19.899999999999999" thickBot="1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 ht="19.899999999999999" thickBot="1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 ht="19.899999999999999" thickBot="1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 ht="19.899999999999999" thickBot="1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 ht="19.899999999999999" thickBot="1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 ht="19.899999999999999" thickBot="1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 ht="19.899999999999999" thickBot="1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 ht="19.899999999999999" thickBot="1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 ht="19.899999999999999" thickBot="1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 ht="19.899999999999999" thickBot="1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 ht="19.899999999999999" thickBot="1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 ht="19.899999999999999" thickBot="1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 ht="19.899999999999999" thickBot="1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 ht="19.899999999999999" thickBot="1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 ht="19.899999999999999" thickBot="1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 ht="19.899999999999999" thickBot="1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 ht="19.899999999999999" thickBot="1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 ht="19.899999999999999" thickBot="1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 ht="19.899999999999999" thickBot="1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 ht="19.899999999999999" thickBot="1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 ht="19.899999999999999" thickBot="1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 ht="19.899999999999999" thickBot="1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 ht="19.899999999999999" thickBot="1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 ht="19.899999999999999" thickBot="1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 ht="19.899999999999999" thickBot="1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 ht="19.899999999999999" thickBot="1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 ht="19.899999999999999" thickBot="1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 ht="19.899999999999999" thickBot="1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 ht="19.899999999999999" thickBot="1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 ht="19.899999999999999" thickBot="1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 ht="19.899999999999999" thickBot="1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 ht="19.899999999999999" thickBot="1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 ht="19.899999999999999" thickBot="1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 ht="19.899999999999999" thickBot="1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 ht="19.899999999999999" thickBot="1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 ht="19.899999999999999" thickBot="1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 ht="19.899999999999999" thickBot="1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 ht="19.899999999999999" thickBot="1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 ht="19.899999999999999" thickBot="1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 ht="19.899999999999999" thickBot="1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 ht="19.899999999999999" thickBot="1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 ht="19.899999999999999" thickBot="1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 ht="19.899999999999999" thickBot="1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 ht="19.899999999999999" thickBot="1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 ht="19.899999999999999" thickBot="1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 ht="19.899999999999999" thickBot="1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 ht="19.899999999999999" thickBot="1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 ht="19.899999999999999" thickBot="1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 ht="19.899999999999999" thickBot="1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 ht="19.899999999999999" thickBot="1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 ht="19.899999999999999" thickBot="1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 ht="19.899999999999999" thickBot="1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 ht="19.899999999999999" thickBot="1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 ht="19.899999999999999" thickBot="1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 ht="19.899999999999999" thickBot="1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 ht="19.899999999999999" thickBot="1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 ht="19.899999999999999" thickBot="1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 ht="19.899999999999999" thickBot="1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 ht="19.899999999999999" thickBot="1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 ht="19.899999999999999" thickBot="1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 ht="19.899999999999999" thickBot="1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 ht="19.899999999999999" thickBot="1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 ht="19.899999999999999" thickBot="1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 ht="19.899999999999999" thickBot="1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 ht="19.899999999999999" thickBot="1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 ht="19.899999999999999" thickBot="1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 ht="19.899999999999999" thickBot="1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 ht="19.899999999999999" thickBot="1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 ht="19.899999999999999" thickBot="1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 ht="19.899999999999999" thickBot="1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 ht="19.899999999999999" thickBot="1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 ht="19.899999999999999" thickBot="1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 ht="19.899999999999999" thickBot="1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 ht="19.899999999999999" thickBot="1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 ht="19.899999999999999" thickBot="1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 ht="19.899999999999999" thickBot="1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 ht="19.899999999999999" thickBot="1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 ht="19.899999999999999" thickBot="1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 ht="19.899999999999999" thickBot="1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 ht="19.899999999999999" thickBot="1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 ht="19.899999999999999" thickBot="1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 ht="19.899999999999999" thickBot="1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 ht="19.899999999999999" thickBot="1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 ht="19.899999999999999" thickBot="1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 ht="19.899999999999999" thickBot="1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 ht="19.899999999999999" thickBot="1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 ht="19.899999999999999" thickBot="1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 ht="19.899999999999999" thickBot="1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 ht="19.899999999999999" thickBot="1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 ht="19.899999999999999" thickBot="1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 ht="19.899999999999999" thickBot="1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 ht="19.899999999999999" thickBot="1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 ht="19.899999999999999" thickBot="1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 ht="19.899999999999999" thickBot="1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 ht="19.899999999999999" thickBot="1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 ht="19.899999999999999" thickBot="1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 ht="19.899999999999999" thickBot="1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 ht="19.899999999999999" thickBot="1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 ht="19.899999999999999" thickBot="1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 ht="19.899999999999999" thickBot="1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 ht="19.899999999999999" thickBot="1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 ht="19.899999999999999" thickBot="1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 ht="19.899999999999999" thickBot="1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 ht="19.899999999999999" thickBot="1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 ht="19.899999999999999" thickBot="1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 ht="19.899999999999999" thickBot="1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 ht="19.899999999999999" thickBot="1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 ht="19.899999999999999" thickBot="1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 ht="19.899999999999999" thickBot="1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 ht="19.899999999999999" thickBot="1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 ht="19.899999999999999" thickBot="1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 ht="19.899999999999999" thickBot="1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 ht="19.899999999999999" thickBot="1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 ht="19.899999999999999" thickBot="1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 ht="19.899999999999999" thickBot="1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 ht="19.899999999999999" thickBot="1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 ht="19.899999999999999" thickBot="1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 ht="19.899999999999999" thickBot="1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 ht="19.899999999999999" thickBot="1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 ht="19.899999999999999" thickBot="1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 ht="19.899999999999999" thickBot="1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 ht="19.899999999999999" thickBot="1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 ht="19.899999999999999" thickBot="1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 ht="19.899999999999999" thickBot="1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 ht="19.899999999999999" thickBot="1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 ht="19.899999999999999" thickBot="1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 ht="19.899999999999999" thickBot="1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 ht="19.899999999999999" thickBot="1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 ht="19.899999999999999" thickBot="1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 ht="19.899999999999999" thickBot="1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 ht="19.899999999999999" thickBot="1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 ht="19.899999999999999" thickBot="1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 ht="19.899999999999999" thickBot="1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 ht="19.899999999999999" thickBot="1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 ht="19.899999999999999" thickBot="1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 ht="19.899999999999999" thickBot="1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 ht="19.899999999999999" thickBot="1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 ht="19.899999999999999" thickBot="1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 ht="19.899999999999999" thickBot="1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 ht="19.899999999999999" thickBot="1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 ht="19.899999999999999" thickBot="1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 ht="19.899999999999999" thickBot="1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 ht="19.899999999999999" thickBot="1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 ht="19.899999999999999" thickBot="1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 ht="19.899999999999999" thickBot="1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 ht="19.899999999999999" thickBot="1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 ht="19.899999999999999" thickBot="1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 ht="19.899999999999999" thickBot="1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 ht="19.899999999999999" thickBot="1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 ht="19.899999999999999" thickBot="1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 ht="19.899999999999999" thickBot="1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 ht="19.899999999999999" thickBot="1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 ht="19.899999999999999" thickBot="1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 ht="19.899999999999999" thickBot="1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 ht="19.899999999999999" thickBot="1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 ht="19.899999999999999" thickBot="1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 ht="19.899999999999999" thickBot="1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 ht="19.899999999999999" thickBot="1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 ht="19.899999999999999" thickBot="1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 ht="19.899999999999999" thickBot="1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 ht="19.899999999999999" thickBot="1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 ht="19.899999999999999" thickBot="1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 ht="19.899999999999999" thickBot="1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 ht="19.899999999999999" thickBot="1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 ht="19.899999999999999" thickBot="1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 ht="19.899999999999999" thickBot="1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 ht="19.899999999999999" thickBot="1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 ht="19.899999999999999" thickBot="1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 ht="19.899999999999999" thickBot="1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 ht="19.899999999999999" thickBot="1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 ht="19.899999999999999" thickBot="1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 ht="19.899999999999999" thickBot="1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 ht="19.899999999999999" thickBot="1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 ht="19.899999999999999" thickBot="1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 ht="19.899999999999999" thickBot="1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 ht="19.899999999999999" thickBot="1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 ht="19.899999999999999" thickBot="1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 ht="19.899999999999999" thickBot="1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 ht="19.899999999999999" thickBot="1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 ht="19.899999999999999" thickBot="1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 ht="19.899999999999999" thickBot="1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 ht="19.899999999999999" thickBot="1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 ht="19.899999999999999" thickBot="1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 ht="19.899999999999999" thickBot="1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 ht="19.899999999999999" thickBot="1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 ht="19.899999999999999" thickBot="1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 ht="19.899999999999999" thickBot="1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 ht="19.899999999999999" thickBot="1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 ht="19.899999999999999" thickBot="1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 ht="19.899999999999999" thickBot="1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 ht="19.899999999999999" thickBot="1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 ht="19.899999999999999" thickBot="1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 ht="19.899999999999999" thickBot="1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 ht="19.899999999999999" thickBot="1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 ht="19.899999999999999" thickBot="1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 ht="19.899999999999999" thickBot="1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 ht="19.899999999999999" thickBot="1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 ht="19.899999999999999" thickBot="1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 ht="19.899999999999999" thickBot="1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 ht="19.899999999999999" thickBot="1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 ht="19.899999999999999" thickBot="1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 ht="19.899999999999999" thickBot="1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 ht="19.899999999999999" thickBot="1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 ht="19.899999999999999" thickBot="1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 ht="19.899999999999999" thickBot="1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 ht="19.899999999999999" thickBot="1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 ht="19.899999999999999" thickBot="1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 ht="19.899999999999999" thickBot="1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 ht="19.899999999999999" thickBot="1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 ht="19.899999999999999" thickBot="1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 ht="19.899999999999999" thickBot="1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 ht="19.899999999999999" thickBot="1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 ht="19.899999999999999" thickBot="1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 ht="19.899999999999999" thickBot="1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 ht="19.899999999999999" thickBot="1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 ht="19.899999999999999" thickBot="1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 ht="19.899999999999999" thickBot="1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 ht="19.899999999999999" thickBot="1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 ht="19.899999999999999" thickBot="1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 ht="19.899999999999999" thickBot="1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 ht="19.899999999999999" thickBot="1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 ht="19.899999999999999" thickBot="1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 ht="19.899999999999999" thickBot="1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 ht="19.899999999999999" thickBot="1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 ht="19.899999999999999" thickBot="1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 ht="19.899999999999999" thickBot="1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 ht="19.899999999999999" thickBot="1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 ht="19.899999999999999" thickBot="1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 ht="19.899999999999999" thickBot="1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 ht="19.899999999999999" thickBot="1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 ht="19.899999999999999" thickBot="1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 ht="19.899999999999999" thickBot="1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 ht="19.899999999999999" thickBot="1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 ht="19.899999999999999" thickBot="1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 ht="19.899999999999999" thickBot="1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 ht="19.899999999999999" thickBot="1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 ht="19.899999999999999" thickBot="1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 ht="19.899999999999999" thickBot="1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 ht="19.899999999999999" thickBot="1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 ht="19.899999999999999" thickBot="1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 ht="19.899999999999999" thickBot="1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 ht="19.899999999999999" thickBot="1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 ht="19.899999999999999" thickBot="1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 ht="19.899999999999999" thickBot="1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 ht="19.899999999999999" thickBot="1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 ht="19.899999999999999" thickBot="1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 ht="19.899999999999999" thickBot="1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 ht="19.899999999999999" thickBot="1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 ht="19.899999999999999" thickBot="1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 ht="19.899999999999999" thickBot="1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 ht="19.899999999999999" thickBot="1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 ht="19.899999999999999" thickBot="1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 ht="19.899999999999999" thickBot="1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 ht="19.899999999999999" thickBot="1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 ht="19.899999999999999" thickBot="1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 ht="19.899999999999999" thickBot="1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 ht="19.899999999999999" thickBot="1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 ht="19.899999999999999" thickBot="1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 ht="19.899999999999999" thickBot="1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 ht="19.899999999999999" thickBot="1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 ht="19.899999999999999" thickBot="1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 ht="19.899999999999999" thickBot="1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 ht="19.899999999999999" thickBot="1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 ht="19.899999999999999" thickBot="1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 ht="19.899999999999999" thickBot="1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 ht="19.899999999999999" thickBot="1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 ht="19.899999999999999" thickBot="1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 ht="19.899999999999999" thickBot="1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 ht="19.899999999999999" thickBot="1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 ht="19.899999999999999" thickBot="1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 ht="19.899999999999999" thickBot="1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 ht="19.899999999999999" thickBot="1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 ht="19.899999999999999" thickBot="1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 ht="19.899999999999999" thickBot="1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 ht="19.899999999999999" thickBot="1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 ht="19.899999999999999" thickBot="1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 ht="19.899999999999999" thickBot="1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 ht="19.899999999999999" thickBot="1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 ht="19.899999999999999" thickBot="1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 ht="19.899999999999999" thickBot="1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 ht="19.899999999999999" thickBot="1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 ht="19.899999999999999" thickBot="1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 ht="19.899999999999999" thickBot="1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 ht="19.899999999999999" thickBot="1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 ht="19.899999999999999" thickBot="1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 ht="19.899999999999999" thickBot="1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 ht="19.899999999999999" thickBot="1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 ht="19.899999999999999" thickBot="1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 ht="19.899999999999999" thickBot="1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 ht="19.899999999999999" thickBot="1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 ht="19.899999999999999" thickBot="1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 ht="19.899999999999999" thickBot="1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 ht="19.899999999999999" thickBot="1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 ht="19.899999999999999" thickBot="1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 ht="19.899999999999999" thickBot="1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 ht="19.899999999999999" thickBot="1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 ht="19.899999999999999" thickBot="1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 ht="19.899999999999999" thickBot="1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 ht="19.899999999999999" thickBot="1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 ht="19.899999999999999" thickBot="1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 ht="19.899999999999999" thickBot="1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 ht="19.899999999999999" thickBot="1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 ht="19.899999999999999" thickBot="1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 ht="19.899999999999999" thickBot="1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 ht="19.899999999999999" thickBot="1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 ht="19.899999999999999" thickBot="1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 ht="19.899999999999999" thickBot="1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 ht="19.899999999999999" thickBot="1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 ht="19.899999999999999" thickBot="1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 ht="19.899999999999999" thickBot="1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 ht="19.899999999999999" thickBot="1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 ht="19.899999999999999" thickBot="1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 ht="19.899999999999999" thickBot="1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 ht="19.899999999999999" thickBot="1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 ht="19.899999999999999" thickBot="1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 ht="19.899999999999999" thickBot="1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 ht="19.899999999999999" thickBot="1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 ht="19.899999999999999" thickBot="1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 ht="19.899999999999999" thickBot="1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 ht="19.899999999999999" thickBot="1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 ht="19.899999999999999" thickBot="1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 ht="19.899999999999999" thickBot="1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 ht="19.899999999999999" thickBot="1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 ht="19.899999999999999" thickBot="1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 ht="19.899999999999999" thickBot="1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 ht="19.899999999999999" thickBot="1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 ht="19.899999999999999" thickBot="1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 ht="19.899999999999999" thickBot="1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 ht="19.899999999999999" thickBot="1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 ht="19.899999999999999" thickBot="1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 ht="19.899999999999999" thickBot="1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 ht="19.899999999999999" thickBot="1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 ht="19.899999999999999" thickBot="1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 ht="19.899999999999999" thickBot="1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 ht="19.899999999999999" thickBot="1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 ht="19.899999999999999" thickBot="1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 ht="19.899999999999999" thickBot="1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 ht="19.899999999999999" thickBot="1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 ht="19.899999999999999" thickBot="1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 ht="19.899999999999999" thickBot="1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 ht="19.899999999999999" thickBot="1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 ht="19.899999999999999" thickBot="1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 ht="19.899999999999999" thickBot="1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 ht="19.899999999999999" thickBot="1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 ht="19.899999999999999" thickBot="1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 ht="19.899999999999999" thickBot="1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 ht="19.899999999999999" thickBot="1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 ht="19.899999999999999" thickBot="1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 ht="19.899999999999999" thickBot="1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 ht="19.899999999999999" thickBot="1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 ht="19.899999999999999" thickBot="1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 ht="19.899999999999999" thickBot="1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 ht="19.899999999999999" thickBot="1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 ht="19.899999999999999" thickBot="1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 ht="19.899999999999999" thickBot="1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 ht="19.899999999999999" thickBot="1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 ht="19.899999999999999" thickBot="1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 ht="19.899999999999999" thickBot="1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 ht="19.899999999999999" thickBot="1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 ht="19.899999999999999" thickBot="1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 ht="19.899999999999999" thickBot="1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 ht="19.899999999999999" thickBot="1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 ht="19.899999999999999" thickBot="1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 ht="19.899999999999999" thickBot="1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 ht="19.899999999999999" thickBot="1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 ht="19.899999999999999" thickBot="1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 ht="19.899999999999999" thickBot="1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 ht="19.899999999999999" thickBot="1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 ht="19.899999999999999" thickBot="1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 ht="19.899999999999999" thickBot="1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 ht="19.899999999999999" thickBot="1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 ht="19.899999999999999" thickBot="1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 ht="19.899999999999999" thickBot="1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</sheetData>
  <mergeCells count="9">
    <mergeCell ref="C79:E79"/>
    <mergeCell ref="C82:K82"/>
    <mergeCell ref="C89:E89"/>
    <mergeCell ref="C1:K1"/>
    <mergeCell ref="C3:K3"/>
    <mergeCell ref="D18:E18"/>
    <mergeCell ref="C21:K21"/>
    <mergeCell ref="C48:E48"/>
    <mergeCell ref="C52:K52"/>
  </mergeCells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3:AY91"/>
  <sheetViews>
    <sheetView showGridLines="0" zoomScale="72" zoomScaleNormal="72" workbookViewId="0">
      <pane xSplit="2" ySplit="4" topLeftCell="C7" activePane="bottomRight" state="frozen"/>
      <selection pane="bottomRight" activeCell="I57" sqref="I57"/>
      <selection pane="bottomLeft"/>
      <selection pane="topRight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3.33203125" style="580" customWidth="1"/>
    <col min="4" max="4" width="10.7773437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8.109375" style="727" customWidth="1"/>
    <col min="19" max="19" width="8.44140625" style="727" customWidth="1"/>
    <col min="20" max="20" width="7.33203125" style="727" customWidth="1"/>
    <col min="21" max="21" width="9" style="727" customWidth="1"/>
    <col min="22" max="22" width="9.6640625" style="580" customWidth="1"/>
    <col min="23" max="23" width="7.77734375" style="580" customWidth="1"/>
    <col min="24" max="24" width="9" style="580" customWidth="1"/>
    <col min="25" max="25" width="9.44140625" style="580" customWidth="1"/>
    <col min="26" max="26" width="8.77734375" style="727" customWidth="1"/>
    <col min="27" max="27" width="9.5546875" style="727" customWidth="1"/>
    <col min="28" max="30" width="10.6640625" style="727" customWidth="1"/>
    <col min="31" max="32" width="11.77734375" style="580" customWidth="1"/>
    <col min="33" max="33" width="11.109375" style="727" bestFit="1" customWidth="1"/>
    <col min="34" max="34" width="11.109375" style="580" customWidth="1"/>
    <col min="35" max="35" width="9.21875" style="580"/>
    <col min="36" max="36" width="14.6640625" style="580" customWidth="1"/>
    <col min="37" max="38" width="14.77734375" style="580" customWidth="1"/>
    <col min="39" max="40" width="14.33203125" style="580" customWidth="1"/>
    <col min="41" max="41" width="14.6640625" style="580" customWidth="1"/>
    <col min="42" max="42" width="15.109375" style="580" customWidth="1"/>
    <col min="43" max="43" width="11.5546875" style="580" customWidth="1"/>
    <col min="44" max="16384" width="9.21875" style="580"/>
  </cols>
  <sheetData>
    <row r="3" spans="2:51" ht="25.15" thickBot="1">
      <c r="AJ3" s="142"/>
      <c r="AK3" s="142"/>
      <c r="AL3" s="1227" t="s">
        <v>0</v>
      </c>
      <c r="AM3" s="1227"/>
      <c r="AN3" s="1227"/>
      <c r="AO3" s="1227"/>
      <c r="AP3" s="1227"/>
    </row>
    <row r="4" spans="2:51" ht="96" customHeight="1" thickBot="1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454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713" t="s">
        <v>432</v>
      </c>
      <c r="O4" s="714" t="s">
        <v>433</v>
      </c>
      <c r="P4" s="742" t="s">
        <v>434</v>
      </c>
      <c r="Q4" s="724" t="s">
        <v>435</v>
      </c>
      <c r="R4" s="744" t="s">
        <v>436</v>
      </c>
      <c r="S4" s="713" t="s">
        <v>437</v>
      </c>
      <c r="T4" s="713" t="s">
        <v>438</v>
      </c>
      <c r="U4" s="724" t="s">
        <v>439</v>
      </c>
      <c r="V4" s="744" t="s">
        <v>440</v>
      </c>
      <c r="W4" s="713" t="s">
        <v>441</v>
      </c>
      <c r="X4" s="713" t="s">
        <v>442</v>
      </c>
      <c r="Y4" s="714" t="s">
        <v>443</v>
      </c>
      <c r="Z4" s="715" t="s">
        <v>390</v>
      </c>
      <c r="AA4" s="713" t="s">
        <v>391</v>
      </c>
      <c r="AB4" s="713" t="s">
        <v>392</v>
      </c>
      <c r="AC4" s="724" t="s">
        <v>393</v>
      </c>
      <c r="AD4" s="744" t="s">
        <v>444</v>
      </c>
      <c r="AE4" s="713" t="s">
        <v>445</v>
      </c>
      <c r="AF4" s="713" t="s">
        <v>446</v>
      </c>
      <c r="AG4" s="789" t="s">
        <v>394</v>
      </c>
      <c r="AH4" s="728"/>
      <c r="AJ4" s="142"/>
      <c r="AK4" s="143" t="s">
        <v>14</v>
      </c>
      <c r="AL4" s="143" t="s">
        <v>147</v>
      </c>
      <c r="AM4" s="143" t="s">
        <v>147</v>
      </c>
      <c r="AN4" s="143" t="s">
        <v>147</v>
      </c>
      <c r="AO4" s="143" t="s">
        <v>147</v>
      </c>
      <c r="AP4" s="143" t="s">
        <v>147</v>
      </c>
    </row>
    <row r="5" spans="2:51" ht="43.15">
      <c r="B5" s="716">
        <v>44501</v>
      </c>
      <c r="C5" s="749">
        <v>21.64</v>
      </c>
      <c r="D5" s="750">
        <v>15.132</v>
      </c>
      <c r="E5" s="751">
        <v>8.9</v>
      </c>
      <c r="F5" s="749">
        <v>3.77</v>
      </c>
      <c r="G5" s="749">
        <f>SUM(Table2523467891011101213121412151615171819[[#This Row],[Jones Creek Target (Mbopd)]:[Egwa Target (Mbopd)]])</f>
        <v>49.442</v>
      </c>
      <c r="H5" s="752">
        <v>19.367999999999999</v>
      </c>
      <c r="I5" s="752">
        <v>13.608000000000001</v>
      </c>
      <c r="J5" s="752">
        <v>0</v>
      </c>
      <c r="K5" s="752">
        <v>3.4654099999999999</v>
      </c>
      <c r="L5" s="753">
        <f t="shared" ref="L5:L44" si="0">H5+I5+J5+K5</f>
        <v>36.441409999999998</v>
      </c>
      <c r="M5" s="721">
        <v>19.75</v>
      </c>
      <c r="N5" s="765">
        <f>Table2523467891011101213121412151615171819[[#This Row],[Jones Creek Target (Mbopd)]]-Table2523467891011101213121412151615171819[[#This Row],[Jones Creek (Mbopd)]]</f>
        <v>2.272000000000002</v>
      </c>
      <c r="O5" s="723">
        <f>Table2523467891011101213121412151615171819[[#This Row],[Odidi Target (Mbopd)]]-Table2523467891011101213121412151615171819[[#This Row],[Odidi (Mbopd)]]</f>
        <v>1.5239999999999991</v>
      </c>
      <c r="P5" s="721">
        <f>Table2523467891011101213121412151615171819[[#This Row],[Batan Target (Mbopd)]]-Table2523467891011101213121412151615171819[[#This Row],[Batan (Mbopd)]]</f>
        <v>8.9</v>
      </c>
      <c r="Q5" s="747">
        <f>Table2523467891011101213121412151615171819[[#This Row],[Egwa Target (Mbopd)]]-Table2523467891011101213121412151615171819[[#This Row],[Egwa (Mbopd)]]</f>
        <v>0.30459000000000014</v>
      </c>
      <c r="R5" s="745">
        <v>5.9195000000000002</v>
      </c>
      <c r="S5" s="723">
        <v>32.270000000000003</v>
      </c>
      <c r="T5" s="723">
        <v>0</v>
      </c>
      <c r="U5" s="747">
        <v>2.96</v>
      </c>
      <c r="V5" s="746">
        <v>0.84</v>
      </c>
      <c r="W5" s="723">
        <v>0</v>
      </c>
      <c r="X5" s="723">
        <v>0</v>
      </c>
      <c r="Y5" s="721">
        <v>0</v>
      </c>
      <c r="Z5" s="746">
        <f>+Table2523467891011101213121412151615171819[[#This Row],[J/C Prod gas (MMscf)]]-Table2523467891011101213121412151615171819[[#This Row],[J/C Utilised gas (MMscf)]]</f>
        <v>5.0795000000000003</v>
      </c>
      <c r="AA5" s="723">
        <f>+Table2523467891011101213121412151615171819[[#This Row],[Odid Prod gas (MMscf)]]-Table2523467891011101213121412151615171819[[#This Row],[Gas Export (MMscf/d)]]</f>
        <v>12.520000000000003</v>
      </c>
      <c r="AB5" s="723">
        <f>+Table2523467891011101213121412151615171819[[#This Row],[Batn Prod gas (MMscf)]]-Table2523467891011101213121412151615171819[[#This Row],[Batn Utilised gas (MMscf)]]</f>
        <v>0</v>
      </c>
      <c r="AC5" s="747">
        <f>+Table2523467891011101213121412151615171819[[#This Row],[Egwa Prod gas (MMscf)]]-Table2523467891011101213121412151615171819[[#This Row],[Egwa Utilised gas (MMscf)]]</f>
        <v>2.96</v>
      </c>
      <c r="AD5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41.149500000000003</v>
      </c>
      <c r="AE5" s="723">
        <f>+Table2523467891011101213121412151615171819[[#This Row],[Gas Export (MMscf/d)]]</f>
        <v>19.75</v>
      </c>
      <c r="AF5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5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20.559500000000003</v>
      </c>
      <c r="AH5" s="142"/>
      <c r="AJ5" s="144"/>
      <c r="AK5" s="148" t="s">
        <v>148</v>
      </c>
      <c r="AL5" s="152">
        <f>B40</f>
        <v>44536</v>
      </c>
      <c r="AM5" s="152">
        <f>AL5+1</f>
        <v>44537</v>
      </c>
      <c r="AN5" s="152">
        <f>AM5+1</f>
        <v>44538</v>
      </c>
      <c r="AO5" s="152">
        <f>AN5+1</f>
        <v>44539</v>
      </c>
      <c r="AP5" s="152">
        <f>AO5+1</f>
        <v>44540</v>
      </c>
    </row>
    <row r="6" spans="2:51" ht="21.6">
      <c r="B6" s="716">
        <v>44502</v>
      </c>
      <c r="C6" s="749">
        <v>21.64</v>
      </c>
      <c r="D6" s="750">
        <v>15.132</v>
      </c>
      <c r="E6" s="751">
        <v>8.9</v>
      </c>
      <c r="F6" s="749">
        <v>3.77</v>
      </c>
      <c r="G6" s="749">
        <f>SUM(Table2523467891011101213121412151615171819[[#This Row],[Jones Creek Target (Mbopd)]:[Egwa Target (Mbopd)]])</f>
        <v>49.442</v>
      </c>
      <c r="H6" s="752">
        <v>18.472999999999999</v>
      </c>
      <c r="I6" s="752">
        <v>13.840999999999999</v>
      </c>
      <c r="J6" s="752">
        <v>0</v>
      </c>
      <c r="K6" s="752">
        <v>3.3839999999999999</v>
      </c>
      <c r="L6" s="753">
        <f t="shared" si="0"/>
        <v>35.698</v>
      </c>
      <c r="M6" s="721">
        <v>17.22</v>
      </c>
      <c r="N6" s="765">
        <f>Table2523467891011101213121412151615171819[[#This Row],[Jones Creek Target (Mbopd)]]-Table2523467891011101213121412151615171819[[#This Row],[Jones Creek (Mbopd)]]</f>
        <v>3.1670000000000016</v>
      </c>
      <c r="O6" s="723">
        <f>Table2523467891011101213121412151615171819[[#This Row],[Odidi Target (Mbopd)]]-Table2523467891011101213121412151615171819[[#This Row],[Odidi (Mbopd)]]</f>
        <v>1.2910000000000004</v>
      </c>
      <c r="P6" s="721">
        <f>Table2523467891011101213121412151615171819[[#This Row],[Batan Target (Mbopd)]]-Table2523467891011101213121412151615171819[[#This Row],[Batan (Mbopd)]]</f>
        <v>8.9</v>
      </c>
      <c r="Q6" s="747">
        <f>Table2523467891011101213121412151615171819[[#This Row],[Egwa Target (Mbopd)]]-Table2523467891011101213121412151615171819[[#This Row],[Egwa (Mbopd)]]</f>
        <v>0.38600000000000012</v>
      </c>
      <c r="R6" s="745">
        <v>5.92</v>
      </c>
      <c r="S6" s="723">
        <v>32.270000000000003</v>
      </c>
      <c r="T6" s="723">
        <v>0</v>
      </c>
      <c r="U6" s="747">
        <v>3.02</v>
      </c>
      <c r="V6" s="746">
        <v>0.84</v>
      </c>
      <c r="W6" s="723">
        <v>0</v>
      </c>
      <c r="X6" s="723">
        <v>0</v>
      </c>
      <c r="Y6" s="721">
        <v>0</v>
      </c>
      <c r="Z6" s="746">
        <f>+Table2523467891011101213121412151615171819[[#This Row],[J/C Prod gas (MMscf)]]-Table2523467891011101213121412151615171819[[#This Row],[J/C Utilised gas (MMscf)]]</f>
        <v>5.08</v>
      </c>
      <c r="AA6" s="723">
        <f>+Table2523467891011101213121412151615171819[[#This Row],[Odid Prod gas (MMscf)]]-Table2523467891011101213121412151615171819[[#This Row],[Gas Export (MMscf/d)]]</f>
        <v>15.050000000000004</v>
      </c>
      <c r="AB6" s="723">
        <f>+Table2523467891011101213121412151615171819[[#This Row],[Batn Prod gas (MMscf)]]-Table2523467891011101213121412151615171819[[#This Row],[Batn Utilised gas (MMscf)]]</f>
        <v>0</v>
      </c>
      <c r="AC6" s="747">
        <f>+Table2523467891011101213121412151615171819[[#This Row],[Egwa Prod gas (MMscf)]]-Table2523467891011101213121412151615171819[[#This Row],[Egwa Utilised gas (MMscf)]]</f>
        <v>3.02</v>
      </c>
      <c r="AD6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41.210000000000008</v>
      </c>
      <c r="AE6" s="723">
        <f>+Table2523467891011101213121412151615171819[[#This Row],[Gas Export (MMscf/d)]]</f>
        <v>17.22</v>
      </c>
      <c r="AF6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6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23.150000000000002</v>
      </c>
      <c r="AH6" s="142"/>
      <c r="AJ6" s="145" t="s">
        <v>17</v>
      </c>
      <c r="AK6" s="272">
        <v>21.64</v>
      </c>
      <c r="AL6" s="1001">
        <v>0</v>
      </c>
      <c r="AM6" s="781">
        <v>11.343</v>
      </c>
      <c r="AN6" s="1001">
        <v>20.977</v>
      </c>
      <c r="AO6" s="781">
        <v>18.202999999999999</v>
      </c>
      <c r="AP6" s="1001">
        <v>18.027999999999999</v>
      </c>
    </row>
    <row r="7" spans="2:51" ht="21.6">
      <c r="B7" s="716">
        <v>44503</v>
      </c>
      <c r="C7" s="749">
        <v>21.64</v>
      </c>
      <c r="D7" s="750">
        <v>15.132</v>
      </c>
      <c r="E7" s="751">
        <v>8.9</v>
      </c>
      <c r="F7" s="749">
        <v>3.77</v>
      </c>
      <c r="G7" s="749">
        <f>SUM(Table2523467891011101213121412151615171819[[#This Row],[Jones Creek Target (Mbopd)]:[Egwa Target (Mbopd)]])</f>
        <v>49.442</v>
      </c>
      <c r="H7" s="752">
        <v>18.982659999999999</v>
      </c>
      <c r="I7" s="752">
        <v>13.042999999999999</v>
      </c>
      <c r="J7" s="752">
        <v>0</v>
      </c>
      <c r="K7" s="754">
        <v>3.4289000000000001</v>
      </c>
      <c r="L7" s="753">
        <f t="shared" si="0"/>
        <v>35.454560000000001</v>
      </c>
      <c r="M7" s="721">
        <v>15.853</v>
      </c>
      <c r="N7" s="765">
        <f>Table2523467891011101213121412151615171819[[#This Row],[Jones Creek Target (Mbopd)]]-Table2523467891011101213121412151615171819[[#This Row],[Jones Creek (Mbopd)]]</f>
        <v>2.6573400000000014</v>
      </c>
      <c r="O7" s="723">
        <f>Table2523467891011101213121412151615171819[[#This Row],[Odidi Target (Mbopd)]]-Table2523467891011101213121412151615171819[[#This Row],[Odidi (Mbopd)]]</f>
        <v>2.0890000000000004</v>
      </c>
      <c r="P7" s="721">
        <f>Table2523467891011101213121412151615171819[[#This Row],[Batan Target (Mbopd)]]-Table2523467891011101213121412151615171819[[#This Row],[Batan (Mbopd)]]</f>
        <v>8.9</v>
      </c>
      <c r="Q7" s="747">
        <f>Table2523467891011101213121412151615171819[[#This Row],[Egwa Target (Mbopd)]]-Table2523467891011101213121412151615171819[[#This Row],[Egwa (Mbopd)]]</f>
        <v>0.34109999999999996</v>
      </c>
      <c r="R7" s="745">
        <v>5.92</v>
      </c>
      <c r="S7" s="723">
        <v>32.270000000000003</v>
      </c>
      <c r="T7" s="723">
        <v>0</v>
      </c>
      <c r="U7" s="747">
        <v>3.04</v>
      </c>
      <c r="V7" s="746">
        <v>0.84</v>
      </c>
      <c r="W7" s="723">
        <v>0</v>
      </c>
      <c r="X7" s="723">
        <v>0</v>
      </c>
      <c r="Y7" s="721">
        <v>0</v>
      </c>
      <c r="Z7" s="746">
        <f>+Table2523467891011101213121412151615171819[[#This Row],[J/C Prod gas (MMscf)]]-Table2523467891011101213121412151615171819[[#This Row],[J/C Utilised gas (MMscf)]]</f>
        <v>5.08</v>
      </c>
      <c r="AA7" s="723">
        <f>+Table2523467891011101213121412151615171819[[#This Row],[Odid Prod gas (MMscf)]]-Table2523467891011101213121412151615171819[[#This Row],[Gas Export (MMscf/d)]]</f>
        <v>16.417000000000002</v>
      </c>
      <c r="AB7" s="723">
        <f>+Table2523467891011101213121412151615171819[[#This Row],[Batn Prod gas (MMscf)]]-Table2523467891011101213121412151615171819[[#This Row],[Batn Utilised gas (MMscf)]]</f>
        <v>0</v>
      </c>
      <c r="AC7" s="747">
        <f>+Table2523467891011101213121412151615171819[[#This Row],[Egwa Prod gas (MMscf)]]-Table2523467891011101213121412151615171819[[#This Row],[Egwa Utilised gas (MMscf)]]</f>
        <v>3.04</v>
      </c>
      <c r="AD7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41.230000000000004</v>
      </c>
      <c r="AE7" s="723">
        <f>+Table2523467891011101213121412151615171819[[#This Row],[Gas Export (MMscf/d)]]</f>
        <v>15.853</v>
      </c>
      <c r="AF7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7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24.536999999999999</v>
      </c>
      <c r="AH7" s="142"/>
      <c r="AJ7" s="145" t="s">
        <v>19</v>
      </c>
      <c r="AK7" s="272">
        <v>15.14</v>
      </c>
      <c r="AL7" s="1001">
        <v>10.88</v>
      </c>
      <c r="AM7" s="781">
        <v>10.244999999999999</v>
      </c>
      <c r="AN7" s="1001">
        <v>10.287000000000001</v>
      </c>
      <c r="AO7" s="781">
        <v>6.3280000000000003</v>
      </c>
      <c r="AP7" s="1001">
        <v>0</v>
      </c>
    </row>
    <row r="8" spans="2:51" ht="21.6">
      <c r="B8" s="716">
        <v>44504</v>
      </c>
      <c r="C8" s="749">
        <v>21.64</v>
      </c>
      <c r="D8" s="750">
        <v>15.132</v>
      </c>
      <c r="E8" s="751">
        <v>8.9</v>
      </c>
      <c r="F8" s="749">
        <v>3.77</v>
      </c>
      <c r="G8" s="749">
        <f>SUM(Table2523467891011101213121412151615171819[[#This Row],[Jones Creek Target (Mbopd)]:[Egwa Target (Mbopd)]])</f>
        <v>49.442</v>
      </c>
      <c r="H8" s="752">
        <v>19.226980000000001</v>
      </c>
      <c r="I8" s="752">
        <v>11.717000000000001</v>
      </c>
      <c r="J8" s="752">
        <v>0</v>
      </c>
      <c r="K8" s="752">
        <v>3.4418700000000002</v>
      </c>
      <c r="L8" s="753">
        <f t="shared" si="0"/>
        <v>34.385850000000005</v>
      </c>
      <c r="M8" s="721">
        <v>15.497</v>
      </c>
      <c r="N8" s="765">
        <f>Table2523467891011101213121412151615171819[[#This Row],[Jones Creek Target (Mbopd)]]-Table2523467891011101213121412151615171819[[#This Row],[Jones Creek (Mbopd)]]</f>
        <v>2.4130199999999995</v>
      </c>
      <c r="O8" s="723">
        <f>Table2523467891011101213121412151615171819[[#This Row],[Odidi Target (Mbopd)]]-Table2523467891011101213121412151615171819[[#This Row],[Odidi (Mbopd)]]</f>
        <v>3.4149999999999991</v>
      </c>
      <c r="P8" s="721">
        <f>Table2523467891011101213121412151615171819[[#This Row],[Batan Target (Mbopd)]]-Table2523467891011101213121412151615171819[[#This Row],[Batan (Mbopd)]]</f>
        <v>8.9</v>
      </c>
      <c r="Q8" s="747">
        <f>Table2523467891011101213121412151615171819[[#This Row],[Egwa Target (Mbopd)]]-Table2523467891011101213121412151615171819[[#This Row],[Egwa (Mbopd)]]</f>
        <v>0.32812999999999981</v>
      </c>
      <c r="R8" s="745">
        <v>5.92</v>
      </c>
      <c r="S8" s="723">
        <v>32.270000000000003</v>
      </c>
      <c r="T8" s="723">
        <v>0</v>
      </c>
      <c r="U8" s="747">
        <v>3.08</v>
      </c>
      <c r="V8" s="746">
        <v>0.84</v>
      </c>
      <c r="W8" s="723">
        <v>0</v>
      </c>
      <c r="X8" s="723">
        <v>0</v>
      </c>
      <c r="Y8" s="721">
        <v>0</v>
      </c>
      <c r="Z8" s="746">
        <f>+Table2523467891011101213121412151615171819[[#This Row],[J/C Prod gas (MMscf)]]-Table2523467891011101213121412151615171819[[#This Row],[J/C Utilised gas (MMscf)]]</f>
        <v>5.08</v>
      </c>
      <c r="AA8" s="723">
        <f>+Table2523467891011101213121412151615171819[[#This Row],[Odid Prod gas (MMscf)]]-Table2523467891011101213121412151615171819[[#This Row],[Gas Export (MMscf/d)]]</f>
        <v>16.773000000000003</v>
      </c>
      <c r="AB8" s="723">
        <f>+Table2523467891011101213121412151615171819[[#This Row],[Batn Prod gas (MMscf)]]-Table2523467891011101213121412151615171819[[#This Row],[Batn Utilised gas (MMscf)]]</f>
        <v>0</v>
      </c>
      <c r="AC8" s="747">
        <f>+Table2523467891011101213121412151615171819[[#This Row],[Egwa Prod gas (MMscf)]]-Table2523467891011101213121412151615171819[[#This Row],[Egwa Utilised gas (MMscf)]]</f>
        <v>3.08</v>
      </c>
      <c r="AD8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41.27</v>
      </c>
      <c r="AE8" s="723">
        <f>+Table2523467891011101213121412151615171819[[#This Row],[Gas Export (MMscf/d)]]</f>
        <v>15.497</v>
      </c>
      <c r="AF8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8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24.933</v>
      </c>
      <c r="AH8" s="142"/>
      <c r="AJ8" s="145" t="s">
        <v>16</v>
      </c>
      <c r="AK8" s="272">
        <v>8.9</v>
      </c>
      <c r="AL8" s="1001">
        <v>3.7709999999999999</v>
      </c>
      <c r="AM8" s="781">
        <v>3.4049999999999998</v>
      </c>
      <c r="AN8" s="1001">
        <v>4.8019999999999996</v>
      </c>
      <c r="AO8" s="781">
        <v>4.9390000000000001</v>
      </c>
      <c r="AP8" s="1001">
        <v>4.9390000000000001</v>
      </c>
    </row>
    <row r="9" spans="2:51" ht="21.6">
      <c r="B9" s="716">
        <v>44505</v>
      </c>
      <c r="C9" s="749">
        <v>21.64</v>
      </c>
      <c r="D9" s="750">
        <v>15.132</v>
      </c>
      <c r="E9" s="751">
        <v>8.9</v>
      </c>
      <c r="F9" s="749">
        <v>3.77</v>
      </c>
      <c r="G9" s="749">
        <f>SUM(Table2523467891011101213121412151615171819[[#This Row],[Jones Creek Target (Mbopd)]:[Egwa Target (Mbopd)]])</f>
        <v>49.442</v>
      </c>
      <c r="H9" s="752">
        <v>19.094999999999999</v>
      </c>
      <c r="I9" s="752">
        <v>13.127000000000001</v>
      </c>
      <c r="J9" s="752">
        <v>0</v>
      </c>
      <c r="K9" s="754">
        <v>3.4289999999999998</v>
      </c>
      <c r="L9" s="753">
        <f t="shared" si="0"/>
        <v>35.651000000000003</v>
      </c>
      <c r="M9" s="721">
        <v>16.068000000000001</v>
      </c>
      <c r="N9" s="765">
        <f>Table2523467891011101213121412151615171819[[#This Row],[Jones Creek Target (Mbopd)]]-Table2523467891011101213121412151615171819[[#This Row],[Jones Creek (Mbopd)]]</f>
        <v>2.5450000000000017</v>
      </c>
      <c r="O9" s="723">
        <f>Table2523467891011101213121412151615171819[[#This Row],[Odidi Target (Mbopd)]]-Table2523467891011101213121412151615171819[[#This Row],[Odidi (Mbopd)]]</f>
        <v>2.004999999999999</v>
      </c>
      <c r="P9" s="721">
        <f>Table2523467891011101213121412151615171819[[#This Row],[Batan Target (Mbopd)]]-Table2523467891011101213121412151615171819[[#This Row],[Batan (Mbopd)]]</f>
        <v>8.9</v>
      </c>
      <c r="Q9" s="747">
        <f>Table2523467891011101213121412151615171819[[#This Row],[Egwa Target (Mbopd)]]-Table2523467891011101213121412151615171819[[#This Row],[Egwa (Mbopd)]]</f>
        <v>0.34100000000000019</v>
      </c>
      <c r="R9" s="745">
        <v>5.92</v>
      </c>
      <c r="S9" s="723">
        <v>33.049999999999997</v>
      </c>
      <c r="T9" s="723">
        <v>0</v>
      </c>
      <c r="U9" s="747">
        <v>3.29</v>
      </c>
      <c r="V9" s="746">
        <v>0.84240000000000004</v>
      </c>
      <c r="W9" s="723">
        <v>0</v>
      </c>
      <c r="X9" s="723">
        <v>0</v>
      </c>
      <c r="Y9" s="721">
        <v>0</v>
      </c>
      <c r="Z9" s="746">
        <f>+Table2523467891011101213121412151615171819[[#This Row],[J/C Prod gas (MMscf)]]-Table2523467891011101213121412151615171819[[#This Row],[J/C Utilised gas (MMscf)]]</f>
        <v>5.0776000000000003</v>
      </c>
      <c r="AA9" s="723">
        <f>+Table2523467891011101213121412151615171819[[#This Row],[Odid Prod gas (MMscf)]]-Table2523467891011101213121412151615171819[[#This Row],[Gas Export (MMscf/d)]]</f>
        <v>16.981999999999996</v>
      </c>
      <c r="AB9" s="723">
        <f>+Table2523467891011101213121412151615171819[[#This Row],[Batn Prod gas (MMscf)]]-Table2523467891011101213121412151615171819[[#This Row],[Batn Utilised gas (MMscf)]]</f>
        <v>0</v>
      </c>
      <c r="AC9" s="747">
        <f>+Table2523467891011101213121412151615171819[[#This Row],[Egwa Prod gas (MMscf)]]-Table2523467891011101213121412151615171819[[#This Row],[Egwa Utilised gas (MMscf)]]</f>
        <v>3.29</v>
      </c>
      <c r="AD9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42.26</v>
      </c>
      <c r="AE9" s="723">
        <f>+Table2523467891011101213121412151615171819[[#This Row],[Gas Export (MMscf/d)]]</f>
        <v>16.068000000000001</v>
      </c>
      <c r="AF9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0.84240000000000004</v>
      </c>
      <c r="AG9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25.349599999999995</v>
      </c>
      <c r="AH9" s="142"/>
      <c r="AJ9" s="145" t="s">
        <v>18</v>
      </c>
      <c r="AK9" s="273">
        <v>3.77</v>
      </c>
      <c r="AL9" s="1001">
        <v>0</v>
      </c>
      <c r="AM9" s="781">
        <v>1.615</v>
      </c>
      <c r="AN9" s="1001">
        <v>3.5819999999999999</v>
      </c>
      <c r="AO9" s="781">
        <v>3.452</v>
      </c>
      <c r="AP9" s="1001">
        <v>3.3759999999999999</v>
      </c>
    </row>
    <row r="10" spans="2:51" ht="21.6">
      <c r="B10" s="716">
        <v>44506</v>
      </c>
      <c r="C10" s="749">
        <v>21.64</v>
      </c>
      <c r="D10" s="750">
        <v>15.132</v>
      </c>
      <c r="E10" s="751">
        <v>8.9</v>
      </c>
      <c r="F10" s="749">
        <v>3.77</v>
      </c>
      <c r="G10" s="749">
        <f>SUM(Table2523467891011101213121412151615171819[[#This Row],[Jones Creek Target (Mbopd)]:[Egwa Target (Mbopd)]])</f>
        <v>49.442</v>
      </c>
      <c r="H10" s="752">
        <v>18</v>
      </c>
      <c r="I10" s="752">
        <v>12.869</v>
      </c>
      <c r="J10" s="752">
        <v>0</v>
      </c>
      <c r="K10" s="752">
        <v>3.403</v>
      </c>
      <c r="L10" s="753">
        <f t="shared" si="0"/>
        <v>34.271999999999998</v>
      </c>
      <c r="M10" s="721">
        <v>17.141999999999999</v>
      </c>
      <c r="N10" s="765">
        <f>Table2523467891011101213121412151615171819[[#This Row],[Jones Creek Target (Mbopd)]]-Table2523467891011101213121412151615171819[[#This Row],[Jones Creek (Mbopd)]]</f>
        <v>3.6400000000000006</v>
      </c>
      <c r="O10" s="723">
        <f>Table2523467891011101213121412151615171819[[#This Row],[Odidi Target (Mbopd)]]-Table2523467891011101213121412151615171819[[#This Row],[Odidi (Mbopd)]]</f>
        <v>2.2629999999999999</v>
      </c>
      <c r="P10" s="721">
        <f>Table2523467891011101213121412151615171819[[#This Row],[Batan Target (Mbopd)]]-Table2523467891011101213121412151615171819[[#This Row],[Batan (Mbopd)]]</f>
        <v>8.9</v>
      </c>
      <c r="Q10" s="747">
        <f>Table2523467891011101213121412151615171819[[#This Row],[Egwa Target (Mbopd)]]-Table2523467891011101213121412151615171819[[#This Row],[Egwa (Mbopd)]]</f>
        <v>0.36699999999999999</v>
      </c>
      <c r="R10" s="745">
        <v>6.86</v>
      </c>
      <c r="S10" s="723">
        <v>35.82</v>
      </c>
      <c r="T10" s="723">
        <v>0</v>
      </c>
      <c r="U10" s="747">
        <v>3.29</v>
      </c>
      <c r="V10" s="746">
        <v>0.84</v>
      </c>
      <c r="W10" s="723">
        <v>0</v>
      </c>
      <c r="X10" s="723">
        <v>0</v>
      </c>
      <c r="Y10" s="721">
        <v>0</v>
      </c>
      <c r="Z10" s="746">
        <f>+Table2523467891011101213121412151615171819[[#This Row],[J/C Prod gas (MMscf)]]-Table2523467891011101213121412151615171819[[#This Row],[J/C Utilised gas (MMscf)]]</f>
        <v>6.0200000000000005</v>
      </c>
      <c r="AA10" s="723">
        <f>+Table2523467891011101213121412151615171819[[#This Row],[Odid Prod gas (MMscf)]]-Table2523467891011101213121412151615171819[[#This Row],[Gas Export (MMscf/d)]]</f>
        <v>18.678000000000001</v>
      </c>
      <c r="AB10" s="723">
        <f>+Table2523467891011101213121412151615171819[[#This Row],[Batn Prod gas (MMscf)]]-Table2523467891011101213121412151615171819[[#This Row],[Batn Utilised gas (MMscf)]]</f>
        <v>0</v>
      </c>
      <c r="AC10" s="747">
        <f>+Table2523467891011101213121412151615171819[[#This Row],[Egwa Prod gas (MMscf)]]-Table2523467891011101213121412151615171819[[#This Row],[Egwa Utilised gas (MMscf)]]</f>
        <v>3.29</v>
      </c>
      <c r="AD10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45.97</v>
      </c>
      <c r="AE10" s="723">
        <f>+Table2523467891011101213121412151615171819[[#This Row],[Gas Export (MMscf/d)]]</f>
        <v>17.141999999999999</v>
      </c>
      <c r="AF10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0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27.988</v>
      </c>
      <c r="AH10" s="142"/>
      <c r="AJ10" s="145" t="s">
        <v>447</v>
      </c>
      <c r="AK10" s="997">
        <f>SUM(AK6:AK9)</f>
        <v>49.45</v>
      </c>
      <c r="AL10" s="1002">
        <v>14.651</v>
      </c>
      <c r="AM10" s="1003">
        <v>26.608000000000001</v>
      </c>
      <c r="AN10" s="1002">
        <v>39.648000000000003</v>
      </c>
      <c r="AO10" s="1003">
        <v>32.921999999999997</v>
      </c>
      <c r="AP10" s="1002">
        <v>26.343</v>
      </c>
    </row>
    <row r="11" spans="2:51" ht="21.6">
      <c r="B11" s="716">
        <v>44507</v>
      </c>
      <c r="C11" s="749">
        <v>21.64</v>
      </c>
      <c r="D11" s="750">
        <v>15.132</v>
      </c>
      <c r="E11" s="751">
        <v>8.9</v>
      </c>
      <c r="F11" s="749">
        <v>3.77</v>
      </c>
      <c r="G11" s="749">
        <f>SUM(Table2523467891011101213121412151615171819[[#This Row],[Jones Creek Target (Mbopd)]:[Egwa Target (Mbopd)]])</f>
        <v>49.442</v>
      </c>
      <c r="H11" s="752">
        <v>18.559999999999999</v>
      </c>
      <c r="I11" s="752">
        <v>12.606</v>
      </c>
      <c r="J11" s="752">
        <v>0</v>
      </c>
      <c r="K11" s="754">
        <v>3.371</v>
      </c>
      <c r="L11" s="753">
        <f t="shared" si="0"/>
        <v>34.536999999999999</v>
      </c>
      <c r="M11" s="721">
        <v>14.04</v>
      </c>
      <c r="N11" s="765">
        <f>Table2523467891011101213121412151615171819[[#This Row],[Jones Creek Target (Mbopd)]]-Table2523467891011101213121412151615171819[[#This Row],[Jones Creek (Mbopd)]]</f>
        <v>3.0800000000000018</v>
      </c>
      <c r="O11" s="723">
        <f>Table2523467891011101213121412151615171819[[#This Row],[Odidi Target (Mbopd)]]-Table2523467891011101213121412151615171819[[#This Row],[Odidi (Mbopd)]]</f>
        <v>2.5259999999999998</v>
      </c>
      <c r="P11" s="721">
        <f>Table2523467891011101213121412151615171819[[#This Row],[Batan Target (Mbopd)]]-Table2523467891011101213121412151615171819[[#This Row],[Batan (Mbopd)]]</f>
        <v>8.9</v>
      </c>
      <c r="Q11" s="747">
        <f>Table2523467891011101213121412151615171819[[#This Row],[Egwa Target (Mbopd)]]-Table2523467891011101213121412151615171819[[#This Row],[Egwa (Mbopd)]]</f>
        <v>0.39900000000000002</v>
      </c>
      <c r="R11" s="745">
        <v>5.69</v>
      </c>
      <c r="S11" s="723">
        <v>31.44</v>
      </c>
      <c r="T11" s="723">
        <v>0</v>
      </c>
      <c r="U11" s="747">
        <v>3.13</v>
      </c>
      <c r="V11" s="746">
        <v>0.84</v>
      </c>
      <c r="W11" s="723">
        <v>0</v>
      </c>
      <c r="X11" s="723">
        <v>0</v>
      </c>
      <c r="Y11" s="721">
        <v>0</v>
      </c>
      <c r="Z11" s="746">
        <f>+Table2523467891011101213121412151615171819[[#This Row],[J/C Prod gas (MMscf)]]-Table2523467891011101213121412151615171819[[#This Row],[J/C Utilised gas (MMscf)]]</f>
        <v>4.8500000000000005</v>
      </c>
      <c r="AA11" s="723">
        <f>+Table2523467891011101213121412151615171819[[#This Row],[Odid Prod gas (MMscf)]]-Table2523467891011101213121412151615171819[[#This Row],[Gas Export (MMscf/d)]]</f>
        <v>17.400000000000002</v>
      </c>
      <c r="AB11" s="723">
        <f>+Table2523467891011101213121412151615171819[[#This Row],[Batn Prod gas (MMscf)]]-Table2523467891011101213121412151615171819[[#This Row],[Batn Utilised gas (MMscf)]]</f>
        <v>0</v>
      </c>
      <c r="AC11" s="747">
        <f>+Table2523467891011101213121412151615171819[[#This Row],[Egwa Prod gas (MMscf)]]-Table2523467891011101213121412151615171819[[#This Row],[Egwa Utilised gas (MMscf)]]</f>
        <v>3.13</v>
      </c>
      <c r="AD11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40.260000000000005</v>
      </c>
      <c r="AE11" s="723">
        <f>+Table2523467891011101213121412151615171819[[#This Row],[Gas Export (MMscf/d)]]</f>
        <v>14.04</v>
      </c>
      <c r="AF11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1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25.380000000000003</v>
      </c>
      <c r="AH11" s="142"/>
      <c r="AI11" s="730"/>
      <c r="AJ11" s="145" t="s">
        <v>448</v>
      </c>
      <c r="AK11" s="273">
        <v>31</v>
      </c>
      <c r="AL11" s="1000">
        <v>6.86</v>
      </c>
      <c r="AM11" s="721">
        <v>8.01</v>
      </c>
      <c r="AN11" s="1000">
        <v>0</v>
      </c>
      <c r="AO11" s="721">
        <v>0</v>
      </c>
      <c r="AP11" s="1000">
        <v>0</v>
      </c>
    </row>
    <row r="12" spans="2:51" ht="21.6">
      <c r="B12" s="716">
        <v>44508</v>
      </c>
      <c r="C12" s="749">
        <v>21.64</v>
      </c>
      <c r="D12" s="750">
        <v>15.132</v>
      </c>
      <c r="E12" s="751">
        <v>8.9</v>
      </c>
      <c r="F12" s="749">
        <v>3.77</v>
      </c>
      <c r="G12" s="749">
        <f>SUM(Table2523467891011101213121412151615171819[[#This Row],[Jones Creek Target (Mbopd)]:[Egwa Target (Mbopd)]])</f>
        <v>49.442</v>
      </c>
      <c r="H12" s="752">
        <v>18.986000000000001</v>
      </c>
      <c r="I12" s="754">
        <v>11.55</v>
      </c>
      <c r="J12" s="754">
        <v>3.4889999999999999</v>
      </c>
      <c r="K12" s="754">
        <v>3.37</v>
      </c>
      <c r="L12" s="753">
        <f t="shared" si="0"/>
        <v>37.394999999999996</v>
      </c>
      <c r="M12" s="721">
        <v>16.759</v>
      </c>
      <c r="N12" s="765">
        <f>Table2523467891011101213121412151615171819[[#This Row],[Jones Creek Target (Mbopd)]]-Table2523467891011101213121412151615171819[[#This Row],[Jones Creek (Mbopd)]]</f>
        <v>2.6539999999999999</v>
      </c>
      <c r="O12" s="723">
        <f>Table2523467891011101213121412151615171819[[#This Row],[Odidi Target (Mbopd)]]-Table2523467891011101213121412151615171819[[#This Row],[Odidi (Mbopd)]]</f>
        <v>3.581999999999999</v>
      </c>
      <c r="P12" s="721">
        <f>Table2523467891011101213121412151615171819[[#This Row],[Batan Target (Mbopd)]]-Table2523467891011101213121412151615171819[[#This Row],[Batan (Mbopd)]]</f>
        <v>5.4110000000000005</v>
      </c>
      <c r="Q12" s="747">
        <f>Table2523467891011101213121412151615171819[[#This Row],[Egwa Target (Mbopd)]]-Table2523467891011101213121412151615171819[[#This Row],[Egwa (Mbopd)]]</f>
        <v>0.39999999999999991</v>
      </c>
      <c r="R12" s="745">
        <v>6.5307000000000004</v>
      </c>
      <c r="S12" s="723">
        <v>31.42</v>
      </c>
      <c r="T12" s="723">
        <v>0</v>
      </c>
      <c r="U12" s="747">
        <v>3.18</v>
      </c>
      <c r="V12" s="746">
        <v>0.84</v>
      </c>
      <c r="W12" s="723">
        <v>0</v>
      </c>
      <c r="X12" s="723">
        <v>0</v>
      </c>
      <c r="Y12" s="721">
        <v>0</v>
      </c>
      <c r="Z12" s="746">
        <f>+Table2523467891011101213121412151615171819[[#This Row],[J/C Prod gas (MMscf)]]-Table2523467891011101213121412151615171819[[#This Row],[J/C Utilised gas (MMscf)]]</f>
        <v>5.6907000000000005</v>
      </c>
      <c r="AA12" s="723">
        <f>+Table2523467891011101213121412151615171819[[#This Row],[Odid Prod gas (MMscf)]]-Table2523467891011101213121412151615171819[[#This Row],[Gas Export (MMscf/d)]]</f>
        <v>14.661000000000001</v>
      </c>
      <c r="AB12" s="723">
        <f>+Table2523467891011101213121412151615171819[[#This Row],[Batn Prod gas (MMscf)]]-Table2523467891011101213121412151615171819[[#This Row],[Batn Utilised gas (MMscf)]]</f>
        <v>0</v>
      </c>
      <c r="AC12" s="747">
        <f>+Table2523467891011101213121412151615171819[[#This Row],[Egwa Prod gas (MMscf)]]-Table2523467891011101213121412151615171819[[#This Row],[Egwa Utilised gas (MMscf)]]</f>
        <v>3.18</v>
      </c>
      <c r="AD12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41.130700000000004</v>
      </c>
      <c r="AE12" s="723">
        <f>+Table2523467891011101213121412151615171819[[#This Row],[Gas Export (MMscf/d)]]</f>
        <v>16.759</v>
      </c>
      <c r="AF12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2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23.531700000000001</v>
      </c>
      <c r="AH12" s="142"/>
      <c r="AI12" s="729"/>
      <c r="AJ12" s="763"/>
      <c r="AK12" s="762"/>
      <c r="AL12" s="762"/>
      <c r="AM12" s="762"/>
      <c r="AN12" s="762"/>
      <c r="AO12" s="762"/>
      <c r="AP12" s="762"/>
      <c r="AS12" s="454"/>
      <c r="AT12" s="454"/>
      <c r="AU12" s="454"/>
      <c r="AV12" s="454"/>
      <c r="AW12" s="454"/>
      <c r="AX12" s="454"/>
      <c r="AY12" s="454"/>
    </row>
    <row r="13" spans="2:51" ht="21.6">
      <c r="B13" s="716">
        <v>44509</v>
      </c>
      <c r="C13" s="749">
        <v>21.64</v>
      </c>
      <c r="D13" s="750">
        <v>15.132</v>
      </c>
      <c r="E13" s="751">
        <v>8.9</v>
      </c>
      <c r="F13" s="749">
        <v>3.77</v>
      </c>
      <c r="G13" s="749">
        <f>SUM(Table2523467891011101213121412151615171819[[#This Row],[Jones Creek Target (Mbopd)]:[Egwa Target (Mbopd)]])</f>
        <v>49.442</v>
      </c>
      <c r="H13" s="752">
        <v>18.111000000000001</v>
      </c>
      <c r="I13" s="752">
        <v>12.614000000000001</v>
      </c>
      <c r="J13" s="752">
        <v>0</v>
      </c>
      <c r="K13" s="754">
        <v>3.3639999999999999</v>
      </c>
      <c r="L13" s="753">
        <f t="shared" si="0"/>
        <v>34.088999999999999</v>
      </c>
      <c r="M13" s="721">
        <v>16.431999999999999</v>
      </c>
      <c r="N13" s="765">
        <f>Table2523467891011101213121412151615171819[[#This Row],[Jones Creek Target (Mbopd)]]-Table2523467891011101213121412151615171819[[#This Row],[Jones Creek (Mbopd)]]</f>
        <v>3.5289999999999999</v>
      </c>
      <c r="O13" s="723">
        <f>Table2523467891011101213121412151615171819[[#This Row],[Odidi Target (Mbopd)]]-Table2523467891011101213121412151615171819[[#This Row],[Odidi (Mbopd)]]</f>
        <v>2.5179999999999989</v>
      </c>
      <c r="P13" s="721">
        <f>Table2523467891011101213121412151615171819[[#This Row],[Batan Target (Mbopd)]]-Table2523467891011101213121412151615171819[[#This Row],[Batan (Mbopd)]]</f>
        <v>8.9</v>
      </c>
      <c r="Q13" s="747">
        <f>Table2523467891011101213121412151615171819[[#This Row],[Egwa Target (Mbopd)]]-Table2523467891011101213121412151615171819[[#This Row],[Egwa (Mbopd)]]</f>
        <v>0.40600000000000014</v>
      </c>
      <c r="R13" s="745">
        <v>6.53</v>
      </c>
      <c r="S13" s="723">
        <v>35.44</v>
      </c>
      <c r="T13" s="723">
        <v>0</v>
      </c>
      <c r="U13" s="747">
        <v>3.24</v>
      </c>
      <c r="V13" s="746">
        <v>0.84</v>
      </c>
      <c r="W13" s="723">
        <v>0</v>
      </c>
      <c r="X13" s="723">
        <v>0</v>
      </c>
      <c r="Y13" s="721">
        <v>0</v>
      </c>
      <c r="Z13" s="746">
        <f>+Table2523467891011101213121412151615171819[[#This Row],[J/C Prod gas (MMscf)]]-Table2523467891011101213121412151615171819[[#This Row],[J/C Utilised gas (MMscf)]]</f>
        <v>5.69</v>
      </c>
      <c r="AA13" s="723">
        <f>+Table2523467891011101213121412151615171819[[#This Row],[Odid Prod gas (MMscf)]]-Table2523467891011101213121412151615171819[[#This Row],[Gas Export (MMscf/d)]]</f>
        <v>19.007999999999999</v>
      </c>
      <c r="AB13" s="723">
        <f>+Table2523467891011101213121412151615171819[[#This Row],[Batn Prod gas (MMscf)]]-Table2523467891011101213121412151615171819[[#This Row],[Batn Utilised gas (MMscf)]]</f>
        <v>0</v>
      </c>
      <c r="AC13" s="747">
        <f>+Table2523467891011101213121412151615171819[[#This Row],[Egwa Prod gas (MMscf)]]-Table2523467891011101213121412151615171819[[#This Row],[Egwa Utilised gas (MMscf)]]</f>
        <v>3.24</v>
      </c>
      <c r="AD13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45.21</v>
      </c>
      <c r="AE13" s="723">
        <f>+Table2523467891011101213121412151615171819[[#This Row],[Gas Export (MMscf/d)]]</f>
        <v>16.431999999999999</v>
      </c>
      <c r="AF13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3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27.938000000000002</v>
      </c>
      <c r="AH13" s="142"/>
      <c r="AI13" s="729"/>
      <c r="AJ13" s="763"/>
      <c r="AK13" s="762"/>
      <c r="AL13" s="762"/>
      <c r="AM13" s="762"/>
      <c r="AN13" s="762"/>
      <c r="AO13" s="762"/>
      <c r="AP13" s="762"/>
      <c r="AS13" s="454"/>
      <c r="AT13" s="454"/>
      <c r="AU13" s="454"/>
      <c r="AV13" s="454"/>
      <c r="AW13" s="454"/>
      <c r="AX13" s="454"/>
      <c r="AY13" s="454"/>
    </row>
    <row r="14" spans="2:51" ht="21.6">
      <c r="B14" s="716">
        <v>44510</v>
      </c>
      <c r="C14" s="749">
        <v>21.64</v>
      </c>
      <c r="D14" s="750">
        <v>15.132</v>
      </c>
      <c r="E14" s="751">
        <v>8.9</v>
      </c>
      <c r="F14" s="749">
        <v>3.77</v>
      </c>
      <c r="G14" s="749">
        <f>SUM(Table2523467891011101213121412151615171819[[#This Row],[Jones Creek Target (Mbopd)]:[Egwa Target (Mbopd)]])</f>
        <v>49.442</v>
      </c>
      <c r="H14" s="752">
        <v>19.239000000000001</v>
      </c>
      <c r="I14" s="752">
        <v>13.118</v>
      </c>
      <c r="J14" s="752">
        <v>0</v>
      </c>
      <c r="K14" s="754">
        <v>3.36</v>
      </c>
      <c r="L14" s="753">
        <f t="shared" si="0"/>
        <v>35.716999999999999</v>
      </c>
      <c r="M14" s="721">
        <v>15.885999999999999</v>
      </c>
      <c r="N14" s="765">
        <f>Table2523467891011101213121412151615171819[[#This Row],[Jones Creek Target (Mbopd)]]-Table2523467891011101213121412151615171819[[#This Row],[Jones Creek (Mbopd)]]</f>
        <v>2.4009999999999998</v>
      </c>
      <c r="O14" s="723">
        <f>Table2523467891011101213121412151615171819[[#This Row],[Odidi Target (Mbopd)]]-Table2523467891011101213121412151615171819[[#This Row],[Odidi (Mbopd)]]</f>
        <v>2.0139999999999993</v>
      </c>
      <c r="P14" s="721">
        <f>Table2523467891011101213121412151615171819[[#This Row],[Batan Target (Mbopd)]]-Table2523467891011101213121412151615171819[[#This Row],[Batan (Mbopd)]]</f>
        <v>8.9</v>
      </c>
      <c r="Q14" s="747">
        <f>Table2523467891011101213121412151615171819[[#This Row],[Egwa Target (Mbopd)]]-Table2523467891011101213121412151615171819[[#This Row],[Egwa (Mbopd)]]</f>
        <v>0.41000000000000014</v>
      </c>
      <c r="R14" s="745">
        <v>6.53</v>
      </c>
      <c r="S14" s="723">
        <v>37.78</v>
      </c>
      <c r="T14" s="723">
        <v>0</v>
      </c>
      <c r="U14" s="747">
        <v>3.3</v>
      </c>
      <c r="V14" s="746">
        <v>0.84</v>
      </c>
      <c r="W14" s="723">
        <v>0</v>
      </c>
      <c r="X14" s="723">
        <v>0</v>
      </c>
      <c r="Y14" s="721">
        <v>0</v>
      </c>
      <c r="Z14" s="746">
        <f>+Table2523467891011101213121412151615171819[[#This Row],[J/C Prod gas (MMscf)]]-Table2523467891011101213121412151615171819[[#This Row],[J/C Utilised gas (MMscf)]]</f>
        <v>5.69</v>
      </c>
      <c r="AA14" s="723">
        <f>+Table2523467891011101213121412151615171819[[#This Row],[Odid Prod gas (MMscf)]]-Table2523467891011101213121412151615171819[[#This Row],[Gas Export (MMscf/d)]]</f>
        <v>21.894000000000002</v>
      </c>
      <c r="AB14" s="723">
        <f>+Table2523467891011101213121412151615171819[[#This Row],[Batn Prod gas (MMscf)]]-Table2523467891011101213121412151615171819[[#This Row],[Batn Utilised gas (MMscf)]]</f>
        <v>0</v>
      </c>
      <c r="AC14" s="747">
        <f>+Table2523467891011101213121412151615171819[[#This Row],[Egwa Prod gas (MMscf)]]-Table2523467891011101213121412151615171819[[#This Row],[Egwa Utilised gas (MMscf)]]</f>
        <v>3.3</v>
      </c>
      <c r="AD14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47.61</v>
      </c>
      <c r="AE14" s="723">
        <f>+Table2523467891011101213121412151615171819[[#This Row],[Gas Export (MMscf/d)]]</f>
        <v>15.885999999999999</v>
      </c>
      <c r="AF14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4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30.884000000000004</v>
      </c>
      <c r="AH14" s="142"/>
      <c r="AI14" s="729"/>
      <c r="AJ14" s="763"/>
      <c r="AK14" s="762"/>
      <c r="AL14" s="762"/>
      <c r="AM14" s="762"/>
      <c r="AN14" s="762"/>
      <c r="AO14" s="762"/>
      <c r="AP14" s="762"/>
      <c r="AS14" s="454"/>
      <c r="AT14" s="454"/>
      <c r="AU14" s="454"/>
      <c r="AV14" s="454"/>
      <c r="AW14" s="454"/>
      <c r="AX14" s="454"/>
      <c r="AY14" s="454"/>
    </row>
    <row r="15" spans="2:51" ht="21.6">
      <c r="B15" s="716">
        <v>44511</v>
      </c>
      <c r="C15" s="749">
        <v>21.64</v>
      </c>
      <c r="D15" s="750">
        <v>15.132</v>
      </c>
      <c r="E15" s="751">
        <v>8.9</v>
      </c>
      <c r="F15" s="749">
        <v>3.77</v>
      </c>
      <c r="G15" s="749">
        <f>SUM(Table2523467891011101213121412151615171819[[#This Row],[Jones Creek Target (Mbopd)]:[Egwa Target (Mbopd)]])</f>
        <v>49.442</v>
      </c>
      <c r="H15" s="752">
        <v>17.954999999999998</v>
      </c>
      <c r="I15" s="752">
        <v>13.284000000000001</v>
      </c>
      <c r="J15" s="752">
        <v>2.077</v>
      </c>
      <c r="K15" s="754">
        <v>3.36</v>
      </c>
      <c r="L15" s="753">
        <f t="shared" si="0"/>
        <v>36.675999999999995</v>
      </c>
      <c r="M15" s="721">
        <v>15.433</v>
      </c>
      <c r="N15" s="765">
        <f>Table2523467891011101213121412151615171819[[#This Row],[Jones Creek Target (Mbopd)]]-Table2523467891011101213121412151615171819[[#This Row],[Jones Creek (Mbopd)]]</f>
        <v>3.6850000000000023</v>
      </c>
      <c r="O15" s="723">
        <f>Table2523467891011101213121412151615171819[[#This Row],[Odidi Target (Mbopd)]]-Table2523467891011101213121412151615171819[[#This Row],[Odidi (Mbopd)]]</f>
        <v>1.847999999999999</v>
      </c>
      <c r="P15" s="721">
        <f>Table2523467891011101213121412151615171819[[#This Row],[Batan Target (Mbopd)]]-Table2523467891011101213121412151615171819[[#This Row],[Batan (Mbopd)]]</f>
        <v>6.8230000000000004</v>
      </c>
      <c r="Q15" s="747">
        <f>Table2523467891011101213121412151615171819[[#This Row],[Egwa Target (Mbopd)]]-Table2523467891011101213121412151615171819[[#This Row],[Egwa (Mbopd)]]</f>
        <v>0.41000000000000014</v>
      </c>
      <c r="R15" s="745">
        <v>6.53</v>
      </c>
      <c r="S15" s="723">
        <v>37.78</v>
      </c>
      <c r="T15" s="723">
        <v>0</v>
      </c>
      <c r="U15" s="747">
        <v>3.35</v>
      </c>
      <c r="V15" s="746">
        <v>0.84</v>
      </c>
      <c r="W15" s="723">
        <v>0</v>
      </c>
      <c r="X15" s="723">
        <v>0</v>
      </c>
      <c r="Y15" s="721">
        <v>0</v>
      </c>
      <c r="Z15" s="746">
        <f>+Table2523467891011101213121412151615171819[[#This Row],[J/C Prod gas (MMscf)]]-Table2523467891011101213121412151615171819[[#This Row],[J/C Utilised gas (MMscf)]]</f>
        <v>5.69</v>
      </c>
      <c r="AA15" s="723">
        <f>+Table2523467891011101213121412151615171819[[#This Row],[Odid Prod gas (MMscf)]]-Table2523467891011101213121412151615171819[[#This Row],[Gas Export (MMscf/d)]]</f>
        <v>22.347000000000001</v>
      </c>
      <c r="AB15" s="723">
        <f>+Table2523467891011101213121412151615171819[[#This Row],[Batn Prod gas (MMscf)]]-Table2523467891011101213121412151615171819[[#This Row],[Batn Utilised gas (MMscf)]]</f>
        <v>0</v>
      </c>
      <c r="AC15" s="747">
        <f>+Table2523467891011101213121412151615171819[[#This Row],[Egwa Prod gas (MMscf)]]-Table2523467891011101213121412151615171819[[#This Row],[Egwa Utilised gas (MMscf)]]</f>
        <v>3.35</v>
      </c>
      <c r="AD15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47.660000000000004</v>
      </c>
      <c r="AE15" s="723">
        <f>+Table2523467891011101213121412151615171819[[#This Row],[Gas Export (MMscf/d)]]</f>
        <v>15.433</v>
      </c>
      <c r="AF15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5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31.387000000000004</v>
      </c>
      <c r="AH15" s="142"/>
      <c r="AI15" s="729"/>
      <c r="AJ15" s="763"/>
      <c r="AK15" s="762"/>
      <c r="AL15" s="762"/>
      <c r="AM15" s="762"/>
      <c r="AN15" s="762"/>
      <c r="AO15" s="762"/>
      <c r="AP15" s="762"/>
      <c r="AS15" s="454"/>
      <c r="AT15" s="454"/>
      <c r="AU15" s="454"/>
      <c r="AV15" s="454"/>
      <c r="AW15" s="454"/>
      <c r="AX15" s="454"/>
      <c r="AY15" s="454"/>
    </row>
    <row r="16" spans="2:51" ht="21.6">
      <c r="B16" s="716">
        <v>44512</v>
      </c>
      <c r="C16" s="749">
        <v>21.64</v>
      </c>
      <c r="D16" s="750">
        <v>15.132</v>
      </c>
      <c r="E16" s="751">
        <v>8.9</v>
      </c>
      <c r="F16" s="749">
        <v>3.77</v>
      </c>
      <c r="G16" s="749">
        <f>SUM(Table2523467891011101213121412151615171819[[#This Row],[Jones Creek Target (Mbopd)]:[Egwa Target (Mbopd)]])</f>
        <v>49.442</v>
      </c>
      <c r="H16" s="752">
        <v>12.209</v>
      </c>
      <c r="I16" s="752">
        <v>13.728999999999999</v>
      </c>
      <c r="J16" s="752">
        <v>3.8340000000000001</v>
      </c>
      <c r="K16" s="752">
        <v>2.9279999999999999</v>
      </c>
      <c r="L16" s="753">
        <f t="shared" si="0"/>
        <v>32.699999999999996</v>
      </c>
      <c r="M16" s="764">
        <v>17.63</v>
      </c>
      <c r="N16" s="765">
        <f>Table2523467891011101213121412151615171819[[#This Row],[Jones Creek Target (Mbopd)]]-Table2523467891011101213121412151615171819[[#This Row],[Jones Creek (Mbopd)]]</f>
        <v>9.4310000000000009</v>
      </c>
      <c r="O16" s="723">
        <f>Table2523467891011101213121412151615171819[[#This Row],[Odidi Target (Mbopd)]]-Table2523467891011101213121412151615171819[[#This Row],[Odidi (Mbopd)]]</f>
        <v>1.4030000000000005</v>
      </c>
      <c r="P16" s="721">
        <f>Table2523467891011101213121412151615171819[[#This Row],[Batan Target (Mbopd)]]-Table2523467891011101213121412151615171819[[#This Row],[Batan (Mbopd)]]</f>
        <v>5.0660000000000007</v>
      </c>
      <c r="Q16" s="747">
        <f>Table2523467891011101213121412151615171819[[#This Row],[Egwa Target (Mbopd)]]-Table2523467891011101213121412151615171819[[#This Row],[Egwa (Mbopd)]]</f>
        <v>0.84200000000000008</v>
      </c>
      <c r="R16" s="745">
        <v>3.8</v>
      </c>
      <c r="S16" s="723">
        <v>31.28</v>
      </c>
      <c r="T16" s="723">
        <v>1.43</v>
      </c>
      <c r="U16" s="747">
        <v>2.7</v>
      </c>
      <c r="V16" s="746">
        <v>0.84</v>
      </c>
      <c r="W16" s="723">
        <v>0</v>
      </c>
      <c r="X16" s="723">
        <v>0</v>
      </c>
      <c r="Y16" s="721">
        <v>0</v>
      </c>
      <c r="Z16" s="746">
        <f>+Table2523467891011101213121412151615171819[[#This Row],[J/C Prod gas (MMscf)]]-Table2523467891011101213121412151615171819[[#This Row],[J/C Utilised gas (MMscf)]]</f>
        <v>2.96</v>
      </c>
      <c r="AA16" s="723">
        <f>+Table2523467891011101213121412151615171819[[#This Row],[Odid Prod gas (MMscf)]]-Table2523467891011101213121412151615171819[[#This Row],[Gas Export (MMscf/d)]]</f>
        <v>13.650000000000002</v>
      </c>
      <c r="AB16" s="723">
        <f>+Table2523467891011101213121412151615171819[[#This Row],[Batn Prod gas (MMscf)]]-Table2523467891011101213121412151615171819[[#This Row],[Batn Utilised gas (MMscf)]]</f>
        <v>1.43</v>
      </c>
      <c r="AC16" s="747">
        <f>+Table2523467891011101213121412151615171819[[#This Row],[Egwa Prod gas (MMscf)]]-Table2523467891011101213121412151615171819[[#This Row],[Egwa Utilised gas (MMscf)]]</f>
        <v>2.7</v>
      </c>
      <c r="AD16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39.21</v>
      </c>
      <c r="AE16" s="723">
        <f>+Table2523467891011101213121412151615171819[[#This Row],[Gas Export (MMscf/d)]]</f>
        <v>17.63</v>
      </c>
      <c r="AF16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6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20.740000000000002</v>
      </c>
      <c r="AH16" s="142"/>
      <c r="AI16" s="729"/>
      <c r="AJ16" s="763"/>
      <c r="AK16" s="762"/>
      <c r="AL16" s="762"/>
      <c r="AM16" s="762"/>
      <c r="AN16" s="762"/>
      <c r="AO16" s="762"/>
      <c r="AP16" s="762"/>
      <c r="AS16" s="454"/>
      <c r="AT16" s="454"/>
      <c r="AU16" s="454"/>
      <c r="AV16" s="454"/>
      <c r="AW16" s="454"/>
      <c r="AX16" s="454"/>
      <c r="AY16" s="454"/>
    </row>
    <row r="17" spans="2:51" ht="21.6">
      <c r="B17" s="716">
        <v>44513</v>
      </c>
      <c r="C17" s="749">
        <v>21.64</v>
      </c>
      <c r="D17" s="750">
        <v>15.132</v>
      </c>
      <c r="E17" s="751">
        <v>8.9</v>
      </c>
      <c r="F17" s="749">
        <v>3.77</v>
      </c>
      <c r="G17" s="749">
        <f>SUM(Table2523467891011101213121412151615171819[[#This Row],[Jones Creek Target (Mbopd)]:[Egwa Target (Mbopd)]])</f>
        <v>49.442</v>
      </c>
      <c r="H17" s="752">
        <v>9.8949999999999996</v>
      </c>
      <c r="I17" s="752">
        <v>13.558999999999999</v>
      </c>
      <c r="J17" s="752">
        <v>2.6059999999999999</v>
      </c>
      <c r="K17" s="752">
        <v>3.2589999999999999</v>
      </c>
      <c r="L17" s="753">
        <f t="shared" si="0"/>
        <v>29.319000000000003</v>
      </c>
      <c r="M17" s="721">
        <v>7.71</v>
      </c>
      <c r="N17" s="765">
        <f>Table2523467891011101213121412151615171819[[#This Row],[Jones Creek Target (Mbopd)]]-Table2523467891011101213121412151615171819[[#This Row],[Jones Creek (Mbopd)]]</f>
        <v>11.745000000000001</v>
      </c>
      <c r="O17" s="723">
        <f>Table2523467891011101213121412151615171819[[#This Row],[Odidi Target (Mbopd)]]-Table2523467891011101213121412151615171819[[#This Row],[Odidi (Mbopd)]]</f>
        <v>1.5730000000000004</v>
      </c>
      <c r="P17" s="721">
        <f>Table2523467891011101213121412151615171819[[#This Row],[Batan Target (Mbopd)]]-Table2523467891011101213121412151615171819[[#This Row],[Batan (Mbopd)]]</f>
        <v>6.2940000000000005</v>
      </c>
      <c r="Q17" s="747">
        <f>Table2523467891011101213121412151615171819[[#This Row],[Egwa Target (Mbopd)]]-Table2523467891011101213121412151615171819[[#This Row],[Egwa (Mbopd)]]</f>
        <v>0.51100000000000012</v>
      </c>
      <c r="R17" s="745">
        <v>3.2679999999999998</v>
      </c>
      <c r="S17" s="723">
        <v>38.340000000000003</v>
      </c>
      <c r="T17" s="723">
        <v>1.83</v>
      </c>
      <c r="U17" s="747">
        <v>3.35</v>
      </c>
      <c r="V17" s="746">
        <v>0.84</v>
      </c>
      <c r="W17" s="723">
        <v>0</v>
      </c>
      <c r="X17" s="723">
        <v>0</v>
      </c>
      <c r="Y17" s="721">
        <v>0</v>
      </c>
      <c r="Z17" s="746">
        <f>+Table2523467891011101213121412151615171819[[#This Row],[J/C Prod gas (MMscf)]]-Table2523467891011101213121412151615171819[[#This Row],[J/C Utilised gas (MMscf)]]</f>
        <v>2.4279999999999999</v>
      </c>
      <c r="AA17" s="723">
        <f>+Table2523467891011101213121412151615171819[[#This Row],[Odid Prod gas (MMscf)]]-Table2523467891011101213121412151615171819[[#This Row],[Gas Export (MMscf/d)]]</f>
        <v>30.630000000000003</v>
      </c>
      <c r="AB17" s="723">
        <f>+Table2523467891011101213121412151615171819[[#This Row],[Batn Prod gas (MMscf)]]-Table2523467891011101213121412151615171819[[#This Row],[Batn Utilised gas (MMscf)]]</f>
        <v>1.83</v>
      </c>
      <c r="AC17" s="747">
        <f>+Table2523467891011101213121412151615171819[[#This Row],[Egwa Prod gas (MMscf)]]-Table2523467891011101213121412151615171819[[#This Row],[Egwa Utilised gas (MMscf)]]</f>
        <v>3.35</v>
      </c>
      <c r="AD17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46.788000000000004</v>
      </c>
      <c r="AE17" s="723">
        <f>+Table2523467891011101213121412151615171819[[#This Row],[Gas Export (MMscf/d)]]</f>
        <v>7.71</v>
      </c>
      <c r="AF17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7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38.238</v>
      </c>
      <c r="AH17" s="142"/>
      <c r="AI17" s="729"/>
      <c r="AJ17" s="763"/>
      <c r="AK17" s="762"/>
      <c r="AL17" s="762"/>
      <c r="AM17" s="762"/>
      <c r="AN17" s="762"/>
      <c r="AO17" s="762"/>
      <c r="AP17" s="762"/>
      <c r="AS17" s="454"/>
      <c r="AT17" s="454"/>
      <c r="AU17" s="454"/>
      <c r="AV17" s="454"/>
      <c r="AW17" s="454"/>
      <c r="AX17" s="454"/>
      <c r="AY17" s="454"/>
    </row>
    <row r="18" spans="2:51" ht="21.6">
      <c r="B18" s="716">
        <v>44514</v>
      </c>
      <c r="C18" s="749">
        <v>21.64</v>
      </c>
      <c r="D18" s="750">
        <v>15.132</v>
      </c>
      <c r="E18" s="751">
        <v>8.9</v>
      </c>
      <c r="F18" s="749">
        <v>3.77</v>
      </c>
      <c r="G18" s="749">
        <f>SUM(Table2523467891011101213121412151615171819[[#This Row],[Jones Creek Target (Mbopd)]:[Egwa Target (Mbopd)]])</f>
        <v>49.442</v>
      </c>
      <c r="H18" s="752">
        <v>8.0779999999999994</v>
      </c>
      <c r="I18" s="752">
        <v>10.007</v>
      </c>
      <c r="J18" s="752">
        <v>2.6059999999999999</v>
      </c>
      <c r="K18" s="752">
        <v>3.3650000000000002</v>
      </c>
      <c r="L18" s="753">
        <f t="shared" si="0"/>
        <v>24.056000000000004</v>
      </c>
      <c r="M18" s="721">
        <v>10.051</v>
      </c>
      <c r="N18" s="765">
        <f>Table2523467891011101213121412151615171819[[#This Row],[Jones Creek Target (Mbopd)]]-Table2523467891011101213121412151615171819[[#This Row],[Jones Creek (Mbopd)]]</f>
        <v>13.562000000000001</v>
      </c>
      <c r="O18" s="723">
        <f>Table2523467891011101213121412151615171819[[#This Row],[Odidi Target (Mbopd)]]-Table2523467891011101213121412151615171819[[#This Row],[Odidi (Mbopd)]]</f>
        <v>5.125</v>
      </c>
      <c r="P18" s="721">
        <f>Table2523467891011101213121412151615171819[[#This Row],[Batan Target (Mbopd)]]-Table2523467891011101213121412151615171819[[#This Row],[Batan (Mbopd)]]</f>
        <v>6.2940000000000005</v>
      </c>
      <c r="Q18" s="747">
        <f>Table2523467891011101213121412151615171819[[#This Row],[Egwa Target (Mbopd)]]-Table2523467891011101213121412151615171819[[#This Row],[Egwa (Mbopd)]]</f>
        <v>0.4049999999999998</v>
      </c>
      <c r="R18" s="745">
        <v>2.74</v>
      </c>
      <c r="S18" s="723">
        <v>31.28</v>
      </c>
      <c r="T18" s="723">
        <v>1.83</v>
      </c>
      <c r="U18" s="747">
        <v>3.52</v>
      </c>
      <c r="V18" s="746">
        <v>0.84</v>
      </c>
      <c r="W18" s="723">
        <v>0</v>
      </c>
      <c r="X18" s="723">
        <v>0</v>
      </c>
      <c r="Y18" s="721">
        <v>0</v>
      </c>
      <c r="Z18" s="746">
        <f>+Table2523467891011101213121412151615171819[[#This Row],[J/C Prod gas (MMscf)]]-Table2523467891011101213121412151615171819[[#This Row],[J/C Utilised gas (MMscf)]]</f>
        <v>1.9000000000000004</v>
      </c>
      <c r="AA18" s="723">
        <f>+Table2523467891011101213121412151615171819[[#This Row],[Odid Prod gas (MMscf)]]-Table2523467891011101213121412151615171819[[#This Row],[Gas Export (MMscf/d)]]</f>
        <v>21.228999999999999</v>
      </c>
      <c r="AB18" s="723">
        <f>+Table2523467891011101213121412151615171819[[#This Row],[Batn Prod gas (MMscf)]]-Table2523467891011101213121412151615171819[[#This Row],[Batn Utilised gas (MMscf)]]</f>
        <v>1.83</v>
      </c>
      <c r="AC18" s="747">
        <f>+Table2523467891011101213121412151615171819[[#This Row],[Egwa Prod gas (MMscf)]]-Table2523467891011101213121412151615171819[[#This Row],[Egwa Utilised gas (MMscf)]]</f>
        <v>3.52</v>
      </c>
      <c r="AD18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39.370000000000005</v>
      </c>
      <c r="AE18" s="723">
        <f>+Table2523467891011101213121412151615171819[[#This Row],[Gas Export (MMscf/d)]]</f>
        <v>10.051</v>
      </c>
      <c r="AF18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8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28.478999999999996</v>
      </c>
      <c r="AH18" s="142"/>
      <c r="AI18" s="729"/>
      <c r="AJ18" s="763"/>
      <c r="AK18" s="762"/>
      <c r="AL18" s="762"/>
      <c r="AM18" s="762"/>
      <c r="AN18" s="762"/>
      <c r="AO18" s="762"/>
      <c r="AP18" s="762"/>
      <c r="AS18" s="454"/>
      <c r="AT18" s="454"/>
      <c r="AU18" s="454"/>
      <c r="AV18" s="454"/>
      <c r="AW18" s="454"/>
      <c r="AX18" s="454"/>
      <c r="AY18" s="454"/>
    </row>
    <row r="19" spans="2:51" ht="21.6">
      <c r="B19" s="716">
        <v>44515</v>
      </c>
      <c r="C19" s="749">
        <v>21.64</v>
      </c>
      <c r="D19" s="750">
        <v>15.132</v>
      </c>
      <c r="E19" s="751">
        <v>8.9</v>
      </c>
      <c r="F19" s="749">
        <v>3.77</v>
      </c>
      <c r="G19" s="749">
        <f>SUM(Table2523467891011101213121412151615171819[[#This Row],[Jones Creek Target (Mbopd)]:[Egwa Target (Mbopd)]])</f>
        <v>49.442</v>
      </c>
      <c r="H19" s="754">
        <v>8.2850000000000001</v>
      </c>
      <c r="I19" s="752">
        <v>11.695</v>
      </c>
      <c r="J19" s="752">
        <v>4.774</v>
      </c>
      <c r="K19" s="752">
        <v>3.4089999999999998</v>
      </c>
      <c r="L19" s="753">
        <f t="shared" si="0"/>
        <v>28.163</v>
      </c>
      <c r="M19" s="721">
        <v>5.2050000000000001</v>
      </c>
      <c r="N19" s="765">
        <f>Table2523467891011101213121412151615171819[[#This Row],[Jones Creek Target (Mbopd)]]-Table2523467891011101213121412151615171819[[#This Row],[Jones Creek (Mbopd)]]</f>
        <v>13.355</v>
      </c>
      <c r="O19" s="723">
        <f>Table2523467891011101213121412151615171819[[#This Row],[Odidi Target (Mbopd)]]-Table2523467891011101213121412151615171819[[#This Row],[Odidi (Mbopd)]]</f>
        <v>3.4369999999999994</v>
      </c>
      <c r="P19" s="721">
        <f>Table2523467891011101213121412151615171819[[#This Row],[Batan Target (Mbopd)]]-Table2523467891011101213121412151615171819[[#This Row],[Batan (Mbopd)]]</f>
        <v>4.1260000000000003</v>
      </c>
      <c r="Q19" s="747">
        <f>Table2523467891011101213121412151615171819[[#This Row],[Egwa Target (Mbopd)]]-Table2523467891011101213121412151615171819[[#This Row],[Egwa (Mbopd)]]</f>
        <v>0.36100000000000021</v>
      </c>
      <c r="R19" s="745">
        <v>2.79</v>
      </c>
      <c r="S19" s="723">
        <v>32.130000000000003</v>
      </c>
      <c r="T19" s="723">
        <v>1.83</v>
      </c>
      <c r="U19" s="747">
        <v>3.59</v>
      </c>
      <c r="V19" s="746">
        <v>0.84</v>
      </c>
      <c r="W19" s="723">
        <v>0</v>
      </c>
      <c r="X19" s="723">
        <v>0</v>
      </c>
      <c r="Y19" s="721">
        <v>0</v>
      </c>
      <c r="Z19" s="746">
        <f>+Table2523467891011101213121412151615171819[[#This Row],[J/C Prod gas (MMscf)]]-Table2523467891011101213121412151615171819[[#This Row],[J/C Utilised gas (MMscf)]]</f>
        <v>1.9500000000000002</v>
      </c>
      <c r="AA19" s="723">
        <f>+Table2523467891011101213121412151615171819[[#This Row],[Odid Prod gas (MMscf)]]-Table2523467891011101213121412151615171819[[#This Row],[Gas Export (MMscf/d)]]</f>
        <v>26.925000000000004</v>
      </c>
      <c r="AB19" s="723">
        <f>+Table2523467891011101213121412151615171819[[#This Row],[Batn Prod gas (MMscf)]]-Table2523467891011101213121412151615171819[[#This Row],[Batn Utilised gas (MMscf)]]</f>
        <v>1.83</v>
      </c>
      <c r="AC19" s="747">
        <f>+Table2523467891011101213121412151615171819[[#This Row],[Egwa Prod gas (MMscf)]]-Table2523467891011101213121412151615171819[[#This Row],[Egwa Utilised gas (MMscf)]]</f>
        <v>3.59</v>
      </c>
      <c r="AD19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40.340000000000003</v>
      </c>
      <c r="AE19" s="723">
        <f>+Table2523467891011101213121412151615171819[[#This Row],[Gas Export (MMscf/d)]]</f>
        <v>5.2050000000000001</v>
      </c>
      <c r="AF19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9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34.295000000000002</v>
      </c>
      <c r="AH19" s="142"/>
      <c r="AI19" s="729"/>
      <c r="AJ19" s="763"/>
      <c r="AK19" s="762"/>
      <c r="AL19" s="762"/>
      <c r="AM19" s="762"/>
      <c r="AN19" s="762"/>
      <c r="AO19" s="762"/>
      <c r="AP19" s="762"/>
      <c r="AS19" s="454"/>
      <c r="AT19" s="454"/>
      <c r="AU19" s="454"/>
      <c r="AV19" s="454"/>
      <c r="AW19" s="454"/>
      <c r="AX19" s="454"/>
      <c r="AY19" s="454"/>
    </row>
    <row r="20" spans="2:51" ht="21.6">
      <c r="B20" s="716">
        <v>44516</v>
      </c>
      <c r="C20" s="749">
        <v>21.64</v>
      </c>
      <c r="D20" s="750">
        <v>15.132</v>
      </c>
      <c r="E20" s="751">
        <v>8.9</v>
      </c>
      <c r="F20" s="749">
        <v>3.77</v>
      </c>
      <c r="G20" s="749">
        <f>SUM(Table2523467891011101213121412151615171819[[#This Row],[Jones Creek Target (Mbopd)]:[Egwa Target (Mbopd)]])</f>
        <v>49.442</v>
      </c>
      <c r="H20" s="754">
        <v>9.9779999999999998</v>
      </c>
      <c r="I20" s="752">
        <v>12.614000000000001</v>
      </c>
      <c r="J20" s="752">
        <v>4.7930000000000001</v>
      </c>
      <c r="K20" s="752">
        <v>3.3159999999999998</v>
      </c>
      <c r="L20" s="753">
        <f t="shared" si="0"/>
        <v>30.700999999999997</v>
      </c>
      <c r="M20" s="721">
        <v>15.097</v>
      </c>
      <c r="N20" s="765">
        <f>Table2523467891011101213121412151615171819[[#This Row],[Jones Creek Target (Mbopd)]]-Table2523467891011101213121412151615171819[[#This Row],[Jones Creek (Mbopd)]]</f>
        <v>11.662000000000001</v>
      </c>
      <c r="O20" s="723">
        <f>Table2523467891011101213121412151615171819[[#This Row],[Odidi Target (Mbopd)]]-Table2523467891011101213121412151615171819[[#This Row],[Odidi (Mbopd)]]</f>
        <v>2.5179999999999989</v>
      </c>
      <c r="P20" s="721">
        <f>Table2523467891011101213121412151615171819[[#This Row],[Batan Target (Mbopd)]]-Table2523467891011101213121412151615171819[[#This Row],[Batan (Mbopd)]]</f>
        <v>4.1070000000000002</v>
      </c>
      <c r="Q20" s="747">
        <f>Table2523467891011101213121412151615171819[[#This Row],[Egwa Target (Mbopd)]]-Table2523467891011101213121412151615171819[[#This Row],[Egwa (Mbopd)]]</f>
        <v>0.45400000000000018</v>
      </c>
      <c r="R20" s="745">
        <v>2.9</v>
      </c>
      <c r="S20" s="723">
        <v>39.020000000000003</v>
      </c>
      <c r="T20" s="723">
        <v>1.84</v>
      </c>
      <c r="U20" s="747">
        <v>3.55</v>
      </c>
      <c r="V20" s="746">
        <v>0.84</v>
      </c>
      <c r="W20" s="723">
        <v>0</v>
      </c>
      <c r="X20" s="723">
        <v>0</v>
      </c>
      <c r="Y20" s="721">
        <v>0</v>
      </c>
      <c r="Z20" s="746">
        <f>+Table2523467891011101213121412151615171819[[#This Row],[J/C Prod gas (MMscf)]]-Table2523467891011101213121412151615171819[[#This Row],[J/C Utilised gas (MMscf)]]</f>
        <v>2.06</v>
      </c>
      <c r="AA20" s="723">
        <f>+Table2523467891011101213121412151615171819[[#This Row],[Odid Prod gas (MMscf)]]-Table2523467891011101213121412151615171819[[#This Row],[Gas Export (MMscf/d)]]</f>
        <v>23.923000000000002</v>
      </c>
      <c r="AB20" s="723">
        <f>+Table2523467891011101213121412151615171819[[#This Row],[Batn Prod gas (MMscf)]]-Table2523467891011101213121412151615171819[[#This Row],[Batn Utilised gas (MMscf)]]</f>
        <v>1.84</v>
      </c>
      <c r="AC20" s="747">
        <f>+Table2523467891011101213121412151615171819[[#This Row],[Egwa Prod gas (MMscf)]]-Table2523467891011101213121412151615171819[[#This Row],[Egwa Utilised gas (MMscf)]]</f>
        <v>3.55</v>
      </c>
      <c r="AD20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47.31</v>
      </c>
      <c r="AE20" s="723">
        <f>+Table2523467891011101213121412151615171819[[#This Row],[Gas Export (MMscf/d)]]</f>
        <v>15.097</v>
      </c>
      <c r="AF20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20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31.373000000000001</v>
      </c>
      <c r="AH20" s="142"/>
      <c r="AI20" s="729"/>
      <c r="AJ20" s="763"/>
      <c r="AK20" s="762"/>
      <c r="AL20" s="762"/>
      <c r="AM20" s="762"/>
      <c r="AN20" s="762"/>
      <c r="AO20" s="762"/>
      <c r="AP20" s="762"/>
      <c r="AS20" s="454"/>
      <c r="AT20" s="454"/>
      <c r="AU20" s="454"/>
      <c r="AV20" s="454"/>
      <c r="AW20" s="454"/>
      <c r="AX20" s="454"/>
      <c r="AY20" s="454"/>
    </row>
    <row r="21" spans="2:51" ht="21.6">
      <c r="B21" s="716">
        <v>44517</v>
      </c>
      <c r="C21" s="749">
        <v>21.64</v>
      </c>
      <c r="D21" s="750">
        <v>15.132</v>
      </c>
      <c r="E21" s="751">
        <v>8.9</v>
      </c>
      <c r="F21" s="749">
        <v>3.77</v>
      </c>
      <c r="G21" s="749">
        <f>SUM(Table2523467891011101213121412151615171819[[#This Row],[Jones Creek Target (Mbopd)]:[Egwa Target (Mbopd)]])</f>
        <v>49.442</v>
      </c>
      <c r="H21" s="752">
        <v>10.026</v>
      </c>
      <c r="I21" s="752">
        <v>12.769</v>
      </c>
      <c r="J21" s="752">
        <v>4.7889999999999997</v>
      </c>
      <c r="K21" s="752">
        <v>3.3559999999999999</v>
      </c>
      <c r="L21" s="753">
        <f t="shared" si="0"/>
        <v>30.940000000000005</v>
      </c>
      <c r="M21" s="721">
        <v>5.226</v>
      </c>
      <c r="N21" s="765">
        <f>Table2523467891011101213121412151615171819[[#This Row],[Jones Creek Target (Mbopd)]]-Table2523467891011101213121412151615171819[[#This Row],[Jones Creek (Mbopd)]]</f>
        <v>11.614000000000001</v>
      </c>
      <c r="O21" s="723">
        <f>Table2523467891011101213121412151615171819[[#This Row],[Odidi Target (Mbopd)]]-Table2523467891011101213121412151615171819[[#This Row],[Odidi (Mbopd)]]</f>
        <v>2.3629999999999995</v>
      </c>
      <c r="P21" s="721">
        <f>Table2523467891011101213121412151615171819[[#This Row],[Batan Target (Mbopd)]]-Table2523467891011101213121412151615171819[[#This Row],[Batan (Mbopd)]]</f>
        <v>4.1110000000000007</v>
      </c>
      <c r="Q21" s="747">
        <f>Table2523467891011101213121412151615171819[[#This Row],[Egwa Target (Mbopd)]]-Table2523467891011101213121412151615171819[[#This Row],[Egwa (Mbopd)]]</f>
        <v>0.41400000000000015</v>
      </c>
      <c r="R21" s="745">
        <v>2.87</v>
      </c>
      <c r="S21" s="723">
        <v>38.979999999999997</v>
      </c>
      <c r="T21" s="723">
        <v>1.84</v>
      </c>
      <c r="U21" s="747">
        <v>3.55</v>
      </c>
      <c r="V21" s="746">
        <v>0.84</v>
      </c>
      <c r="W21" s="723">
        <v>0</v>
      </c>
      <c r="X21" s="723">
        <v>0</v>
      </c>
      <c r="Y21" s="721">
        <v>0</v>
      </c>
      <c r="Z21" s="746">
        <f>+Table2523467891011101213121412151615171819[[#This Row],[J/C Prod gas (MMscf)]]-Table2523467891011101213121412151615171819[[#This Row],[J/C Utilised gas (MMscf)]]</f>
        <v>2.0300000000000002</v>
      </c>
      <c r="AA21" s="723">
        <f>+Table2523467891011101213121412151615171819[[#This Row],[Odid Prod gas (MMscf)]]-Table2523467891011101213121412151615171819[[#This Row],[Gas Export (MMscf/d)]]</f>
        <v>33.753999999999998</v>
      </c>
      <c r="AB21" s="723">
        <f>+Table2523467891011101213121412151615171819[[#This Row],[Batn Prod gas (MMscf)]]-Table2523467891011101213121412151615171819[[#This Row],[Batn Utilised gas (MMscf)]]</f>
        <v>1.84</v>
      </c>
      <c r="AC21" s="747">
        <f>+Table2523467891011101213121412151615171819[[#This Row],[Egwa Prod gas (MMscf)]]-Table2523467891011101213121412151615171819[[#This Row],[Egwa Utilised gas (MMscf)]]</f>
        <v>3.55</v>
      </c>
      <c r="AD21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47.239999999999995</v>
      </c>
      <c r="AE21" s="723">
        <f>+Table2523467891011101213121412151615171819[[#This Row],[Gas Export (MMscf/d)]]</f>
        <v>5.226</v>
      </c>
      <c r="AF21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21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41.173999999999999</v>
      </c>
      <c r="AH21" s="142"/>
      <c r="AI21" s="729"/>
      <c r="AJ21" s="763"/>
      <c r="AK21" s="762"/>
      <c r="AL21" s="762"/>
      <c r="AM21" s="762"/>
      <c r="AN21" s="762"/>
      <c r="AO21" s="762"/>
      <c r="AP21" s="762"/>
      <c r="AS21" s="454"/>
      <c r="AT21" s="454"/>
      <c r="AU21" s="454"/>
      <c r="AV21" s="454"/>
      <c r="AW21" s="454"/>
      <c r="AX21" s="454"/>
      <c r="AY21" s="454"/>
    </row>
    <row r="22" spans="2:51" ht="21.6">
      <c r="B22" s="716">
        <v>44518</v>
      </c>
      <c r="C22" s="749">
        <v>21.64</v>
      </c>
      <c r="D22" s="750">
        <v>15.132</v>
      </c>
      <c r="E22" s="751">
        <v>8.9</v>
      </c>
      <c r="F22" s="749">
        <v>3.77</v>
      </c>
      <c r="G22" s="749">
        <f>SUM(Table2523467891011101213121412151615171819[[#This Row],[Jones Creek Target (Mbopd)]:[Egwa Target (Mbopd)]])</f>
        <v>49.442</v>
      </c>
      <c r="H22" s="752">
        <v>9.0960000000000001</v>
      </c>
      <c r="I22" s="752">
        <v>12.121</v>
      </c>
      <c r="J22" s="752">
        <v>4.8010000000000002</v>
      </c>
      <c r="K22" s="752">
        <v>3.1419999999999999</v>
      </c>
      <c r="L22" s="753">
        <f t="shared" si="0"/>
        <v>29.16</v>
      </c>
      <c r="M22" s="721">
        <v>14.391999999999999</v>
      </c>
      <c r="N22" s="765">
        <f>Table2523467891011101213121412151615171819[[#This Row],[Jones Creek Target (Mbopd)]]-Table2523467891011101213121412151615171819[[#This Row],[Jones Creek (Mbopd)]]</f>
        <v>12.544</v>
      </c>
      <c r="O22" s="723">
        <f>Table2523467891011101213121412151615171819[[#This Row],[Odidi Target (Mbopd)]]-Table2523467891011101213121412151615171819[[#This Row],[Odidi (Mbopd)]]</f>
        <v>3.0109999999999992</v>
      </c>
      <c r="P22" s="721">
        <f>Table2523467891011101213121412151615171819[[#This Row],[Batan Target (Mbopd)]]-Table2523467891011101213121412151615171819[[#This Row],[Batan (Mbopd)]]</f>
        <v>4.0990000000000002</v>
      </c>
      <c r="Q22" s="747">
        <f>Table2523467891011101213121412151615171819[[#This Row],[Egwa Target (Mbopd)]]-Table2523467891011101213121412151615171819[[#This Row],[Egwa (Mbopd)]]</f>
        <v>0.62800000000000011</v>
      </c>
      <c r="R22" s="745">
        <v>2.0099999999999998</v>
      </c>
      <c r="S22" s="723">
        <v>38.94</v>
      </c>
      <c r="T22" s="723">
        <v>1.83</v>
      </c>
      <c r="U22" s="747">
        <v>3.39</v>
      </c>
      <c r="V22" s="746">
        <v>0.84</v>
      </c>
      <c r="W22" s="723">
        <v>0</v>
      </c>
      <c r="X22" s="723">
        <v>0</v>
      </c>
      <c r="Y22" s="721">
        <v>0</v>
      </c>
      <c r="Z22" s="746">
        <f>+Table2523467891011101213121412151615171819[[#This Row],[J/C Prod gas (MMscf)]]-Table2523467891011101213121412151615171819[[#This Row],[J/C Utilised gas (MMscf)]]</f>
        <v>1.17</v>
      </c>
      <c r="AA22" s="723">
        <f>+Table2523467891011101213121412151615171819[[#This Row],[Odid Prod gas (MMscf)]]-Table2523467891011101213121412151615171819[[#This Row],[Gas Export (MMscf/d)]]</f>
        <v>24.547999999999998</v>
      </c>
      <c r="AB22" s="723">
        <f>+Table2523467891011101213121412151615171819[[#This Row],[Batn Prod gas (MMscf)]]-Table2523467891011101213121412151615171819[[#This Row],[Batn Utilised gas (MMscf)]]</f>
        <v>1.83</v>
      </c>
      <c r="AC22" s="747">
        <f>+Table2523467891011101213121412151615171819[[#This Row],[Egwa Prod gas (MMscf)]]-Table2523467891011101213121412151615171819[[#This Row],[Egwa Utilised gas (MMscf)]]</f>
        <v>3.39</v>
      </c>
      <c r="AD22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46.169999999999995</v>
      </c>
      <c r="AE22" s="723">
        <f>+Table2523467891011101213121412151615171819[[#This Row],[Gas Export (MMscf/d)]]</f>
        <v>14.391999999999999</v>
      </c>
      <c r="AF22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22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30.937999999999995</v>
      </c>
      <c r="AH22" s="142"/>
      <c r="AI22" s="729"/>
      <c r="AJ22" s="763"/>
      <c r="AK22" s="762"/>
      <c r="AL22" s="762"/>
      <c r="AM22" s="762"/>
      <c r="AN22" s="762"/>
      <c r="AO22" s="762"/>
      <c r="AP22" s="762"/>
      <c r="AS22" s="454"/>
      <c r="AT22" s="454"/>
      <c r="AU22" s="454"/>
      <c r="AV22" s="454"/>
      <c r="AW22" s="454"/>
      <c r="AX22" s="454"/>
      <c r="AY22" s="454"/>
    </row>
    <row r="23" spans="2:51" ht="21.6">
      <c r="B23" s="716">
        <v>44519</v>
      </c>
      <c r="C23" s="749">
        <v>21.64</v>
      </c>
      <c r="D23" s="750">
        <v>15.132</v>
      </c>
      <c r="E23" s="751">
        <v>8.9</v>
      </c>
      <c r="F23" s="749">
        <v>3.77</v>
      </c>
      <c r="G23" s="749">
        <f>SUM(Table2523467891011101213121412151615171819[[#This Row],[Jones Creek Target (Mbopd)]:[Egwa Target (Mbopd)]])</f>
        <v>49.442</v>
      </c>
      <c r="H23" s="752">
        <v>8.9749999999999996</v>
      </c>
      <c r="I23" s="752">
        <v>13.611000000000001</v>
      </c>
      <c r="J23" s="752">
        <v>3.8690000000000002</v>
      </c>
      <c r="K23" s="752">
        <v>3.3380000000000001</v>
      </c>
      <c r="L23" s="753">
        <f t="shared" si="0"/>
        <v>29.792999999999999</v>
      </c>
      <c r="M23" s="721">
        <v>13.587999999999999</v>
      </c>
      <c r="N23" s="765">
        <f>Table2523467891011101213121412151615171819[[#This Row],[Jones Creek Target (Mbopd)]]-Table2523467891011101213121412151615171819[[#This Row],[Jones Creek (Mbopd)]]</f>
        <v>12.665000000000001</v>
      </c>
      <c r="O23" s="723">
        <f>Table2523467891011101213121412151615171819[[#This Row],[Odidi Target (Mbopd)]]-Table2523467891011101213121412151615171819[[#This Row],[Odidi (Mbopd)]]</f>
        <v>1.520999999999999</v>
      </c>
      <c r="P23" s="721">
        <f>Table2523467891011101213121412151615171819[[#This Row],[Batan Target (Mbopd)]]-Table2523467891011101213121412151615171819[[#This Row],[Batan (Mbopd)]]</f>
        <v>5.0310000000000006</v>
      </c>
      <c r="Q23" s="747">
        <f>Table2523467891011101213121412151615171819[[#This Row],[Egwa Target (Mbopd)]]-Table2523467891011101213121412151615171819[[#This Row],[Egwa (Mbopd)]]</f>
        <v>0.43199999999999994</v>
      </c>
      <c r="R23" s="745">
        <v>2.6589999999999998</v>
      </c>
      <c r="S23" s="723">
        <v>38.94</v>
      </c>
      <c r="T23" s="723">
        <v>1.79</v>
      </c>
      <c r="U23" s="747">
        <v>3.62</v>
      </c>
      <c r="V23" s="746">
        <v>0.84</v>
      </c>
      <c r="W23" s="723">
        <v>0</v>
      </c>
      <c r="X23" s="723">
        <v>0</v>
      </c>
      <c r="Y23" s="721">
        <v>0</v>
      </c>
      <c r="Z23" s="746">
        <f>+Table2523467891011101213121412151615171819[[#This Row],[J/C Prod gas (MMscf)]]-Table2523467891011101213121412151615171819[[#This Row],[J/C Utilised gas (MMscf)]]</f>
        <v>1.819</v>
      </c>
      <c r="AA23" s="723">
        <f>+Table2523467891011101213121412151615171819[[#This Row],[Odid Prod gas (MMscf)]]-Table2523467891011101213121412151615171819[[#This Row],[Gas Export (MMscf/d)]]</f>
        <v>25.351999999999997</v>
      </c>
      <c r="AB23" s="723">
        <f>+Table2523467891011101213121412151615171819[[#This Row],[Batn Prod gas (MMscf)]]-Table2523467891011101213121412151615171819[[#This Row],[Batn Utilised gas (MMscf)]]</f>
        <v>1.79</v>
      </c>
      <c r="AC23" s="747">
        <f>+Table2523467891011101213121412151615171819[[#This Row],[Egwa Prod gas (MMscf)]]-Table2523467891011101213121412151615171819[[#This Row],[Egwa Utilised gas (MMscf)]]</f>
        <v>3.62</v>
      </c>
      <c r="AD23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47.008999999999993</v>
      </c>
      <c r="AE23" s="723">
        <f>+Table2523467891011101213121412151615171819[[#This Row],[Gas Export (MMscf/d)]]</f>
        <v>13.587999999999999</v>
      </c>
      <c r="AF23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23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32.580999999999996</v>
      </c>
      <c r="AH23" s="142"/>
      <c r="AI23" s="729"/>
      <c r="AJ23" s="763"/>
      <c r="AK23" s="762"/>
      <c r="AL23" s="762"/>
      <c r="AM23" s="762"/>
      <c r="AN23" s="762"/>
      <c r="AO23" s="762"/>
      <c r="AP23" s="762"/>
      <c r="AS23" s="454"/>
      <c r="AT23" s="454"/>
      <c r="AU23" s="454"/>
      <c r="AV23" s="454"/>
      <c r="AW23" s="454"/>
      <c r="AX23" s="454"/>
      <c r="AY23" s="454"/>
    </row>
    <row r="24" spans="2:51" ht="21.6">
      <c r="B24" s="716">
        <v>44520</v>
      </c>
      <c r="C24" s="749">
        <v>21.64</v>
      </c>
      <c r="D24" s="750">
        <v>15.132</v>
      </c>
      <c r="E24" s="751">
        <v>8.9</v>
      </c>
      <c r="F24" s="749">
        <v>3.77</v>
      </c>
      <c r="G24" s="749">
        <f>SUM(Table2523467891011101213121412151615171819[[#This Row],[Jones Creek Target (Mbopd)]:[Egwa Target (Mbopd)]])</f>
        <v>49.442</v>
      </c>
      <c r="H24" s="752">
        <v>9.2289999999999992</v>
      </c>
      <c r="I24" s="752">
        <v>13.356999999999999</v>
      </c>
      <c r="J24" s="752">
        <v>3.3565999999999998</v>
      </c>
      <c r="K24" s="752">
        <v>3.36164</v>
      </c>
      <c r="L24" s="753">
        <f t="shared" si="0"/>
        <v>29.30424</v>
      </c>
      <c r="M24" s="721">
        <v>17.358000000000001</v>
      </c>
      <c r="N24" s="765">
        <f>Table2523467891011101213121412151615171819[[#This Row],[Jones Creek Target (Mbopd)]]-Table2523467891011101213121412151615171819[[#This Row],[Jones Creek (Mbopd)]]</f>
        <v>12.411000000000001</v>
      </c>
      <c r="O24" s="723">
        <f>Table2523467891011101213121412151615171819[[#This Row],[Odidi Target (Mbopd)]]-Table2523467891011101213121412151615171819[[#This Row],[Odidi (Mbopd)]]</f>
        <v>1.7750000000000004</v>
      </c>
      <c r="P24" s="721">
        <f>Table2523467891011101213121412151615171819[[#This Row],[Batan Target (Mbopd)]]-Table2523467891011101213121412151615171819[[#This Row],[Batan (Mbopd)]]</f>
        <v>5.5434000000000001</v>
      </c>
      <c r="Q24" s="747">
        <f>Table2523467891011101213121412151615171819[[#This Row],[Egwa Target (Mbopd)]]-Table2523467891011101213121412151615171819[[#This Row],[Egwa (Mbopd)]]</f>
        <v>0.40836000000000006</v>
      </c>
      <c r="R24" s="745">
        <v>2.7399</v>
      </c>
      <c r="S24" s="723">
        <v>38.94</v>
      </c>
      <c r="T24" s="723">
        <v>1.42</v>
      </c>
      <c r="U24" s="747">
        <v>3.61</v>
      </c>
      <c r="V24" s="746">
        <v>0.84</v>
      </c>
      <c r="W24" s="723">
        <v>0</v>
      </c>
      <c r="X24" s="723">
        <v>1</v>
      </c>
      <c r="Y24" s="721">
        <v>0</v>
      </c>
      <c r="Z24" s="746">
        <f>+Table2523467891011101213121412151615171819[[#This Row],[J/C Prod gas (MMscf)]]-Table2523467891011101213121412151615171819[[#This Row],[J/C Utilised gas (MMscf)]]</f>
        <v>1.8999000000000001</v>
      </c>
      <c r="AA24" s="723">
        <f>+Table2523467891011101213121412151615171819[[#This Row],[Odid Prod gas (MMscf)]]-Table2523467891011101213121412151615171819[[#This Row],[Gas Export (MMscf/d)]]</f>
        <v>21.581999999999997</v>
      </c>
      <c r="AB24" s="723">
        <f>+Table2523467891011101213121412151615171819[[#This Row],[Batn Prod gas (MMscf)]]-Table2523467891011101213121412151615171819[[#This Row],[Batn Utilised gas (MMscf)]]</f>
        <v>0.41999999999999993</v>
      </c>
      <c r="AC24" s="747">
        <f>+Table2523467891011101213121412151615171819[[#This Row],[Egwa Prod gas (MMscf)]]-Table2523467891011101213121412151615171819[[#This Row],[Egwa Utilised gas (MMscf)]]</f>
        <v>3.61</v>
      </c>
      <c r="AD24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46.709899999999998</v>
      </c>
      <c r="AE24" s="723">
        <f>+Table2523467891011101213121412151615171819[[#This Row],[Gas Export (MMscf/d)]]</f>
        <v>17.358000000000001</v>
      </c>
      <c r="AF24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24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27.511899999999997</v>
      </c>
      <c r="AH24" s="142"/>
      <c r="AI24" s="729"/>
      <c r="AJ24" s="763"/>
      <c r="AK24" s="762"/>
      <c r="AL24" s="762"/>
      <c r="AM24" s="762"/>
      <c r="AN24" s="762"/>
      <c r="AO24" s="762"/>
      <c r="AP24" s="762"/>
      <c r="AS24" s="454"/>
      <c r="AT24" s="454"/>
      <c r="AU24" s="454"/>
      <c r="AV24" s="454"/>
      <c r="AW24" s="454"/>
      <c r="AX24" s="454"/>
      <c r="AY24" s="454"/>
    </row>
    <row r="25" spans="2:51" ht="21.6">
      <c r="B25" s="716">
        <v>44521</v>
      </c>
      <c r="C25" s="749">
        <v>21.64</v>
      </c>
      <c r="D25" s="750">
        <v>15.132</v>
      </c>
      <c r="E25" s="751">
        <v>8.9</v>
      </c>
      <c r="F25" s="749">
        <v>3.77</v>
      </c>
      <c r="G25" s="749">
        <f>SUM(Table2523467891011101213121412151615171819[[#This Row],[Jones Creek Target (Mbopd)]:[Egwa Target (Mbopd)]])</f>
        <v>49.442</v>
      </c>
      <c r="H25" s="752">
        <v>9.7650000000000006</v>
      </c>
      <c r="I25" s="752">
        <v>12.25</v>
      </c>
      <c r="J25" s="752">
        <v>3.6558000000000002</v>
      </c>
      <c r="K25" s="752">
        <v>3.3439999999999999</v>
      </c>
      <c r="L25" s="753">
        <f t="shared" si="0"/>
        <v>29.014800000000001</v>
      </c>
      <c r="M25" s="721">
        <v>17.452000000000002</v>
      </c>
      <c r="N25" s="765">
        <f>Table2523467891011101213121412151615171819[[#This Row],[Jones Creek Target (Mbopd)]]-Table2523467891011101213121412151615171819[[#This Row],[Jones Creek (Mbopd)]]</f>
        <v>11.875</v>
      </c>
      <c r="O25" s="723">
        <f>Table2523467891011101213121412151615171819[[#This Row],[Odidi Target (Mbopd)]]-Table2523467891011101213121412151615171819[[#This Row],[Odidi (Mbopd)]]</f>
        <v>2.8819999999999997</v>
      </c>
      <c r="P25" s="721">
        <f>Table2523467891011101213121412151615171819[[#This Row],[Batan Target (Mbopd)]]-Table2523467891011101213121412151615171819[[#This Row],[Batan (Mbopd)]]</f>
        <v>5.2442000000000002</v>
      </c>
      <c r="Q25" s="747">
        <f>Table2523467891011101213121412151615171819[[#This Row],[Egwa Target (Mbopd)]]-Table2523467891011101213121412151615171819[[#This Row],[Egwa (Mbopd)]]</f>
        <v>0.42600000000000016</v>
      </c>
      <c r="R25" s="745">
        <v>2.5806</v>
      </c>
      <c r="S25" s="723">
        <v>39.020000000000003</v>
      </c>
      <c r="T25" s="723">
        <v>1.42</v>
      </c>
      <c r="U25" s="747">
        <v>3.59</v>
      </c>
      <c r="V25" s="746">
        <v>0.84</v>
      </c>
      <c r="W25" s="723">
        <v>0</v>
      </c>
      <c r="X25" s="723">
        <v>1</v>
      </c>
      <c r="Y25" s="721">
        <v>0</v>
      </c>
      <c r="Z25" s="746">
        <f>+Table2523467891011101213121412151615171819[[#This Row],[J/C Prod gas (MMscf)]]-Table2523467891011101213121412151615171819[[#This Row],[J/C Utilised gas (MMscf)]]</f>
        <v>1.7406000000000001</v>
      </c>
      <c r="AA25" s="723">
        <f>+Table2523467891011101213121412151615171819[[#This Row],[Odid Prod gas (MMscf)]]-Table2523467891011101213121412151615171819[[#This Row],[Gas Export (MMscf/d)]]</f>
        <v>21.568000000000001</v>
      </c>
      <c r="AB25" s="723">
        <f>+Table2523467891011101213121412151615171819[[#This Row],[Batn Prod gas (MMscf)]]-Table2523467891011101213121412151615171819[[#This Row],[Batn Utilised gas (MMscf)]]</f>
        <v>0.41999999999999993</v>
      </c>
      <c r="AC25" s="747">
        <f>+Table2523467891011101213121412151615171819[[#This Row],[Egwa Prod gas (MMscf)]]-Table2523467891011101213121412151615171819[[#This Row],[Egwa Utilised gas (MMscf)]]</f>
        <v>3.59</v>
      </c>
      <c r="AD25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46.610600000000005</v>
      </c>
      <c r="AE25" s="723">
        <f>+Table2523467891011101213121412151615171819[[#This Row],[Gas Export (MMscf/d)]]</f>
        <v>17.452000000000002</v>
      </c>
      <c r="AF25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25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27.3186</v>
      </c>
      <c r="AH25" s="142"/>
      <c r="AI25" s="729"/>
      <c r="AJ25" s="763"/>
      <c r="AK25" s="762"/>
      <c r="AL25" s="762"/>
      <c r="AM25" s="762"/>
      <c r="AN25" s="762"/>
      <c r="AO25" s="762"/>
      <c r="AP25" s="762"/>
      <c r="AS25" s="454"/>
      <c r="AT25" s="454"/>
      <c r="AU25" s="454"/>
      <c r="AV25" s="454"/>
      <c r="AW25" s="454"/>
      <c r="AX25" s="454"/>
      <c r="AY25" s="454"/>
    </row>
    <row r="26" spans="2:51" ht="21.6">
      <c r="B26" s="716">
        <v>44522</v>
      </c>
      <c r="C26" s="749">
        <v>21.64</v>
      </c>
      <c r="D26" s="750">
        <v>15.132</v>
      </c>
      <c r="E26" s="751">
        <v>8.9</v>
      </c>
      <c r="F26" s="749">
        <v>3.77</v>
      </c>
      <c r="G26" s="749">
        <f>SUM(Table2523467891011101213121412151615171819[[#This Row],[Jones Creek Target (Mbopd)]:[Egwa Target (Mbopd)]])</f>
        <v>49.442</v>
      </c>
      <c r="H26" s="752">
        <v>10.084</v>
      </c>
      <c r="I26" s="752">
        <v>12.227</v>
      </c>
      <c r="J26" s="752">
        <v>3.6558000000000002</v>
      </c>
      <c r="K26" s="752">
        <v>3.3010000000000002</v>
      </c>
      <c r="L26" s="753">
        <f t="shared" si="0"/>
        <v>29.267800000000001</v>
      </c>
      <c r="M26" s="721">
        <v>16.385999999999999</v>
      </c>
      <c r="N26" s="765">
        <f>Table2523467891011101213121412151615171819[[#This Row],[Jones Creek Target (Mbopd)]]-Table2523467891011101213121412151615171819[[#This Row],[Jones Creek (Mbopd)]]</f>
        <v>11.556000000000001</v>
      </c>
      <c r="O26" s="723">
        <f>Table2523467891011101213121412151615171819[[#This Row],[Odidi Target (Mbopd)]]-Table2523467891011101213121412151615171819[[#This Row],[Odidi (Mbopd)]]</f>
        <v>2.9049999999999994</v>
      </c>
      <c r="P26" s="721">
        <f>Table2523467891011101213121412151615171819[[#This Row],[Batan Target (Mbopd)]]-Table2523467891011101213121412151615171819[[#This Row],[Batan (Mbopd)]]</f>
        <v>5.2442000000000002</v>
      </c>
      <c r="Q26" s="747">
        <f>Table2523467891011101213121412151615171819[[#This Row],[Egwa Target (Mbopd)]]-Table2523467891011101213121412151615171819[[#This Row],[Egwa (Mbopd)]]</f>
        <v>0.46899999999999986</v>
      </c>
      <c r="R26" s="745">
        <v>2.6938</v>
      </c>
      <c r="S26" s="723">
        <v>38.96</v>
      </c>
      <c r="T26" s="723">
        <v>1.42</v>
      </c>
      <c r="U26" s="747">
        <v>3.66</v>
      </c>
      <c r="V26" s="746">
        <v>0.84</v>
      </c>
      <c r="W26" s="723">
        <v>0</v>
      </c>
      <c r="X26" s="723">
        <v>1</v>
      </c>
      <c r="Y26" s="721">
        <v>0</v>
      </c>
      <c r="Z26" s="746">
        <f>+Table2523467891011101213121412151615171819[[#This Row],[J/C Prod gas (MMscf)]]-Table2523467891011101213121412151615171819[[#This Row],[J/C Utilised gas (MMscf)]]</f>
        <v>1.8538000000000001</v>
      </c>
      <c r="AA26" s="723">
        <f>+Table2523467891011101213121412151615171819[[#This Row],[Odid Prod gas (MMscf)]]-Table2523467891011101213121412151615171819[[#This Row],[Gas Export (MMscf/d)]]</f>
        <v>22.574000000000002</v>
      </c>
      <c r="AB26" s="723">
        <f>+Table2523467891011101213121412151615171819[[#This Row],[Batn Prod gas (MMscf)]]-Table2523467891011101213121412151615171819[[#This Row],[Batn Utilised gas (MMscf)]]</f>
        <v>0.41999999999999993</v>
      </c>
      <c r="AC26" s="747">
        <f>+Table2523467891011101213121412151615171819[[#This Row],[Egwa Prod gas (MMscf)]]-Table2523467891011101213121412151615171819[[#This Row],[Egwa Utilised gas (MMscf)]]</f>
        <v>3.66</v>
      </c>
      <c r="AD26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46.733800000000002</v>
      </c>
      <c r="AE26" s="723">
        <f>+Table2523467891011101213121412151615171819[[#This Row],[Gas Export (MMscf/d)]]</f>
        <v>16.385999999999999</v>
      </c>
      <c r="AF26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26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28.5078</v>
      </c>
      <c r="AH26" s="142"/>
      <c r="AI26" s="729"/>
      <c r="AJ26" s="763"/>
      <c r="AK26" s="762"/>
      <c r="AL26" s="762"/>
      <c r="AM26" s="762"/>
      <c r="AN26" s="762"/>
      <c r="AO26" s="762"/>
      <c r="AP26" s="762"/>
      <c r="AS26" s="454"/>
      <c r="AT26" s="454"/>
      <c r="AU26" s="454"/>
      <c r="AV26" s="454"/>
      <c r="AW26" s="454"/>
      <c r="AX26" s="454"/>
      <c r="AY26" s="454"/>
    </row>
    <row r="27" spans="2:51" ht="21.6">
      <c r="B27" s="716">
        <v>44523</v>
      </c>
      <c r="C27" s="749">
        <v>21.64</v>
      </c>
      <c r="D27" s="750">
        <v>15.132</v>
      </c>
      <c r="E27" s="751">
        <v>8.9</v>
      </c>
      <c r="F27" s="749">
        <v>3.77</v>
      </c>
      <c r="G27" s="749">
        <f>SUM(Table2523467891011101213121412151615171819[[#This Row],[Jones Creek Target (Mbopd)]:[Egwa Target (Mbopd)]])</f>
        <v>49.442</v>
      </c>
      <c r="H27" s="752">
        <v>10.031000000000001</v>
      </c>
      <c r="I27" s="752">
        <v>13.396000000000001</v>
      </c>
      <c r="J27" s="752">
        <v>3.645</v>
      </c>
      <c r="K27" s="752">
        <v>3.23</v>
      </c>
      <c r="L27" s="753">
        <f t="shared" si="0"/>
        <v>30.302</v>
      </c>
      <c r="M27" s="721">
        <v>17.96</v>
      </c>
      <c r="N27" s="765">
        <f>Table2523467891011101213121412151615171819[[#This Row],[Jones Creek Target (Mbopd)]]-Table2523467891011101213121412151615171819[[#This Row],[Jones Creek (Mbopd)]]</f>
        <v>11.609</v>
      </c>
      <c r="O27" s="723">
        <f>Table2523467891011101213121412151615171819[[#This Row],[Odidi Target (Mbopd)]]-Table2523467891011101213121412151615171819[[#This Row],[Odidi (Mbopd)]]</f>
        <v>1.7359999999999989</v>
      </c>
      <c r="P27" s="721">
        <f>Table2523467891011101213121412151615171819[[#This Row],[Batan Target (Mbopd)]]-Table2523467891011101213121412151615171819[[#This Row],[Batan (Mbopd)]]</f>
        <v>5.2550000000000008</v>
      </c>
      <c r="Q27" s="747">
        <f>Table2523467891011101213121412151615171819[[#This Row],[Egwa Target (Mbopd)]]-Table2523467891011101213121412151615171819[[#This Row],[Egwa (Mbopd)]]</f>
        <v>0.54</v>
      </c>
      <c r="R27" s="989">
        <v>5.0099</v>
      </c>
      <c r="S27" s="723">
        <v>39.01</v>
      </c>
      <c r="T27" s="723">
        <v>1.42</v>
      </c>
      <c r="U27" s="747">
        <v>3.73</v>
      </c>
      <c r="V27" s="746">
        <v>0.84</v>
      </c>
      <c r="W27" s="723">
        <v>0</v>
      </c>
      <c r="X27" s="723">
        <v>1</v>
      </c>
      <c r="Y27" s="721">
        <v>0</v>
      </c>
      <c r="Z27" s="746">
        <f>+Table2523467891011101213121412151615171819[[#This Row],[J/C Prod gas (MMscf)]]-Table2523467891011101213121412151615171819[[#This Row],[J/C Utilised gas (MMscf)]]</f>
        <v>4.1699000000000002</v>
      </c>
      <c r="AA27" s="723">
        <f>+Table2523467891011101213121412151615171819[[#This Row],[Odid Prod gas (MMscf)]]-Table2523467891011101213121412151615171819[[#This Row],[Gas Export (MMscf/d)]]</f>
        <v>21.049999999999997</v>
      </c>
      <c r="AB27" s="723">
        <f>+Table2523467891011101213121412151615171819[[#This Row],[Batn Prod gas (MMscf)]]-Table2523467891011101213121412151615171819[[#This Row],[Batn Utilised gas (MMscf)]]</f>
        <v>0.41999999999999993</v>
      </c>
      <c r="AC27" s="747">
        <f>+Table2523467891011101213121412151615171819[[#This Row],[Egwa Prod gas (MMscf)]]-Table2523467891011101213121412151615171819[[#This Row],[Egwa Utilised gas (MMscf)]]</f>
        <v>3.73</v>
      </c>
      <c r="AD27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49.169899999999998</v>
      </c>
      <c r="AE27" s="723">
        <f>+Table2523467891011101213121412151615171819[[#This Row],[Gas Export (MMscf/d)]]</f>
        <v>17.96</v>
      </c>
      <c r="AF27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27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29.369899999999998</v>
      </c>
      <c r="AH27" s="142"/>
      <c r="AI27" s="729"/>
      <c r="AJ27" s="763"/>
      <c r="AK27" s="762"/>
      <c r="AL27" s="762"/>
      <c r="AM27" s="762"/>
      <c r="AN27" s="762"/>
      <c r="AO27" s="762"/>
      <c r="AP27" s="762"/>
      <c r="AS27" s="454"/>
      <c r="AT27" s="454"/>
      <c r="AU27" s="454"/>
      <c r="AV27" s="454"/>
      <c r="AW27" s="454"/>
      <c r="AX27" s="454"/>
      <c r="AY27" s="454"/>
    </row>
    <row r="28" spans="2:51" ht="21.6">
      <c r="B28" s="716">
        <v>44524</v>
      </c>
      <c r="C28" s="749">
        <v>21.64</v>
      </c>
      <c r="D28" s="750">
        <v>15.132</v>
      </c>
      <c r="E28" s="751">
        <v>8.9</v>
      </c>
      <c r="F28" s="749">
        <v>3.77</v>
      </c>
      <c r="G28" s="749">
        <f>SUM(Table2523467891011101213121412151615171819[[#This Row],[Jones Creek Target (Mbopd)]:[Egwa Target (Mbopd)]])</f>
        <v>49.442</v>
      </c>
      <c r="H28" s="752">
        <v>10.041</v>
      </c>
      <c r="I28" s="752">
        <v>13.036</v>
      </c>
      <c r="J28" s="752">
        <v>3.6974999999999998</v>
      </c>
      <c r="K28" s="752">
        <v>3.2993899999999998</v>
      </c>
      <c r="L28" s="753">
        <f t="shared" si="0"/>
        <v>30.073889999999995</v>
      </c>
      <c r="M28" s="721">
        <v>18.006</v>
      </c>
      <c r="N28" s="765">
        <f>Table2523467891011101213121412151615171819[[#This Row],[Jones Creek Target (Mbopd)]]-Table2523467891011101213121412151615171819[[#This Row],[Jones Creek (Mbopd)]]</f>
        <v>11.599</v>
      </c>
      <c r="O28" s="723">
        <f>Table2523467891011101213121412151615171819[[#This Row],[Odidi Target (Mbopd)]]-Table2523467891011101213121412151615171819[[#This Row],[Odidi (Mbopd)]]</f>
        <v>2.0960000000000001</v>
      </c>
      <c r="P28" s="721">
        <f>Table2523467891011101213121412151615171819[[#This Row],[Batan Target (Mbopd)]]-Table2523467891011101213121412151615171819[[#This Row],[Batan (Mbopd)]]</f>
        <v>5.2025000000000006</v>
      </c>
      <c r="Q28" s="747">
        <f>Table2523467891011101213121412151615171819[[#This Row],[Egwa Target (Mbopd)]]-Table2523467891011101213121412151615171819[[#This Row],[Egwa (Mbopd)]]</f>
        <v>0.47061000000000019</v>
      </c>
      <c r="R28" s="989">
        <v>5.01</v>
      </c>
      <c r="S28" s="723">
        <v>38.520000000000003</v>
      </c>
      <c r="T28" s="723">
        <v>1.22</v>
      </c>
      <c r="U28" s="747">
        <v>3.69</v>
      </c>
      <c r="V28" s="746">
        <v>0.84</v>
      </c>
      <c r="W28" s="723">
        <v>0</v>
      </c>
      <c r="X28" s="723">
        <v>1</v>
      </c>
      <c r="Y28" s="721">
        <v>0</v>
      </c>
      <c r="Z28" s="746">
        <f>+Table2523467891011101213121412151615171819[[#This Row],[J/C Prod gas (MMscf)]]-Table2523467891011101213121412151615171819[[#This Row],[J/C Utilised gas (MMscf)]]</f>
        <v>4.17</v>
      </c>
      <c r="AA28" s="723">
        <f>+Table2523467891011101213121412151615171819[[#This Row],[Odid Prod gas (MMscf)]]-Table2523467891011101213121412151615171819[[#This Row],[Gas Export (MMscf/d)]]</f>
        <v>20.514000000000003</v>
      </c>
      <c r="AB28" s="723">
        <f>+Table2523467891011101213121412151615171819[[#This Row],[Batn Prod gas (MMscf)]]-Table2523467891011101213121412151615171819[[#This Row],[Batn Utilised gas (MMscf)]]</f>
        <v>0.21999999999999997</v>
      </c>
      <c r="AC28" s="747">
        <f>+Table2523467891011101213121412151615171819[[#This Row],[Egwa Prod gas (MMscf)]]-Table2523467891011101213121412151615171819[[#This Row],[Egwa Utilised gas (MMscf)]]</f>
        <v>3.69</v>
      </c>
      <c r="AD28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48.44</v>
      </c>
      <c r="AE28" s="723">
        <f>+Table2523467891011101213121412151615171819[[#This Row],[Gas Export (MMscf/d)]]</f>
        <v>18.006</v>
      </c>
      <c r="AF28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28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28.594000000000005</v>
      </c>
      <c r="AH28" s="142"/>
      <c r="AI28" s="729"/>
      <c r="AJ28" s="763"/>
      <c r="AK28" s="762"/>
      <c r="AL28" s="762"/>
      <c r="AM28" s="762"/>
      <c r="AN28" s="762"/>
      <c r="AO28" s="762"/>
      <c r="AP28" s="762"/>
      <c r="AS28" s="454"/>
      <c r="AT28" s="454"/>
      <c r="AU28" s="454"/>
      <c r="AV28" s="454"/>
      <c r="AW28" s="454"/>
      <c r="AX28" s="454"/>
      <c r="AY28" s="454"/>
    </row>
    <row r="29" spans="2:51" ht="21.6">
      <c r="B29" s="716">
        <v>44525</v>
      </c>
      <c r="C29" s="749">
        <v>21.64</v>
      </c>
      <c r="D29" s="750">
        <v>15.132</v>
      </c>
      <c r="E29" s="751">
        <v>8.9</v>
      </c>
      <c r="F29" s="749">
        <v>3.77</v>
      </c>
      <c r="G29" s="749">
        <f>SUM(Table2523467891011101213121412151615171819[[#This Row],[Jones Creek Target (Mbopd)]:[Egwa Target (Mbopd)]])</f>
        <v>49.442</v>
      </c>
      <c r="H29" s="752">
        <v>9.7799999999999994</v>
      </c>
      <c r="I29" s="752">
        <v>12.493</v>
      </c>
      <c r="J29" s="752">
        <v>3.637</v>
      </c>
      <c r="K29" s="752">
        <v>3.2589999999999999</v>
      </c>
      <c r="L29" s="753">
        <f t="shared" si="0"/>
        <v>29.169</v>
      </c>
      <c r="M29" s="721">
        <v>15.541</v>
      </c>
      <c r="N29" s="765">
        <f>Table2523467891011101213121412151615171819[[#This Row],[Jones Creek Target (Mbopd)]]-Table2523467891011101213121412151615171819[[#This Row],[Jones Creek (Mbopd)]]</f>
        <v>11.860000000000001</v>
      </c>
      <c r="O29" s="723">
        <f>Table2523467891011101213121412151615171819[[#This Row],[Odidi Target (Mbopd)]]-Table2523467891011101213121412151615171819[[#This Row],[Odidi (Mbopd)]]</f>
        <v>2.6389999999999993</v>
      </c>
      <c r="P29" s="721">
        <f>Table2523467891011101213121412151615171819[[#This Row],[Batan Target (Mbopd)]]-Table2523467891011101213121412151615171819[[#This Row],[Batan (Mbopd)]]</f>
        <v>5.2629999999999999</v>
      </c>
      <c r="Q29" s="747">
        <f>Table2523467891011101213121412151615171819[[#This Row],[Egwa Target (Mbopd)]]-Table2523467891011101213121412151615171819[[#This Row],[Egwa (Mbopd)]]</f>
        <v>0.51100000000000012</v>
      </c>
      <c r="R29" s="745">
        <v>5.01</v>
      </c>
      <c r="S29" s="723">
        <v>37.270000000000003</v>
      </c>
      <c r="T29" s="723">
        <v>1.07</v>
      </c>
      <c r="U29" s="747">
        <v>3.69</v>
      </c>
      <c r="V29" s="746">
        <v>0.84</v>
      </c>
      <c r="W29" s="723">
        <v>0</v>
      </c>
      <c r="X29" s="723">
        <v>1</v>
      </c>
      <c r="Y29" s="721">
        <v>0</v>
      </c>
      <c r="Z29" s="746">
        <f>+Table2523467891011101213121412151615171819[[#This Row],[J/C Prod gas (MMscf)]]-Table2523467891011101213121412151615171819[[#This Row],[J/C Utilised gas (MMscf)]]</f>
        <v>4.17</v>
      </c>
      <c r="AA29" s="723">
        <f>+Table2523467891011101213121412151615171819[[#This Row],[Odid Prod gas (MMscf)]]-Table2523467891011101213121412151615171819[[#This Row],[Gas Export (MMscf/d)]]</f>
        <v>21.729000000000003</v>
      </c>
      <c r="AB29" s="723">
        <f>+Table2523467891011101213121412151615171819[[#This Row],[Batn Prod gas (MMscf)]]-Table2523467891011101213121412151615171819[[#This Row],[Batn Utilised gas (MMscf)]]</f>
        <v>7.0000000000000062E-2</v>
      </c>
      <c r="AC29" s="747">
        <f>+Table2523467891011101213121412151615171819[[#This Row],[Egwa Prod gas (MMscf)]]-Table2523467891011101213121412151615171819[[#This Row],[Egwa Utilised gas (MMscf)]]</f>
        <v>3.69</v>
      </c>
      <c r="AD29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47.04</v>
      </c>
      <c r="AE29" s="723">
        <f>+Table2523467891011101213121412151615171819[[#This Row],[Gas Export (MMscf/d)]]</f>
        <v>15.541</v>
      </c>
      <c r="AF29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29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29.659000000000002</v>
      </c>
      <c r="AH29" s="142"/>
      <c r="AI29" s="729"/>
      <c r="AJ29" s="763"/>
      <c r="AK29" s="762"/>
      <c r="AL29" s="762"/>
      <c r="AM29" s="762"/>
      <c r="AN29" s="762"/>
      <c r="AO29" s="762"/>
      <c r="AP29" s="762"/>
      <c r="AS29" s="454"/>
      <c r="AT29" s="454"/>
      <c r="AU29" s="454"/>
      <c r="AV29" s="454"/>
      <c r="AW29" s="454"/>
      <c r="AX29" s="454"/>
      <c r="AY29" s="454"/>
    </row>
    <row r="30" spans="2:51" ht="21.6">
      <c r="B30" s="716">
        <v>44526</v>
      </c>
      <c r="C30" s="749">
        <v>21.64</v>
      </c>
      <c r="D30" s="750">
        <v>15.132</v>
      </c>
      <c r="E30" s="751">
        <v>8.9</v>
      </c>
      <c r="F30" s="749">
        <v>3.77</v>
      </c>
      <c r="G30" s="749">
        <f>SUM(Table2523467891011101213121412151615171819[[#This Row],[Jones Creek Target (Mbopd)]:[Egwa Target (Mbopd)]])</f>
        <v>49.442</v>
      </c>
      <c r="H30" s="752">
        <v>9.7629999999999999</v>
      </c>
      <c r="I30" s="752">
        <v>11.038</v>
      </c>
      <c r="J30" s="752">
        <v>3.673</v>
      </c>
      <c r="K30" s="752">
        <v>3.2429999999999999</v>
      </c>
      <c r="L30" s="753">
        <f t="shared" si="0"/>
        <v>27.717000000000002</v>
      </c>
      <c r="M30" s="721">
        <v>2.5059999999999998</v>
      </c>
      <c r="N30" s="765">
        <f>Table2523467891011101213121412151615171819[[#This Row],[Jones Creek Target (Mbopd)]]-Table2523467891011101213121412151615171819[[#This Row],[Jones Creek (Mbopd)]]</f>
        <v>11.877000000000001</v>
      </c>
      <c r="O30" s="723">
        <f>Table2523467891011101213121412151615171819[[#This Row],[Odidi Target (Mbopd)]]-Table2523467891011101213121412151615171819[[#This Row],[Odidi (Mbopd)]]</f>
        <v>4.0939999999999994</v>
      </c>
      <c r="P30" s="721">
        <f>Table2523467891011101213121412151615171819[[#This Row],[Batan Target (Mbopd)]]-Table2523467891011101213121412151615171819[[#This Row],[Batan (Mbopd)]]</f>
        <v>5.2270000000000003</v>
      </c>
      <c r="Q30" s="747">
        <f>Table2523467891011101213121412151615171819[[#This Row],[Egwa Target (Mbopd)]]-Table2523467891011101213121412151615171819[[#This Row],[Egwa (Mbopd)]]</f>
        <v>0.52700000000000014</v>
      </c>
      <c r="R30" s="745">
        <v>5.01</v>
      </c>
      <c r="S30" s="723">
        <v>36.630000000000003</v>
      </c>
      <c r="T30" s="723">
        <v>1.07</v>
      </c>
      <c r="U30" s="747">
        <v>3.69</v>
      </c>
      <c r="V30" s="746">
        <v>0.84</v>
      </c>
      <c r="W30" s="723">
        <v>0</v>
      </c>
      <c r="X30" s="723">
        <v>1</v>
      </c>
      <c r="Y30" s="721">
        <v>0</v>
      </c>
      <c r="Z30" s="746">
        <f>+Table2523467891011101213121412151615171819[[#This Row],[J/C Prod gas (MMscf)]]-Table2523467891011101213121412151615171819[[#This Row],[J/C Utilised gas (MMscf)]]</f>
        <v>4.17</v>
      </c>
      <c r="AA30" s="723">
        <f>+Table2523467891011101213121412151615171819[[#This Row],[Odid Prod gas (MMscf)]]-Table2523467891011101213121412151615171819[[#This Row],[Gas Export (MMscf/d)]]</f>
        <v>34.124000000000002</v>
      </c>
      <c r="AB30" s="723">
        <f>+Table2523467891011101213121412151615171819[[#This Row],[Batn Prod gas (MMscf)]]-Table2523467891011101213121412151615171819[[#This Row],[Batn Utilised gas (MMscf)]]</f>
        <v>7.0000000000000062E-2</v>
      </c>
      <c r="AC30" s="747">
        <f>+Table2523467891011101213121412151615171819[[#This Row],[Egwa Prod gas (MMscf)]]-Table2523467891011101213121412151615171819[[#This Row],[Egwa Utilised gas (MMscf)]]</f>
        <v>3.69</v>
      </c>
      <c r="AD30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46.4</v>
      </c>
      <c r="AE30" s="723">
        <f>+Table2523467891011101213121412151615171819[[#This Row],[Gas Export (MMscf/d)]]</f>
        <v>2.5059999999999998</v>
      </c>
      <c r="AF30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30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42.054000000000002</v>
      </c>
      <c r="AH30" s="142"/>
      <c r="AI30" s="729"/>
      <c r="AJ30" s="763"/>
      <c r="AK30" s="762"/>
      <c r="AL30" s="762"/>
      <c r="AM30" s="762"/>
      <c r="AN30" s="762"/>
      <c r="AO30" s="762"/>
      <c r="AP30" s="762"/>
      <c r="AS30" s="454"/>
      <c r="AT30" s="454"/>
      <c r="AU30" s="454"/>
      <c r="AV30" s="454"/>
      <c r="AW30" s="454"/>
      <c r="AX30" s="454"/>
      <c r="AY30" s="454"/>
    </row>
    <row r="31" spans="2:51" ht="21.6">
      <c r="B31" s="716">
        <v>44527</v>
      </c>
      <c r="C31" s="749">
        <v>21.64</v>
      </c>
      <c r="D31" s="750">
        <v>15.132</v>
      </c>
      <c r="E31" s="751">
        <v>8.9</v>
      </c>
      <c r="F31" s="749">
        <v>3.77</v>
      </c>
      <c r="G31" s="749">
        <f>SUM(Table2523467891011101213121412151615171819[[#This Row],[Jones Creek Target (Mbopd)]:[Egwa Target (Mbopd)]])</f>
        <v>49.442</v>
      </c>
      <c r="H31" s="752">
        <v>9.0335300000000007</v>
      </c>
      <c r="I31" s="752">
        <v>10.967000000000001</v>
      </c>
      <c r="J31" s="752">
        <v>4.5812999999999997</v>
      </c>
      <c r="K31" s="752">
        <v>3.2290100000000002</v>
      </c>
      <c r="L31" s="753">
        <f t="shared" si="0"/>
        <v>27.810839999999999</v>
      </c>
      <c r="M31" s="721">
        <v>11.865</v>
      </c>
      <c r="N31" s="765">
        <f>Table2523467891011101213121412151615171819[[#This Row],[Jones Creek Target (Mbopd)]]-Table2523467891011101213121412151615171819[[#This Row],[Jones Creek (Mbopd)]]</f>
        <v>12.60647</v>
      </c>
      <c r="O31" s="723">
        <f>Table2523467891011101213121412151615171819[[#This Row],[Odidi Target (Mbopd)]]-Table2523467891011101213121412151615171819[[#This Row],[Odidi (Mbopd)]]</f>
        <v>4.1649999999999991</v>
      </c>
      <c r="P31" s="721">
        <f>Table2523467891011101213121412151615171819[[#This Row],[Batan Target (Mbopd)]]-Table2523467891011101213121412151615171819[[#This Row],[Batan (Mbopd)]]</f>
        <v>4.3187000000000006</v>
      </c>
      <c r="Q31" s="747">
        <f>Table2523467891011101213121412151615171819[[#This Row],[Egwa Target (Mbopd)]]-Table2523467891011101213121412151615171819[[#This Row],[Egwa (Mbopd)]]</f>
        <v>0.54098999999999986</v>
      </c>
      <c r="R31" s="745">
        <v>5.01</v>
      </c>
      <c r="S31" s="723">
        <v>36.630000000000003</v>
      </c>
      <c r="T31" s="723">
        <v>1.43</v>
      </c>
      <c r="U31" s="747">
        <v>3.84</v>
      </c>
      <c r="V31" s="746">
        <v>0.84</v>
      </c>
      <c r="W31" s="723">
        <v>0</v>
      </c>
      <c r="X31" s="723">
        <v>1</v>
      </c>
      <c r="Y31" s="721">
        <v>0</v>
      </c>
      <c r="Z31" s="746">
        <f>+Table2523467891011101213121412151615171819[[#This Row],[J/C Prod gas (MMscf)]]-Table2523467891011101213121412151615171819[[#This Row],[J/C Utilised gas (MMscf)]]</f>
        <v>4.17</v>
      </c>
      <c r="AA31" s="723">
        <f>+Table2523467891011101213121412151615171819[[#This Row],[Odid Prod gas (MMscf)]]-Table2523467891011101213121412151615171819[[#This Row],[Gas Export (MMscf/d)]]</f>
        <v>24.765000000000001</v>
      </c>
      <c r="AB31" s="723">
        <f>+Table2523467891011101213121412151615171819[[#This Row],[Batn Prod gas (MMscf)]]-Table2523467891011101213121412151615171819[[#This Row],[Batn Utilised gas (MMscf)]]</f>
        <v>0.42999999999999994</v>
      </c>
      <c r="AC31" s="747">
        <f>+Table2523467891011101213121412151615171819[[#This Row],[Egwa Prod gas (MMscf)]]-Table2523467891011101213121412151615171819[[#This Row],[Egwa Utilised gas (MMscf)]]</f>
        <v>3.84</v>
      </c>
      <c r="AD31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46.91</v>
      </c>
      <c r="AE31" s="723">
        <f>+Table2523467891011101213121412151615171819[[#This Row],[Gas Export (MMscf/d)]]</f>
        <v>11.865</v>
      </c>
      <c r="AF31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31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33.204999999999998</v>
      </c>
      <c r="AH31" s="142"/>
      <c r="AI31" s="729"/>
      <c r="AJ31" s="763"/>
      <c r="AK31" s="762"/>
      <c r="AL31" s="762"/>
      <c r="AM31" s="762"/>
      <c r="AN31" s="762"/>
      <c r="AO31" s="762"/>
      <c r="AP31" s="762"/>
      <c r="AS31" s="454"/>
      <c r="AT31" s="454"/>
      <c r="AU31" s="454"/>
      <c r="AV31" s="454"/>
      <c r="AW31" s="454"/>
      <c r="AX31" s="454"/>
      <c r="AY31" s="454"/>
    </row>
    <row r="32" spans="2:51" ht="21.6">
      <c r="B32" s="716">
        <v>44528</v>
      </c>
      <c r="C32" s="749">
        <v>21.64</v>
      </c>
      <c r="D32" s="750">
        <v>15.132</v>
      </c>
      <c r="E32" s="751">
        <v>8.9</v>
      </c>
      <c r="F32" s="749">
        <v>3.77</v>
      </c>
      <c r="G32" s="749">
        <f>SUM(Table2523467891011101213121412151615171819[[#This Row],[Jones Creek Target (Mbopd)]:[Egwa Target (Mbopd)]])</f>
        <v>49.442</v>
      </c>
      <c r="H32" s="752">
        <v>10.445399999999999</v>
      </c>
      <c r="I32" s="752">
        <v>10.637</v>
      </c>
      <c r="J32" s="752">
        <v>4.6736000000000004</v>
      </c>
      <c r="K32" s="752">
        <v>3.2841999999999998</v>
      </c>
      <c r="L32" s="753">
        <f t="shared" si="0"/>
        <v>29.040199999999999</v>
      </c>
      <c r="M32" s="721">
        <v>5.2</v>
      </c>
      <c r="N32" s="765">
        <f>Table2523467891011101213121412151615171819[[#This Row],[Jones Creek Target (Mbopd)]]-Table2523467891011101213121412151615171819[[#This Row],[Jones Creek (Mbopd)]]</f>
        <v>11.194600000000001</v>
      </c>
      <c r="O32" s="723">
        <f>Table2523467891011101213121412151615171819[[#This Row],[Odidi Target (Mbopd)]]-Table2523467891011101213121412151615171819[[#This Row],[Odidi (Mbopd)]]</f>
        <v>4.4949999999999992</v>
      </c>
      <c r="P32" s="721">
        <f>Table2523467891011101213121412151615171819[[#This Row],[Batan Target (Mbopd)]]-Table2523467891011101213121412151615171819[[#This Row],[Batan (Mbopd)]]</f>
        <v>4.2263999999999999</v>
      </c>
      <c r="Q32" s="747">
        <f>Table2523467891011101213121412151615171819[[#This Row],[Egwa Target (Mbopd)]]-Table2523467891011101213121412151615171819[[#This Row],[Egwa (Mbopd)]]</f>
        <v>0.48580000000000023</v>
      </c>
      <c r="R32" s="745">
        <v>5.01</v>
      </c>
      <c r="S32" s="723">
        <v>36.630000000000003</v>
      </c>
      <c r="T32" s="723">
        <v>1.49</v>
      </c>
      <c r="U32" s="747">
        <v>3.8519999999999999</v>
      </c>
      <c r="V32" s="746">
        <v>0.84</v>
      </c>
      <c r="W32" s="723">
        <v>0</v>
      </c>
      <c r="X32" s="723">
        <v>1</v>
      </c>
      <c r="Y32" s="721">
        <v>0</v>
      </c>
      <c r="Z32" s="746">
        <f>+Table2523467891011101213121412151615171819[[#This Row],[J/C Prod gas (MMscf)]]-Table2523467891011101213121412151615171819[[#This Row],[J/C Utilised gas (MMscf)]]</f>
        <v>4.17</v>
      </c>
      <c r="AA32" s="723">
        <f>+Table2523467891011101213121412151615171819[[#This Row],[Odid Prod gas (MMscf)]]-Table2523467891011101213121412151615171819[[#This Row],[Gas Export (MMscf/d)]]</f>
        <v>31.430000000000003</v>
      </c>
      <c r="AB32" s="723">
        <f>+Table2523467891011101213121412151615171819[[#This Row],[Batn Prod gas (MMscf)]]-Table2523467891011101213121412151615171819[[#This Row],[Batn Utilised gas (MMscf)]]</f>
        <v>0.49</v>
      </c>
      <c r="AC32" s="747">
        <f>+Table2523467891011101213121412151615171819[[#This Row],[Egwa Prod gas (MMscf)]]-Table2523467891011101213121412151615171819[[#This Row],[Egwa Utilised gas (MMscf)]]</f>
        <v>3.8519999999999999</v>
      </c>
      <c r="AD32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46.981999999999999</v>
      </c>
      <c r="AE32" s="723">
        <f>+Table2523467891011101213121412151615171819[[#This Row],[Gas Export (MMscf/d)]]</f>
        <v>5.2</v>
      </c>
      <c r="AF32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32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39.942</v>
      </c>
      <c r="AH32" s="142"/>
      <c r="AI32" s="729"/>
      <c r="AJ32" s="763"/>
      <c r="AK32" s="762"/>
      <c r="AL32" s="762"/>
      <c r="AM32" s="762"/>
      <c r="AN32" s="762"/>
      <c r="AO32" s="762"/>
      <c r="AP32" s="762"/>
      <c r="AS32" s="454"/>
      <c r="AT32" s="454"/>
      <c r="AU32" s="454"/>
      <c r="AV32" s="454"/>
      <c r="AW32" s="454"/>
      <c r="AX32" s="454"/>
      <c r="AY32" s="454"/>
    </row>
    <row r="33" spans="2:51" ht="21.6">
      <c r="B33" s="716">
        <v>44529</v>
      </c>
      <c r="C33" s="749">
        <v>21.64</v>
      </c>
      <c r="D33" s="750">
        <v>15.132</v>
      </c>
      <c r="E33" s="751">
        <v>8.9</v>
      </c>
      <c r="F33" s="749">
        <v>3.77</v>
      </c>
      <c r="G33" s="749">
        <f>SUM(Table2523467891011101213121412151615171819[[#This Row],[Jones Creek Target (Mbopd)]:[Egwa Target (Mbopd)]])</f>
        <v>49.442</v>
      </c>
      <c r="H33" s="752">
        <v>10.175000000000001</v>
      </c>
      <c r="I33" s="752">
        <v>9.4619999999999997</v>
      </c>
      <c r="J33" s="752">
        <v>4.6779000000000002</v>
      </c>
      <c r="K33" s="752">
        <v>3.2886000000000002</v>
      </c>
      <c r="L33" s="753">
        <f t="shared" si="0"/>
        <v>27.6035</v>
      </c>
      <c r="M33" s="721">
        <v>9.0340000000000007</v>
      </c>
      <c r="N33" s="765">
        <f>Table2523467891011101213121412151615171819[[#This Row],[Jones Creek Target (Mbopd)]]-Table2523467891011101213121412151615171819[[#This Row],[Jones Creek (Mbopd)]]</f>
        <v>11.465</v>
      </c>
      <c r="O33" s="723">
        <f>Table2523467891011101213121412151615171819[[#This Row],[Odidi Target (Mbopd)]]-Table2523467891011101213121412151615171819[[#This Row],[Odidi (Mbopd)]]</f>
        <v>5.67</v>
      </c>
      <c r="P33" s="721">
        <f>Table2523467891011101213121412151615171819[[#This Row],[Batan Target (Mbopd)]]-Table2523467891011101213121412151615171819[[#This Row],[Batan (Mbopd)]]</f>
        <v>4.2221000000000002</v>
      </c>
      <c r="Q33" s="747">
        <f>Table2523467891011101213121412151615171819[[#This Row],[Egwa Target (Mbopd)]]-Table2523467891011101213121412151615171819[[#This Row],[Egwa (Mbopd)]]</f>
        <v>0.48139999999999983</v>
      </c>
      <c r="R33" s="745">
        <v>5.01</v>
      </c>
      <c r="S33" s="723">
        <v>29.34</v>
      </c>
      <c r="T33" s="723">
        <v>1.49</v>
      </c>
      <c r="U33" s="747">
        <v>3.8959999999999999</v>
      </c>
      <c r="V33" s="746">
        <v>0.84</v>
      </c>
      <c r="W33" s="723">
        <v>0</v>
      </c>
      <c r="X33" s="723">
        <v>1</v>
      </c>
      <c r="Y33" s="721">
        <v>0</v>
      </c>
      <c r="Z33" s="746">
        <f>+Table2523467891011101213121412151615171819[[#This Row],[J/C Prod gas (MMscf)]]-Table2523467891011101213121412151615171819[[#This Row],[J/C Utilised gas (MMscf)]]</f>
        <v>4.17</v>
      </c>
      <c r="AA33" s="723">
        <f>+Table2523467891011101213121412151615171819[[#This Row],[Odid Prod gas (MMscf)]]-Table2523467891011101213121412151615171819[[#This Row],[Gas Export (MMscf/d)]]</f>
        <v>20.305999999999997</v>
      </c>
      <c r="AB33" s="723">
        <f>+Table2523467891011101213121412151615171819[[#This Row],[Batn Prod gas (MMscf)]]-Table2523467891011101213121412151615171819[[#This Row],[Batn Utilised gas (MMscf)]]</f>
        <v>0.49</v>
      </c>
      <c r="AC33" s="747">
        <f>+Table2523467891011101213121412151615171819[[#This Row],[Egwa Prod gas (MMscf)]]-Table2523467891011101213121412151615171819[[#This Row],[Egwa Utilised gas (MMscf)]]</f>
        <v>3.8959999999999999</v>
      </c>
      <c r="AD33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39.736000000000004</v>
      </c>
      <c r="AE33" s="723">
        <f>+Table2523467891011101213121412151615171819[[#This Row],[Gas Export (MMscf/d)]]</f>
        <v>9.0340000000000007</v>
      </c>
      <c r="AF33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33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28.861999999999998</v>
      </c>
      <c r="AH33" s="142"/>
      <c r="AI33" s="729"/>
      <c r="AJ33" s="763"/>
      <c r="AK33" s="762"/>
      <c r="AL33" s="762"/>
      <c r="AM33" s="762"/>
      <c r="AN33" s="762"/>
      <c r="AO33" s="762"/>
      <c r="AP33" s="762"/>
      <c r="AS33" s="454"/>
      <c r="AT33" s="454"/>
      <c r="AU33" s="454"/>
      <c r="AV33" s="454"/>
      <c r="AW33" s="454"/>
      <c r="AX33" s="454"/>
      <c r="AY33" s="454"/>
    </row>
    <row r="34" spans="2:51" ht="21.6">
      <c r="B34" s="716">
        <v>44530</v>
      </c>
      <c r="C34" s="749">
        <v>21.64</v>
      </c>
      <c r="D34" s="750">
        <v>15.132</v>
      </c>
      <c r="E34" s="751">
        <v>8.9</v>
      </c>
      <c r="F34" s="749">
        <v>3.77</v>
      </c>
      <c r="G34" s="749">
        <f>SUM(Table2523467891011101213121412151615171819[[#This Row],[Jones Creek Target (Mbopd)]:[Egwa Target (Mbopd)]])</f>
        <v>49.442</v>
      </c>
      <c r="H34" s="752">
        <v>5.6970000000000001</v>
      </c>
      <c r="I34" s="752">
        <v>9.2509999999999994</v>
      </c>
      <c r="J34" s="752">
        <v>4.6586999999999996</v>
      </c>
      <c r="K34" s="752">
        <v>3.1840000000000002</v>
      </c>
      <c r="L34" s="753">
        <f t="shared" si="0"/>
        <v>22.790700000000001</v>
      </c>
      <c r="M34" s="721">
        <v>13.022</v>
      </c>
      <c r="N34" s="765">
        <f>Table2523467891011101213121412151615171819[[#This Row],[Jones Creek Target (Mbopd)]]-Table2523467891011101213121412151615171819[[#This Row],[Jones Creek (Mbopd)]]</f>
        <v>15.943000000000001</v>
      </c>
      <c r="O34" s="723">
        <f>Table2523467891011101213121412151615171819[[#This Row],[Odidi Target (Mbopd)]]-Table2523467891011101213121412151615171819[[#This Row],[Odidi (Mbopd)]]</f>
        <v>5.8810000000000002</v>
      </c>
      <c r="P34" s="721">
        <f>Table2523467891011101213121412151615171819[[#This Row],[Batan Target (Mbopd)]]-Table2523467891011101213121412151615171819[[#This Row],[Batan (Mbopd)]]</f>
        <v>4.2413000000000007</v>
      </c>
      <c r="Q34" s="747">
        <f>Table2523467891011101213121412151615171819[[#This Row],[Egwa Target (Mbopd)]]-Table2523467891011101213121412151615171819[[#This Row],[Egwa (Mbopd)]]</f>
        <v>0.58599999999999985</v>
      </c>
      <c r="R34" s="745">
        <v>4.21</v>
      </c>
      <c r="S34" s="723">
        <v>28.01</v>
      </c>
      <c r="T34" s="723">
        <v>1.49</v>
      </c>
      <c r="U34" s="747">
        <v>3.87</v>
      </c>
      <c r="V34" s="746">
        <v>0.84</v>
      </c>
      <c r="W34" s="723">
        <v>0</v>
      </c>
      <c r="X34" s="723">
        <v>1</v>
      </c>
      <c r="Y34" s="721">
        <v>0</v>
      </c>
      <c r="Z34" s="746">
        <f>+Table2523467891011101213121412151615171819[[#This Row],[J/C Prod gas (MMscf)]]-Table2523467891011101213121412151615171819[[#This Row],[J/C Utilised gas (MMscf)]]</f>
        <v>3.37</v>
      </c>
      <c r="AA34" s="723">
        <f>+Table2523467891011101213121412151615171819[[#This Row],[Odid Prod gas (MMscf)]]-Table2523467891011101213121412151615171819[[#This Row],[Gas Export (MMscf/d)]]</f>
        <v>14.988000000000001</v>
      </c>
      <c r="AB34" s="723">
        <f>+Table2523467891011101213121412151615171819[[#This Row],[Batn Prod gas (MMscf)]]-Table2523467891011101213121412151615171819[[#This Row],[Batn Utilised gas (MMscf)]]</f>
        <v>0.49</v>
      </c>
      <c r="AC34" s="747">
        <f>+Table2523467891011101213121412151615171819[[#This Row],[Egwa Prod gas (MMscf)]]-Table2523467891011101213121412151615171819[[#This Row],[Egwa Utilised gas (MMscf)]]</f>
        <v>3.87</v>
      </c>
      <c r="AD34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37.58</v>
      </c>
      <c r="AE34" s="723">
        <f>+Table2523467891011101213121412151615171819[[#This Row],[Gas Export (MMscf/d)]]</f>
        <v>13.022</v>
      </c>
      <c r="AF34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1.8399999999999999</v>
      </c>
      <c r="AG34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22.718</v>
      </c>
      <c r="AH34" s="142"/>
      <c r="AI34" s="729"/>
      <c r="AJ34" s="763"/>
      <c r="AK34" s="762"/>
      <c r="AL34" s="762"/>
      <c r="AM34" s="762"/>
      <c r="AN34" s="762"/>
      <c r="AO34" s="762"/>
      <c r="AP34" s="762"/>
      <c r="AS34" s="454"/>
      <c r="AT34" s="454"/>
      <c r="AU34" s="454"/>
      <c r="AV34" s="454"/>
      <c r="AW34" s="454"/>
      <c r="AX34" s="454"/>
      <c r="AY34" s="454"/>
    </row>
    <row r="35" spans="2:51" ht="21.6">
      <c r="B35" s="716">
        <v>44531</v>
      </c>
      <c r="C35" s="749">
        <v>21.64</v>
      </c>
      <c r="D35" s="750">
        <v>15.132</v>
      </c>
      <c r="E35" s="751">
        <v>8.9</v>
      </c>
      <c r="F35" s="749">
        <v>3.77</v>
      </c>
      <c r="G35" s="749">
        <f>SUM(Table2523467891011101213121412151615171819[[#This Row],[Jones Creek Target (Mbopd)]:[Egwa Target (Mbopd)]])</f>
        <v>49.442</v>
      </c>
      <c r="H35" s="752">
        <v>0.247</v>
      </c>
      <c r="I35" s="752">
        <v>10.02</v>
      </c>
      <c r="J35" s="752">
        <v>4.6920000000000002</v>
      </c>
      <c r="K35" s="752">
        <v>3.3039999999999998</v>
      </c>
      <c r="L35" s="753">
        <f t="shared" si="0"/>
        <v>18.262999999999998</v>
      </c>
      <c r="M35" s="721">
        <v>15.26</v>
      </c>
      <c r="N35" s="765">
        <f>Table2523467891011101213121412151615171819[[#This Row],[Jones Creek Target (Mbopd)]]-Table2523467891011101213121412151615171819[[#This Row],[Jones Creek (Mbopd)]]</f>
        <v>21.393000000000001</v>
      </c>
      <c r="O35" s="723">
        <f>Table2523467891011101213121412151615171819[[#This Row],[Odidi Target (Mbopd)]]-Table2523467891011101213121412151615171819[[#This Row],[Odidi (Mbopd)]]</f>
        <v>5.1120000000000001</v>
      </c>
      <c r="P35" s="721">
        <f>Table2523467891011101213121412151615171819[[#This Row],[Batan Target (Mbopd)]]-Table2523467891011101213121412151615171819[[#This Row],[Batan (Mbopd)]]</f>
        <v>4.2080000000000002</v>
      </c>
      <c r="Q35" s="747">
        <f>Table2523467891011101213121412151615171819[[#This Row],[Egwa Target (Mbopd)]]-Table2523467891011101213121412151615171819[[#This Row],[Egwa (Mbopd)]]</f>
        <v>0.46600000000000019</v>
      </c>
      <c r="R35" s="745">
        <v>0</v>
      </c>
      <c r="S35" s="723">
        <v>33.6</v>
      </c>
      <c r="T35" s="723">
        <v>1.63</v>
      </c>
      <c r="U35" s="747">
        <v>3.9889999999999999</v>
      </c>
      <c r="V35" s="746">
        <v>0</v>
      </c>
      <c r="W35" s="723">
        <v>0</v>
      </c>
      <c r="X35" s="723">
        <v>1</v>
      </c>
      <c r="Y35" s="721">
        <v>0</v>
      </c>
      <c r="Z35" s="746">
        <f>+Table2523467891011101213121412151615171819[[#This Row],[J/C Prod gas (MMscf)]]-Table2523467891011101213121412151615171819[[#This Row],[J/C Utilised gas (MMscf)]]</f>
        <v>0</v>
      </c>
      <c r="AA35" s="723">
        <f>+Table2523467891011101213121412151615171819[[#This Row],[Odid Prod gas (MMscf)]]-Table2523467891011101213121412151615171819[[#This Row],[Gas Export (MMscf/d)]]</f>
        <v>18.340000000000003</v>
      </c>
      <c r="AB35" s="723">
        <f>+Table2523467891011101213121412151615171819[[#This Row],[Batn Prod gas (MMscf)]]-Table2523467891011101213121412151615171819[[#This Row],[Batn Utilised gas (MMscf)]]</f>
        <v>0.62999999999999989</v>
      </c>
      <c r="AC35" s="747">
        <f>+Table2523467891011101213121412151615171819[[#This Row],[Egwa Prod gas (MMscf)]]-Table2523467891011101213121412151615171819[[#This Row],[Egwa Utilised gas (MMscf)]]</f>
        <v>3.9889999999999999</v>
      </c>
      <c r="AD35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39.219000000000001</v>
      </c>
      <c r="AE35" s="723">
        <f>+Table2523467891011101213121412151615171819[[#This Row],[Gas Export (MMscf/d)]]</f>
        <v>15.26</v>
      </c>
      <c r="AF35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</v>
      </c>
      <c r="AG35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22.959000000000003</v>
      </c>
      <c r="AH35" s="142"/>
      <c r="AI35" s="729"/>
      <c r="AJ35" s="763"/>
      <c r="AK35" s="762"/>
      <c r="AL35" s="762"/>
      <c r="AM35" s="762"/>
      <c r="AN35" s="762"/>
      <c r="AO35" s="762"/>
      <c r="AP35" s="762"/>
      <c r="AS35" s="454"/>
      <c r="AT35" s="454"/>
      <c r="AU35" s="454"/>
      <c r="AV35" s="454"/>
      <c r="AW35" s="454"/>
      <c r="AX35" s="454"/>
      <c r="AY35" s="454"/>
    </row>
    <row r="36" spans="2:51" ht="21.6">
      <c r="B36" s="716">
        <v>44532</v>
      </c>
      <c r="C36" s="749">
        <v>21.64</v>
      </c>
      <c r="D36" s="750">
        <v>15.132</v>
      </c>
      <c r="E36" s="751">
        <v>8.9</v>
      </c>
      <c r="F36" s="749">
        <v>3.77</v>
      </c>
      <c r="G36" s="749">
        <f>SUM(Table2523467891011101213121412151615171819[[#This Row],[Jones Creek Target (Mbopd)]:[Egwa Target (Mbopd)]])</f>
        <v>49.442</v>
      </c>
      <c r="H36" s="752">
        <v>0</v>
      </c>
      <c r="I36" s="752">
        <v>11.375999999999999</v>
      </c>
      <c r="J36" s="752">
        <v>2.0529999999999999</v>
      </c>
      <c r="K36" s="752">
        <v>0.76500000000000001</v>
      </c>
      <c r="L36" s="753">
        <f t="shared" si="0"/>
        <v>14.193999999999999</v>
      </c>
      <c r="M36" s="721">
        <v>1.6180000000000001</v>
      </c>
      <c r="N36" s="765">
        <f>Table2523467891011101213121412151615171819[[#This Row],[Jones Creek Target (Mbopd)]]-Table2523467891011101213121412151615171819[[#This Row],[Jones Creek (Mbopd)]]</f>
        <v>21.64</v>
      </c>
      <c r="O36" s="723">
        <f>Table2523467891011101213121412151615171819[[#This Row],[Odidi Target (Mbopd)]]-Table2523467891011101213121412151615171819[[#This Row],[Odidi (Mbopd)]]</f>
        <v>3.7560000000000002</v>
      </c>
      <c r="P36" s="721">
        <f>Table2523467891011101213121412151615171819[[#This Row],[Batan Target (Mbopd)]]-Table2523467891011101213121412151615171819[[#This Row],[Batan (Mbopd)]]</f>
        <v>6.8470000000000004</v>
      </c>
      <c r="Q36" s="747">
        <f>Table2523467891011101213121412151615171819[[#This Row],[Egwa Target (Mbopd)]]-Table2523467891011101213121412151615171819[[#This Row],[Egwa (Mbopd)]]</f>
        <v>3.0049999999999999</v>
      </c>
      <c r="R36" s="745">
        <v>0</v>
      </c>
      <c r="S36" s="723">
        <v>34.58</v>
      </c>
      <c r="T36" s="723">
        <v>0.89</v>
      </c>
      <c r="U36" s="747">
        <v>0.80500000000000005</v>
      </c>
      <c r="V36" s="746">
        <v>0</v>
      </c>
      <c r="W36" s="723">
        <v>0</v>
      </c>
      <c r="X36" s="723">
        <v>0.1</v>
      </c>
      <c r="Y36" s="721">
        <v>0</v>
      </c>
      <c r="Z36" s="746">
        <f>+Table2523467891011101213121412151615171819[[#This Row],[J/C Prod gas (MMscf)]]-Table2523467891011101213121412151615171819[[#This Row],[J/C Utilised gas (MMscf)]]</f>
        <v>0</v>
      </c>
      <c r="AA36" s="723">
        <f>+Table2523467891011101213121412151615171819[[#This Row],[Odid Prod gas (MMscf)]]-Table2523467891011101213121412151615171819[[#This Row],[Gas Export (MMscf/d)]]</f>
        <v>32.961999999999996</v>
      </c>
      <c r="AB36" s="723">
        <f>+Table2523467891011101213121412151615171819[[#This Row],[Batn Prod gas (MMscf)]]-Table2523467891011101213121412151615171819[[#This Row],[Batn Utilised gas (MMscf)]]</f>
        <v>0.79</v>
      </c>
      <c r="AC36" s="747">
        <f>+Table2523467891011101213121412151615171819[[#This Row],[Egwa Prod gas (MMscf)]]-Table2523467891011101213121412151615171819[[#This Row],[Egwa Utilised gas (MMscf)]]</f>
        <v>0.80500000000000005</v>
      </c>
      <c r="AD36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36.274999999999999</v>
      </c>
      <c r="AE36" s="723">
        <f>+Table2523467891011101213121412151615171819[[#This Row],[Gas Export (MMscf/d)]]</f>
        <v>1.6180000000000001</v>
      </c>
      <c r="AF36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0.1</v>
      </c>
      <c r="AG36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34.556999999999995</v>
      </c>
      <c r="AH36" s="142"/>
    </row>
    <row r="37" spans="2:51" ht="21.6">
      <c r="B37" s="716">
        <v>44533</v>
      </c>
      <c r="C37" s="749">
        <v>21.64</v>
      </c>
      <c r="D37" s="750">
        <v>15.132</v>
      </c>
      <c r="E37" s="751">
        <v>8.9</v>
      </c>
      <c r="F37" s="749">
        <v>3.77</v>
      </c>
      <c r="G37" s="749">
        <f>SUM(Table2523467891011101213121412151615171819[[#This Row],[Jones Creek Target (Mbopd)]:[Egwa Target (Mbopd)]])</f>
        <v>49.442</v>
      </c>
      <c r="H37" s="752">
        <v>0</v>
      </c>
      <c r="I37" s="752">
        <v>10.614000000000001</v>
      </c>
      <c r="J37" s="752">
        <v>0</v>
      </c>
      <c r="K37" s="752">
        <v>0</v>
      </c>
      <c r="L37" s="753">
        <f t="shared" si="0"/>
        <v>10.614000000000001</v>
      </c>
      <c r="M37" s="721">
        <v>5.194</v>
      </c>
      <c r="N37" s="765">
        <f>Table2523467891011101213121412151615171819[[#This Row],[Jones Creek Target (Mbopd)]]-Table2523467891011101213121412151615171819[[#This Row],[Jones Creek (Mbopd)]]</f>
        <v>21.64</v>
      </c>
      <c r="O37" s="723">
        <f>Table2523467891011101213121412151615171819[[#This Row],[Odidi Target (Mbopd)]]-Table2523467891011101213121412151615171819[[#This Row],[Odidi (Mbopd)]]</f>
        <v>4.5179999999999989</v>
      </c>
      <c r="P37" s="721">
        <f>Table2523467891011101213121412151615171819[[#This Row],[Batan Target (Mbopd)]]-Table2523467891011101213121412151615171819[[#This Row],[Batan (Mbopd)]]</f>
        <v>8.9</v>
      </c>
      <c r="Q37" s="747">
        <f>Table2523467891011101213121412151615171819[[#This Row],[Egwa Target (Mbopd)]]-Table2523467891011101213121412151615171819[[#This Row],[Egwa (Mbopd)]]</f>
        <v>3.77</v>
      </c>
      <c r="R37" s="745">
        <v>0</v>
      </c>
      <c r="S37" s="723">
        <v>32.409999999999997</v>
      </c>
      <c r="T37" s="723">
        <v>0</v>
      </c>
      <c r="U37" s="747">
        <v>0</v>
      </c>
      <c r="V37" s="746">
        <v>0</v>
      </c>
      <c r="W37" s="723">
        <v>0</v>
      </c>
      <c r="X37" s="723">
        <v>0</v>
      </c>
      <c r="Y37" s="721">
        <v>0</v>
      </c>
      <c r="Z37" s="746">
        <f>+Table2523467891011101213121412151615171819[[#This Row],[J/C Prod gas (MMscf)]]-Table2523467891011101213121412151615171819[[#This Row],[J/C Utilised gas (MMscf)]]</f>
        <v>0</v>
      </c>
      <c r="AA37" s="723">
        <f>+Table2523467891011101213121412151615171819[[#This Row],[Odid Prod gas (MMscf)]]-Table2523467891011101213121412151615171819[[#This Row],[Gas Export (MMscf/d)]]</f>
        <v>27.215999999999998</v>
      </c>
      <c r="AB37" s="723">
        <f>+Table2523467891011101213121412151615171819[[#This Row],[Batn Prod gas (MMscf)]]-Table2523467891011101213121412151615171819[[#This Row],[Batn Utilised gas (MMscf)]]</f>
        <v>0</v>
      </c>
      <c r="AC37" s="747">
        <f>+Table2523467891011101213121412151615171819[[#This Row],[Egwa Prod gas (MMscf)]]-Table2523467891011101213121412151615171819[[#This Row],[Egwa Utilised gas (MMscf)]]</f>
        <v>0</v>
      </c>
      <c r="AD37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32.409999999999997</v>
      </c>
      <c r="AE37" s="723">
        <f>+Table2523467891011101213121412151615171819[[#This Row],[Gas Export (MMscf/d)]]</f>
        <v>5.194</v>
      </c>
      <c r="AF37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</v>
      </c>
      <c r="AG37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27.215999999999998</v>
      </c>
      <c r="AH37" s="142"/>
    </row>
    <row r="38" spans="2:51" ht="21.6">
      <c r="B38" s="716">
        <v>44534</v>
      </c>
      <c r="C38" s="749">
        <v>21.64</v>
      </c>
      <c r="D38" s="750">
        <v>15.132</v>
      </c>
      <c r="E38" s="751">
        <v>8.9</v>
      </c>
      <c r="F38" s="749">
        <v>3.77</v>
      </c>
      <c r="G38" s="749">
        <f>SUM(Table2523467891011101213121412151615171819[[#This Row],[Jones Creek Target (Mbopd)]:[Egwa Target (Mbopd)]])</f>
        <v>49.442</v>
      </c>
      <c r="H38" s="752">
        <v>0</v>
      </c>
      <c r="I38" s="752">
        <v>9.5030000000000001</v>
      </c>
      <c r="J38" s="752">
        <v>1.339</v>
      </c>
      <c r="K38" s="752">
        <v>0</v>
      </c>
      <c r="L38" s="753">
        <f t="shared" si="0"/>
        <v>10.842000000000001</v>
      </c>
      <c r="M38" s="721">
        <v>6.8810000000000002</v>
      </c>
      <c r="N38" s="765">
        <f>Table2523467891011101213121412151615171819[[#This Row],[Jones Creek Target (Mbopd)]]-Table2523467891011101213121412151615171819[[#This Row],[Jones Creek (Mbopd)]]</f>
        <v>21.64</v>
      </c>
      <c r="O38" s="723">
        <f>Table2523467891011101213121412151615171819[[#This Row],[Odidi Target (Mbopd)]]-Table2523467891011101213121412151615171819[[#This Row],[Odidi (Mbopd)]]</f>
        <v>5.6289999999999996</v>
      </c>
      <c r="P38" s="721">
        <f>Table2523467891011101213121412151615171819[[#This Row],[Batan Target (Mbopd)]]-Table2523467891011101213121412151615171819[[#This Row],[Batan (Mbopd)]]</f>
        <v>7.5609999999999999</v>
      </c>
      <c r="Q38" s="747">
        <f>Table2523467891011101213121412151615171819[[#This Row],[Egwa Target (Mbopd)]]-Table2523467891011101213121412151615171819[[#This Row],[Egwa (Mbopd)]]</f>
        <v>3.77</v>
      </c>
      <c r="R38" s="745">
        <v>0</v>
      </c>
      <c r="S38" s="723">
        <v>30.48</v>
      </c>
      <c r="T38" s="723">
        <v>1.1000000000000001</v>
      </c>
      <c r="U38" s="747">
        <v>0</v>
      </c>
      <c r="V38" s="746">
        <v>0</v>
      </c>
      <c r="W38" s="723">
        <v>0</v>
      </c>
      <c r="X38" s="723">
        <v>1</v>
      </c>
      <c r="Y38" s="721">
        <v>0</v>
      </c>
      <c r="Z38" s="746">
        <f>+Table2523467891011101213121412151615171819[[#This Row],[J/C Prod gas (MMscf)]]-Table2523467891011101213121412151615171819[[#This Row],[J/C Utilised gas (MMscf)]]</f>
        <v>0</v>
      </c>
      <c r="AA38" s="723">
        <f>+Table2523467891011101213121412151615171819[[#This Row],[Odid Prod gas (MMscf)]]-Table2523467891011101213121412151615171819[[#This Row],[Gas Export (MMscf/d)]]</f>
        <v>23.599</v>
      </c>
      <c r="AB38" s="723">
        <f>+Table2523467891011101213121412151615171819[[#This Row],[Batn Prod gas (MMscf)]]-Table2523467891011101213121412151615171819[[#This Row],[Batn Utilised gas (MMscf)]]</f>
        <v>0.10000000000000009</v>
      </c>
      <c r="AC38" s="747">
        <f>+Table2523467891011101213121412151615171819[[#This Row],[Egwa Prod gas (MMscf)]]-Table2523467891011101213121412151615171819[[#This Row],[Egwa Utilised gas (MMscf)]]</f>
        <v>0</v>
      </c>
      <c r="AD38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31.580000000000002</v>
      </c>
      <c r="AE38" s="723">
        <f>+Table2523467891011101213121412151615171819[[#This Row],[Gas Export (MMscf/d)]]</f>
        <v>6.8810000000000002</v>
      </c>
      <c r="AF38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</v>
      </c>
      <c r="AG38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23.699000000000002</v>
      </c>
      <c r="AH38" s="142"/>
    </row>
    <row r="39" spans="2:51" ht="21.6">
      <c r="B39" s="716">
        <v>44535</v>
      </c>
      <c r="C39" s="749">
        <v>21.64</v>
      </c>
      <c r="D39" s="750">
        <v>15.132</v>
      </c>
      <c r="E39" s="751">
        <v>8.9</v>
      </c>
      <c r="F39" s="749">
        <v>3.77</v>
      </c>
      <c r="G39" s="749">
        <f>SUM(Table2523467891011101213121412151615171819[[#This Row],[Jones Creek Target (Mbopd)]:[Egwa Target (Mbopd)]])</f>
        <v>49.442</v>
      </c>
      <c r="H39" s="752">
        <v>0</v>
      </c>
      <c r="I39" s="752">
        <v>10.115</v>
      </c>
      <c r="J39" s="752">
        <v>3.839</v>
      </c>
      <c r="K39" s="752">
        <v>0</v>
      </c>
      <c r="L39" s="753">
        <f t="shared" si="0"/>
        <v>13.954000000000001</v>
      </c>
      <c r="M39" s="721">
        <v>2.2050000000000001</v>
      </c>
      <c r="N39" s="765">
        <f>Table2523467891011101213121412151615171819[[#This Row],[Jones Creek Target (Mbopd)]]-Table2523467891011101213121412151615171819[[#This Row],[Jones Creek (Mbopd)]]</f>
        <v>21.64</v>
      </c>
      <c r="O39" s="723">
        <f>Table2523467891011101213121412151615171819[[#This Row],[Odidi Target (Mbopd)]]-Table2523467891011101213121412151615171819[[#This Row],[Odidi (Mbopd)]]</f>
        <v>5.0169999999999995</v>
      </c>
      <c r="P39" s="721">
        <f>Table2523467891011101213121412151615171819[[#This Row],[Batan Target (Mbopd)]]-Table2523467891011101213121412151615171819[[#This Row],[Batan (Mbopd)]]</f>
        <v>5.0609999999999999</v>
      </c>
      <c r="Q39" s="747">
        <f>Table2523467891011101213121412151615171819[[#This Row],[Egwa Target (Mbopd)]]-Table2523467891011101213121412151615171819[[#This Row],[Egwa (Mbopd)]]</f>
        <v>3.77</v>
      </c>
      <c r="R39" s="745">
        <v>0</v>
      </c>
      <c r="S39" s="723">
        <v>29.643000000000001</v>
      </c>
      <c r="T39" s="723">
        <v>1</v>
      </c>
      <c r="U39" s="747">
        <v>0</v>
      </c>
      <c r="V39" s="746">
        <v>0</v>
      </c>
      <c r="W39" s="723">
        <v>0</v>
      </c>
      <c r="X39" s="723">
        <v>0.5</v>
      </c>
      <c r="Y39" s="721">
        <v>0</v>
      </c>
      <c r="Z39" s="746">
        <f>+Table2523467891011101213121412151615171819[[#This Row],[J/C Prod gas (MMscf)]]-Table2523467891011101213121412151615171819[[#This Row],[J/C Utilised gas (MMscf)]]</f>
        <v>0</v>
      </c>
      <c r="AA39" s="723">
        <f>+Table2523467891011101213121412151615171819[[#This Row],[Odid Prod gas (MMscf)]]-Table2523467891011101213121412151615171819[[#This Row],[Gas Export (MMscf/d)]]</f>
        <v>27.438000000000002</v>
      </c>
      <c r="AB39" s="723">
        <f>+Table2523467891011101213121412151615171819[[#This Row],[Batn Prod gas (MMscf)]]-Table2523467891011101213121412151615171819[[#This Row],[Batn Utilised gas (MMscf)]]</f>
        <v>0.5</v>
      </c>
      <c r="AC39" s="747">
        <f>+Table2523467891011101213121412151615171819[[#This Row],[Egwa Prod gas (MMscf)]]-Table2523467891011101213121412151615171819[[#This Row],[Egwa Utilised gas (MMscf)]]</f>
        <v>0</v>
      </c>
      <c r="AD39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30.643000000000001</v>
      </c>
      <c r="AE39" s="723">
        <f>+Table2523467891011101213121412151615171819[[#This Row],[Gas Export (MMscf/d)]]</f>
        <v>2.2050000000000001</v>
      </c>
      <c r="AF39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0.5</v>
      </c>
      <c r="AG39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27.938000000000002</v>
      </c>
      <c r="AH39" s="142"/>
    </row>
    <row r="40" spans="2:51" ht="21.6">
      <c r="B40" s="716">
        <v>44536</v>
      </c>
      <c r="C40" s="749">
        <v>21.64</v>
      </c>
      <c r="D40" s="750">
        <v>15.132</v>
      </c>
      <c r="E40" s="751">
        <v>8.9</v>
      </c>
      <c r="F40" s="749">
        <v>3.77</v>
      </c>
      <c r="G40" s="749">
        <f>SUM(Table2523467891011101213121412151615171819[[#This Row],[Jones Creek Target (Mbopd)]:[Egwa Target (Mbopd)]])</f>
        <v>49.442</v>
      </c>
      <c r="H40" s="752">
        <v>0</v>
      </c>
      <c r="I40" s="752">
        <v>10.88</v>
      </c>
      <c r="J40" s="752">
        <v>3.7709999999999999</v>
      </c>
      <c r="K40" s="752">
        <v>0</v>
      </c>
      <c r="L40" s="753">
        <f t="shared" si="0"/>
        <v>14.651</v>
      </c>
      <c r="M40" s="721">
        <v>6.86</v>
      </c>
      <c r="N40" s="765">
        <f>Table2523467891011101213121412151615171819[[#This Row],[Jones Creek Target (Mbopd)]]-Table2523467891011101213121412151615171819[[#This Row],[Jones Creek (Mbopd)]]</f>
        <v>21.64</v>
      </c>
      <c r="O40" s="723">
        <f>Table2523467891011101213121412151615171819[[#This Row],[Odidi Target (Mbopd)]]-Table2523467891011101213121412151615171819[[#This Row],[Odidi (Mbopd)]]</f>
        <v>4.2519999999999989</v>
      </c>
      <c r="P40" s="721">
        <f>Table2523467891011101213121412151615171819[[#This Row],[Batan Target (Mbopd)]]-Table2523467891011101213121412151615171819[[#This Row],[Batan (Mbopd)]]</f>
        <v>5.1290000000000004</v>
      </c>
      <c r="Q40" s="747">
        <f>Table2523467891011101213121412151615171819[[#This Row],[Egwa Target (Mbopd)]]-Table2523467891011101213121412151615171819[[#This Row],[Egwa (Mbopd)]]</f>
        <v>3.77</v>
      </c>
      <c r="R40" s="745">
        <v>0</v>
      </c>
      <c r="S40" s="723">
        <v>30.38</v>
      </c>
      <c r="T40" s="723">
        <v>0.5</v>
      </c>
      <c r="U40" s="747">
        <v>0</v>
      </c>
      <c r="V40" s="746">
        <v>0</v>
      </c>
      <c r="W40" s="723">
        <v>0</v>
      </c>
      <c r="X40" s="723">
        <v>0.3</v>
      </c>
      <c r="Y40" s="721">
        <v>0</v>
      </c>
      <c r="Z40" s="746">
        <f>+Table2523467891011101213121412151615171819[[#This Row],[J/C Prod gas (MMscf)]]-Table2523467891011101213121412151615171819[[#This Row],[J/C Utilised gas (MMscf)]]</f>
        <v>0</v>
      </c>
      <c r="AA40" s="723">
        <f>+Table2523467891011101213121412151615171819[[#This Row],[Odid Prod gas (MMscf)]]-Table2523467891011101213121412151615171819[[#This Row],[Gas Export (MMscf/d)]]</f>
        <v>23.52</v>
      </c>
      <c r="AB40" s="723">
        <f>+Table2523467891011101213121412151615171819[[#This Row],[Batn Prod gas (MMscf)]]-Table2523467891011101213121412151615171819[[#This Row],[Batn Utilised gas (MMscf)]]</f>
        <v>0.2</v>
      </c>
      <c r="AC40" s="747">
        <f>+Table2523467891011101213121412151615171819[[#This Row],[Egwa Prod gas (MMscf)]]-Table2523467891011101213121412151615171819[[#This Row],[Egwa Utilised gas (MMscf)]]</f>
        <v>0</v>
      </c>
      <c r="AD40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30.88</v>
      </c>
      <c r="AE40" s="723">
        <f>+Table2523467891011101213121412151615171819[[#This Row],[Gas Export (MMscf/d)]]</f>
        <v>6.86</v>
      </c>
      <c r="AF40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0.3</v>
      </c>
      <c r="AG40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23.72</v>
      </c>
      <c r="AH40" s="142"/>
    </row>
    <row r="41" spans="2:51" ht="21.6">
      <c r="B41" s="716">
        <v>44537</v>
      </c>
      <c r="C41" s="749">
        <v>21.64</v>
      </c>
      <c r="D41" s="750">
        <v>15.132</v>
      </c>
      <c r="E41" s="751">
        <v>8.9</v>
      </c>
      <c r="F41" s="749">
        <v>3.77</v>
      </c>
      <c r="G41" s="749">
        <f>SUM(Table2523467891011101213121412151615171819[[#This Row],[Jones Creek Target (Mbopd)]:[Egwa Target (Mbopd)]])</f>
        <v>49.442</v>
      </c>
      <c r="H41" s="754">
        <v>11.343</v>
      </c>
      <c r="I41" s="754">
        <v>10.244999999999999</v>
      </c>
      <c r="J41" s="754">
        <v>3.4049999999999998</v>
      </c>
      <c r="K41" s="754">
        <v>1.615</v>
      </c>
      <c r="L41" s="753">
        <f t="shared" si="0"/>
        <v>26.608000000000001</v>
      </c>
      <c r="M41" s="721">
        <v>8.01</v>
      </c>
      <c r="N41" s="765">
        <f>Table2523467891011101213121412151615171819[[#This Row],[Jones Creek Target (Mbopd)]]-Table2523467891011101213121412151615171819[[#This Row],[Jones Creek (Mbopd)]]</f>
        <v>10.297000000000001</v>
      </c>
      <c r="O41" s="723">
        <f>Table2523467891011101213121412151615171819[[#This Row],[Odidi Target (Mbopd)]]-Table2523467891011101213121412151615171819[[#This Row],[Odidi (Mbopd)]]</f>
        <v>4.8870000000000005</v>
      </c>
      <c r="P41" s="721">
        <f>Table2523467891011101213121412151615171819[[#This Row],[Batan Target (Mbopd)]]-Table2523467891011101213121412151615171819[[#This Row],[Batan (Mbopd)]]</f>
        <v>5.495000000000001</v>
      </c>
      <c r="Q41" s="747">
        <f>Table2523467891011101213121412151615171819[[#This Row],[Egwa Target (Mbopd)]]-Table2523467891011101213121412151615171819[[#This Row],[Egwa (Mbopd)]]</f>
        <v>2.1550000000000002</v>
      </c>
      <c r="R41" s="745">
        <v>6.31</v>
      </c>
      <c r="S41" s="723">
        <v>30.38</v>
      </c>
      <c r="T41" s="723">
        <v>0.5</v>
      </c>
      <c r="U41" s="747">
        <v>0.56999999999999995</v>
      </c>
      <c r="V41" s="746">
        <v>0.84240000000000004</v>
      </c>
      <c r="W41" s="723">
        <v>0</v>
      </c>
      <c r="X41" s="723">
        <v>0.3</v>
      </c>
      <c r="Y41" s="721">
        <v>0</v>
      </c>
      <c r="Z41" s="746">
        <f>+Table2523467891011101213121412151615171819[[#This Row],[J/C Prod gas (MMscf)]]-Table2523467891011101213121412151615171819[[#This Row],[J/C Utilised gas (MMscf)]]</f>
        <v>5.4675999999999991</v>
      </c>
      <c r="AA41" s="723">
        <f>+Table2523467891011101213121412151615171819[[#This Row],[Odid Prod gas (MMscf)]]-Table2523467891011101213121412151615171819[[#This Row],[Gas Export (MMscf/d)]]</f>
        <v>22.369999999999997</v>
      </c>
      <c r="AB41" s="723">
        <f>+Table2523467891011101213121412151615171819[[#This Row],[Batn Prod gas (MMscf)]]-Table2523467891011101213121412151615171819[[#This Row],[Batn Utilised gas (MMscf)]]</f>
        <v>0.2</v>
      </c>
      <c r="AC41" s="747">
        <f>+Table2523467891011101213121412151615171819[[#This Row],[Egwa Prod gas (MMscf)]]-Table2523467891011101213121412151615171819[[#This Row],[Egwa Utilised gas (MMscf)]]</f>
        <v>0.56999999999999995</v>
      </c>
      <c r="AD41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37.76</v>
      </c>
      <c r="AE41" s="723">
        <f>+Table2523467891011101213121412151615171819[[#This Row],[Gas Export (MMscf/d)]]</f>
        <v>8.01</v>
      </c>
      <c r="AF41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1.1424000000000001</v>
      </c>
      <c r="AG41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28.607599999999994</v>
      </c>
      <c r="AH41" s="142"/>
    </row>
    <row r="42" spans="2:51" ht="21.6">
      <c r="B42" s="716">
        <v>44538</v>
      </c>
      <c r="C42" s="749">
        <v>21.64</v>
      </c>
      <c r="D42" s="750">
        <v>15.132</v>
      </c>
      <c r="E42" s="751">
        <v>8.9</v>
      </c>
      <c r="F42" s="749">
        <v>3.77</v>
      </c>
      <c r="G42" s="749">
        <f>SUM(Table2523467891011101213121412151615171819[[#This Row],[Jones Creek Target (Mbopd)]:[Egwa Target (Mbopd)]])</f>
        <v>49.442</v>
      </c>
      <c r="H42" s="754">
        <v>20.977</v>
      </c>
      <c r="I42" s="754">
        <v>10.287000000000001</v>
      </c>
      <c r="J42" s="754">
        <v>4.8019999999999996</v>
      </c>
      <c r="K42" s="754">
        <v>3.5819999999999999</v>
      </c>
      <c r="L42" s="753">
        <f t="shared" si="0"/>
        <v>39.648000000000003</v>
      </c>
      <c r="M42" s="721">
        <v>0</v>
      </c>
      <c r="N42" s="765">
        <f>Table2523467891011101213121412151615171819[[#This Row],[Jones Creek Target (Mbopd)]]-Table2523467891011101213121412151615171819[[#This Row],[Jones Creek (Mbopd)]]</f>
        <v>0.66300000000000026</v>
      </c>
      <c r="O42" s="723">
        <f>Table2523467891011101213121412151615171819[[#This Row],[Odidi Target (Mbopd)]]-Table2523467891011101213121412151615171819[[#This Row],[Odidi (Mbopd)]]</f>
        <v>4.8449999999999989</v>
      </c>
      <c r="P42" s="721">
        <f>Table2523467891011101213121412151615171819[[#This Row],[Batan Target (Mbopd)]]-Table2523467891011101213121412151615171819[[#This Row],[Batan (Mbopd)]]</f>
        <v>4.0980000000000008</v>
      </c>
      <c r="Q42" s="747">
        <f>Table2523467891011101213121412151615171819[[#This Row],[Egwa Target (Mbopd)]]-Table2523467891011101213121412151615171819[[#This Row],[Egwa (Mbopd)]]</f>
        <v>0.18800000000000017</v>
      </c>
      <c r="R42" s="745">
        <v>11.734999999999999</v>
      </c>
      <c r="S42" s="723">
        <v>30.38</v>
      </c>
      <c r="T42" s="723">
        <v>1.7</v>
      </c>
      <c r="U42" s="747">
        <v>2.08</v>
      </c>
      <c r="V42" s="746">
        <v>0.84240000000000004</v>
      </c>
      <c r="W42" s="723">
        <v>0</v>
      </c>
      <c r="X42" s="723">
        <v>1.3</v>
      </c>
      <c r="Y42" s="721">
        <v>0</v>
      </c>
      <c r="Z42" s="746">
        <f>+Table2523467891011101213121412151615171819[[#This Row],[J/C Prod gas (MMscf)]]-Table2523467891011101213121412151615171819[[#This Row],[J/C Utilised gas (MMscf)]]</f>
        <v>10.8926</v>
      </c>
      <c r="AA42" s="723">
        <f>+Table2523467891011101213121412151615171819[[#This Row],[Odid Prod gas (MMscf)]]-Table2523467891011101213121412151615171819[[#This Row],[Gas Export (MMscf/d)]]</f>
        <v>30.38</v>
      </c>
      <c r="AB42" s="723">
        <f>+Table2523467891011101213121412151615171819[[#This Row],[Batn Prod gas (MMscf)]]-Table2523467891011101213121412151615171819[[#This Row],[Batn Utilised gas (MMscf)]]</f>
        <v>0.39999999999999991</v>
      </c>
      <c r="AC42" s="747">
        <f>+Table2523467891011101213121412151615171819[[#This Row],[Egwa Prod gas (MMscf)]]-Table2523467891011101213121412151615171819[[#This Row],[Egwa Utilised gas (MMscf)]]</f>
        <v>2.08</v>
      </c>
      <c r="AD42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45.894999999999996</v>
      </c>
      <c r="AE42" s="723">
        <f>+Table2523467891011101213121412151615171819[[#This Row],[Gas Export (MMscf/d)]]</f>
        <v>0</v>
      </c>
      <c r="AF42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2.1424000000000003</v>
      </c>
      <c r="AG42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43.752599999999994</v>
      </c>
      <c r="AH42" s="142"/>
      <c r="AI42" s="730"/>
    </row>
    <row r="43" spans="2:51" ht="21.6">
      <c r="B43" s="716">
        <v>44539</v>
      </c>
      <c r="C43" s="749">
        <v>21.64</v>
      </c>
      <c r="D43" s="750">
        <v>15.132</v>
      </c>
      <c r="E43" s="751">
        <v>8.9</v>
      </c>
      <c r="F43" s="749">
        <v>3.77</v>
      </c>
      <c r="G43" s="749">
        <f>SUM(Table2523467891011101213121412151615171819[[#This Row],[Jones Creek Target (Mbopd)]:[Egwa Target (Mbopd)]])</f>
        <v>49.442</v>
      </c>
      <c r="H43" s="749">
        <v>18.202999999999999</v>
      </c>
      <c r="I43" s="749">
        <v>6.3280000000000003</v>
      </c>
      <c r="J43" s="752">
        <v>4.9390000000000001</v>
      </c>
      <c r="K43" s="754">
        <v>3.452</v>
      </c>
      <c r="L43" s="753">
        <f t="shared" si="0"/>
        <v>32.921999999999997</v>
      </c>
      <c r="M43" s="1040">
        <v>0</v>
      </c>
      <c r="N43" s="765">
        <f>Table2523467891011101213121412151615171819[[#This Row],[Jones Creek Target (Mbopd)]]-Table2523467891011101213121412151615171819[[#This Row],[Jones Creek (Mbopd)]]</f>
        <v>3.4370000000000012</v>
      </c>
      <c r="O43" s="723">
        <f>Table2523467891011101213121412151615171819[[#This Row],[Odidi Target (Mbopd)]]-Table2523467891011101213121412151615171819[[#This Row],[Odidi (Mbopd)]]</f>
        <v>8.8039999999999985</v>
      </c>
      <c r="P43" s="721">
        <f>Table2523467891011101213121412151615171819[[#This Row],[Batan Target (Mbopd)]]-Table2523467891011101213121412151615171819[[#This Row],[Batan (Mbopd)]]</f>
        <v>3.9610000000000003</v>
      </c>
      <c r="Q43" s="747">
        <f>Table2523467891011101213121412151615171819[[#This Row],[Egwa Target (Mbopd)]]-Table2523467891011101213121412151615171819[[#This Row],[Egwa (Mbopd)]]</f>
        <v>0.31800000000000006</v>
      </c>
      <c r="R43" s="1039">
        <v>10.14</v>
      </c>
      <c r="S43" s="1041">
        <v>19.626999999999999</v>
      </c>
      <c r="T43" s="723">
        <v>1.8</v>
      </c>
      <c r="U43" s="747">
        <v>2.67</v>
      </c>
      <c r="V43" s="746">
        <v>0.84240000000000004</v>
      </c>
      <c r="W43" s="723">
        <v>0</v>
      </c>
      <c r="X43" s="723">
        <v>1.5</v>
      </c>
      <c r="Y43" s="721">
        <v>0</v>
      </c>
      <c r="Z43" s="746">
        <f>+Table2523467891011101213121412151615171819[[#This Row],[J/C Prod gas (MMscf)]]-Table2523467891011101213121412151615171819[[#This Row],[J/C Utilised gas (MMscf)]]</f>
        <v>9.297600000000001</v>
      </c>
      <c r="AA43" s="723">
        <f>+Table2523467891011101213121412151615171819[[#This Row],[Odid Prod gas (MMscf)]]-Table2523467891011101213121412151615171819[[#This Row],[Gas Export (MMscf/d)]]</f>
        <v>19.626999999999999</v>
      </c>
      <c r="AB43" s="723">
        <f>+Table2523467891011101213121412151615171819[[#This Row],[Batn Prod gas (MMscf)]]-Table2523467891011101213121412151615171819[[#This Row],[Batn Utilised gas (MMscf)]]</f>
        <v>0.30000000000000004</v>
      </c>
      <c r="AC43" s="747">
        <f>+Table2523467891011101213121412151615171819[[#This Row],[Egwa Prod gas (MMscf)]]-Table2523467891011101213121412151615171819[[#This Row],[Egwa Utilised gas (MMscf)]]</f>
        <v>2.67</v>
      </c>
      <c r="AD43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34.237000000000002</v>
      </c>
      <c r="AE43" s="723">
        <f>+Table2523467891011101213121412151615171819[[#This Row],[Gas Export (MMscf/d)]]</f>
        <v>0</v>
      </c>
      <c r="AF43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2.3424</v>
      </c>
      <c r="AG43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31.894599999999997</v>
      </c>
      <c r="AH43" s="142"/>
    </row>
    <row r="44" spans="2:51" ht="21.6">
      <c r="B44" s="716">
        <v>44540</v>
      </c>
      <c r="C44" s="749">
        <v>21.64</v>
      </c>
      <c r="D44" s="750">
        <v>15.132</v>
      </c>
      <c r="E44" s="751">
        <v>8.9</v>
      </c>
      <c r="F44" s="749">
        <v>3.77</v>
      </c>
      <c r="G44" s="749">
        <f>SUM(Table2523467891011101213121412151615171819[[#This Row],[Jones Creek Target (Mbopd)]:[Egwa Target (Mbopd)]])</f>
        <v>49.442</v>
      </c>
      <c r="H44" s="752">
        <v>18.027999999999999</v>
      </c>
      <c r="I44" s="752">
        <v>0</v>
      </c>
      <c r="J44" s="749">
        <v>4.7889999999999997</v>
      </c>
      <c r="K44" s="754">
        <v>3.3759999999999999</v>
      </c>
      <c r="L44" s="753">
        <f t="shared" si="0"/>
        <v>26.193000000000001</v>
      </c>
      <c r="M44" s="721">
        <v>0</v>
      </c>
      <c r="N44" s="765">
        <f>Table2523467891011101213121412151615171819[[#This Row],[Jones Creek Target (Mbopd)]]-Table2523467891011101213121412151615171819[[#This Row],[Jones Creek (Mbopd)]]</f>
        <v>3.6120000000000019</v>
      </c>
      <c r="O44" s="723">
        <f>Table2523467891011101213121412151615171819[[#This Row],[Odidi Target (Mbopd)]]-Table2523467891011101213121412151615171819[[#This Row],[Odidi (Mbopd)]]</f>
        <v>15.132</v>
      </c>
      <c r="P44" s="721">
        <f>Table2523467891011101213121412151615171819[[#This Row],[Batan Target (Mbopd)]]-Table2523467891011101213121412151615171819[[#This Row],[Batan (Mbopd)]]</f>
        <v>4.1110000000000007</v>
      </c>
      <c r="Q44" s="747">
        <f>Table2523467891011101213121412151615171819[[#This Row],[Egwa Target (Mbopd)]]-Table2523467891011101213121412151615171819[[#This Row],[Egwa (Mbopd)]]</f>
        <v>0.39400000000000013</v>
      </c>
      <c r="R44" s="745">
        <v>9.11</v>
      </c>
      <c r="S44" s="1041">
        <v>0</v>
      </c>
      <c r="T44" s="723">
        <v>1.8</v>
      </c>
      <c r="U44" s="747">
        <v>3.03</v>
      </c>
      <c r="V44" s="746">
        <v>0.84240000000000004</v>
      </c>
      <c r="W44" s="723">
        <v>0</v>
      </c>
      <c r="X44" s="723">
        <v>1.5</v>
      </c>
      <c r="Y44" s="721">
        <v>0</v>
      </c>
      <c r="Z44" s="746">
        <f>+Table2523467891011101213121412151615171819[[#This Row],[J/C Prod gas (MMscf)]]-Table2523467891011101213121412151615171819[[#This Row],[J/C Utilised gas (MMscf)]]</f>
        <v>8.2675999999999998</v>
      </c>
      <c r="AA44" s="723">
        <f>+Table2523467891011101213121412151615171819[[#This Row],[Odid Prod gas (MMscf)]]-Table2523467891011101213121412151615171819[[#This Row],[Gas Export (MMscf/d)]]</f>
        <v>0</v>
      </c>
      <c r="AB44" s="723">
        <f>+Table2523467891011101213121412151615171819[[#This Row],[Batn Prod gas (MMscf)]]-Table2523467891011101213121412151615171819[[#This Row],[Batn Utilised gas (MMscf)]]</f>
        <v>0.30000000000000004</v>
      </c>
      <c r="AC44" s="747">
        <f>+Table2523467891011101213121412151615171819[[#This Row],[Egwa Prod gas (MMscf)]]-Table2523467891011101213121412151615171819[[#This Row],[Egwa Utilised gas (MMscf)]]</f>
        <v>3.03</v>
      </c>
      <c r="AD44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13.94</v>
      </c>
      <c r="AE44" s="723">
        <f>+Table2523467891011101213121412151615171819[[#This Row],[Gas Export (MMscf/d)]]</f>
        <v>0</v>
      </c>
      <c r="AF44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2.3424</v>
      </c>
      <c r="AG44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11.5976</v>
      </c>
      <c r="AH44" s="142"/>
    </row>
    <row r="46" spans="2:51" ht="19.899999999999999" thickBot="1"/>
    <row r="47" spans="2:51" ht="33.950000000000003" customHeight="1" thickBot="1">
      <c r="B47" s="1345" t="s">
        <v>149</v>
      </c>
      <c r="C47" s="1346"/>
      <c r="D47" s="1346"/>
      <c r="E47" s="1346"/>
      <c r="F47" s="1346"/>
      <c r="G47" s="1346"/>
      <c r="H47" s="1346"/>
      <c r="I47" s="1346"/>
      <c r="J47" s="1346"/>
      <c r="K47" s="1346"/>
      <c r="L47" s="1346"/>
      <c r="M47" s="1346"/>
      <c r="N47" s="1346"/>
      <c r="O47" s="1346"/>
      <c r="P47" s="1346"/>
      <c r="Q47" s="1347"/>
      <c r="R47" s="683"/>
      <c r="S47" s="683"/>
      <c r="T47" s="683"/>
      <c r="U47" s="683"/>
      <c r="V47" s="683"/>
      <c r="W47" s="683"/>
      <c r="X47" s="683"/>
      <c r="Y47" s="683"/>
      <c r="Z47" s="683"/>
      <c r="AA47" s="683"/>
      <c r="AB47" s="683"/>
      <c r="AC47" s="683"/>
      <c r="AD47" s="683"/>
      <c r="AE47" s="683"/>
      <c r="AF47" s="683"/>
      <c r="AI47" s="142"/>
      <c r="AJ47" s="731"/>
    </row>
    <row r="48" spans="2:51" ht="36.6" customHeight="1">
      <c r="B48" s="1004" t="s">
        <v>22</v>
      </c>
      <c r="C48" s="1005" t="s">
        <v>358</v>
      </c>
      <c r="D48" s="1348" t="s">
        <v>24</v>
      </c>
      <c r="E48" s="1349"/>
      <c r="F48" s="1349"/>
      <c r="G48" s="1349"/>
      <c r="H48" s="1349"/>
      <c r="I48" s="1349"/>
      <c r="J48" s="1349"/>
      <c r="K48" s="1349"/>
      <c r="L48" s="1349"/>
      <c r="M48" s="1349"/>
      <c r="N48" s="1349"/>
      <c r="O48" s="1349"/>
      <c r="P48" s="1349"/>
      <c r="Q48" s="1350"/>
      <c r="R48" s="683"/>
      <c r="S48" s="683"/>
      <c r="T48" s="683"/>
      <c r="U48" s="683"/>
      <c r="V48" s="683"/>
      <c r="W48" s="683"/>
      <c r="X48" s="683"/>
      <c r="Y48" s="683"/>
      <c r="Z48" s="683"/>
      <c r="AA48" s="683"/>
      <c r="AB48" s="683"/>
      <c r="AC48" s="683"/>
      <c r="AD48" s="683"/>
      <c r="AE48" s="683"/>
      <c r="AF48" s="683"/>
      <c r="AI48" s="242"/>
      <c r="AJ48" s="732"/>
    </row>
    <row r="49" spans="2:36" ht="24" customHeight="1">
      <c r="B49" s="656" t="s">
        <v>17</v>
      </c>
      <c r="C49" s="652">
        <v>3.61</v>
      </c>
      <c r="D49" s="1335" t="s">
        <v>475</v>
      </c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10"/>
      <c r="R49" s="684"/>
      <c r="S49" s="684"/>
      <c r="T49" s="684"/>
      <c r="U49" s="684"/>
      <c r="V49" s="684"/>
      <c r="W49" s="684"/>
      <c r="X49" s="684"/>
      <c r="Y49" s="684"/>
      <c r="Z49" s="684"/>
      <c r="AA49" s="684"/>
      <c r="AB49" s="684"/>
      <c r="AC49" s="684"/>
      <c r="AD49" s="684"/>
      <c r="AE49" s="684"/>
      <c r="AF49" s="684"/>
      <c r="AI49" s="242"/>
      <c r="AJ49" s="732"/>
    </row>
    <row r="50" spans="2:36" ht="21.6">
      <c r="B50" s="656" t="s">
        <v>19</v>
      </c>
      <c r="C50" s="652">
        <v>15.13</v>
      </c>
      <c r="D50" s="1336" t="s">
        <v>476</v>
      </c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6"/>
      <c r="R50" s="685"/>
      <c r="S50" s="685"/>
      <c r="T50" s="685"/>
      <c r="U50" s="685"/>
      <c r="V50" s="685"/>
      <c r="W50" s="685"/>
      <c r="X50" s="685"/>
      <c r="Y50" s="685"/>
      <c r="Z50" s="685"/>
      <c r="AA50" s="685"/>
      <c r="AB50" s="685"/>
      <c r="AC50" s="685"/>
      <c r="AD50" s="685"/>
      <c r="AE50" s="685"/>
      <c r="AF50" s="685"/>
      <c r="AI50" s="142"/>
    </row>
    <row r="51" spans="2:36" ht="21.6">
      <c r="B51" s="656" t="s">
        <v>16</v>
      </c>
      <c r="C51" s="652">
        <v>3.96</v>
      </c>
      <c r="D51" s="1336" t="s">
        <v>477</v>
      </c>
      <c r="E51" s="1285"/>
      <c r="F51" s="1285"/>
      <c r="G51" s="1285"/>
      <c r="H51" s="1285"/>
      <c r="I51" s="1285"/>
      <c r="J51" s="1285"/>
      <c r="K51" s="1285"/>
      <c r="L51" s="1285"/>
      <c r="M51" s="1285"/>
      <c r="N51" s="1285"/>
      <c r="O51" s="1285"/>
      <c r="P51" s="1285"/>
      <c r="Q51" s="1286"/>
      <c r="R51" s="685"/>
      <c r="S51" s="685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I51" s="242"/>
      <c r="AJ51" s="733"/>
    </row>
    <row r="52" spans="2:36" ht="21.6">
      <c r="B52" s="657" t="s">
        <v>18</v>
      </c>
      <c r="C52" s="653">
        <v>0.39</v>
      </c>
      <c r="D52" s="1328" t="s">
        <v>478</v>
      </c>
      <c r="E52" s="1329"/>
      <c r="F52" s="1329"/>
      <c r="G52" s="1329"/>
      <c r="H52" s="1329"/>
      <c r="I52" s="1329"/>
      <c r="J52" s="1329"/>
      <c r="K52" s="1329"/>
      <c r="L52" s="1329"/>
      <c r="M52" s="1329"/>
      <c r="N52" s="1329"/>
      <c r="O52" s="1329"/>
      <c r="P52" s="1329"/>
      <c r="Q52" s="1330"/>
      <c r="R52" s="685"/>
      <c r="S52" s="685"/>
      <c r="T52" s="685"/>
      <c r="U52" s="684"/>
      <c r="V52" s="684"/>
      <c r="W52" s="684"/>
      <c r="X52" s="684"/>
      <c r="Y52" s="684"/>
      <c r="Z52" s="684"/>
      <c r="AA52" s="684"/>
      <c r="AB52" s="684"/>
      <c r="AC52" s="684"/>
      <c r="AD52" s="684"/>
      <c r="AE52" s="684"/>
      <c r="AF52" s="684"/>
      <c r="AG52" s="790"/>
      <c r="AH52" s="734"/>
      <c r="AI52" s="242"/>
      <c r="AJ52" s="732"/>
    </row>
    <row r="53" spans="2:36" ht="21.6">
      <c r="B53" s="658" t="s">
        <v>187</v>
      </c>
      <c r="C53" s="654">
        <f>SUM(C49:C52)</f>
        <v>23.090000000000003</v>
      </c>
      <c r="D53" s="1331" t="s">
        <v>479</v>
      </c>
      <c r="E53" s="1332"/>
      <c r="F53" s="1332"/>
      <c r="G53" s="1332"/>
      <c r="H53" s="1332"/>
      <c r="I53" s="1332"/>
      <c r="J53" s="1332"/>
      <c r="K53" s="1332"/>
      <c r="L53" s="1332"/>
      <c r="M53" s="1332"/>
      <c r="N53" s="1332"/>
      <c r="O53" s="1332"/>
      <c r="P53" s="1332"/>
      <c r="Q53" s="1333"/>
      <c r="R53" s="684"/>
      <c r="S53" s="684"/>
      <c r="T53" s="684"/>
    </row>
    <row r="54" spans="2:36">
      <c r="U54" s="580"/>
    </row>
    <row r="55" spans="2:36">
      <c r="S55" s="727">
        <f>53000*8</f>
        <v>424000</v>
      </c>
      <c r="U55" s="580"/>
    </row>
    <row r="56" spans="2:36" ht="24.6">
      <c r="D56" s="778">
        <f>D57+4.07</f>
        <v>8.58</v>
      </c>
      <c r="F56" s="735">
        <f>6.71+4.78</f>
        <v>11.49</v>
      </c>
      <c r="G56" s="735">
        <f>4.78-0.33</f>
        <v>4.45</v>
      </c>
      <c r="I56" s="580">
        <f>12.54-1.2-0.89</f>
        <v>10.45</v>
      </c>
      <c r="P56" s="726"/>
      <c r="S56" s="727">
        <f>75000*3</f>
        <v>225000</v>
      </c>
      <c r="U56" s="580"/>
    </row>
    <row r="57" spans="2:36" ht="27.75" customHeight="1">
      <c r="C57" s="736"/>
      <c r="D57" s="735">
        <f>0.89+3.62</f>
        <v>4.51</v>
      </c>
      <c r="F57" s="735">
        <f>8.9-4.84</f>
        <v>4.0600000000000005</v>
      </c>
      <c r="H57" s="737"/>
      <c r="I57" s="737"/>
      <c r="J57" s="737"/>
    </row>
    <row r="58" spans="2:36" ht="24.75" customHeight="1">
      <c r="D58" s="735">
        <f>1.2+0.59</f>
        <v>1.79</v>
      </c>
      <c r="H58" s="738"/>
      <c r="I58" s="738"/>
      <c r="J58" s="738"/>
      <c r="AE58" s="142"/>
      <c r="AF58" s="142"/>
    </row>
    <row r="59" spans="2:36" ht="20.25" customHeight="1">
      <c r="G59" s="142"/>
      <c r="H59" s="142"/>
      <c r="J59" s="142"/>
      <c r="K59" s="142"/>
      <c r="M59" s="142"/>
      <c r="N59" s="142"/>
      <c r="AE59" s="142"/>
      <c r="AF59" s="142"/>
    </row>
    <row r="60" spans="2:36" ht="21.6">
      <c r="C60" s="739"/>
      <c r="G60" s="734"/>
      <c r="H60" s="142"/>
      <c r="J60" s="142"/>
      <c r="K60" s="142"/>
      <c r="M60" s="142"/>
      <c r="N60" s="142"/>
      <c r="AE60" s="142"/>
      <c r="AF60" s="142"/>
    </row>
    <row r="61" spans="2:36">
      <c r="C61" s="741"/>
      <c r="D61" s="741"/>
      <c r="F61" s="741"/>
    </row>
    <row r="62" spans="2:36" ht="27.75" customHeight="1">
      <c r="C62" s="741"/>
      <c r="D62" s="796"/>
      <c r="F62" s="741"/>
    </row>
    <row r="63" spans="2:36" ht="43.5" customHeight="1">
      <c r="C63" s="741"/>
      <c r="D63" s="741"/>
      <c r="F63" s="741"/>
    </row>
    <row r="64" spans="2:36" ht="48" customHeight="1">
      <c r="C64" s="741"/>
      <c r="D64" s="741"/>
      <c r="F64" s="741"/>
    </row>
    <row r="65" ht="24" customHeight="1"/>
    <row r="66" ht="24" customHeight="1"/>
    <row r="67" ht="24" customHeight="1"/>
    <row r="68" ht="24" customHeight="1"/>
    <row r="83" spans="36:40">
      <c r="AJ83" s="727"/>
      <c r="AK83" s="727"/>
      <c r="AL83" s="727"/>
      <c r="AM83" s="727"/>
      <c r="AN83" s="727"/>
    </row>
    <row r="84" spans="36:40">
      <c r="AJ84" s="727"/>
      <c r="AK84" s="727"/>
      <c r="AL84" s="727"/>
      <c r="AM84" s="727"/>
      <c r="AN84" s="727"/>
    </row>
    <row r="87" spans="36:40">
      <c r="AJ87" s="727"/>
      <c r="AK87" s="727"/>
      <c r="AL87" s="727"/>
      <c r="AM87" s="727"/>
      <c r="AN87" s="727"/>
    </row>
    <row r="91" spans="36:40">
      <c r="AJ91" s="580">
        <f>1500000*0.06</f>
        <v>90000</v>
      </c>
    </row>
  </sheetData>
  <mergeCells count="8">
    <mergeCell ref="D52:Q52"/>
    <mergeCell ref="D53:Q53"/>
    <mergeCell ref="AL3:AP3"/>
    <mergeCell ref="B47:Q47"/>
    <mergeCell ref="D48:Q48"/>
    <mergeCell ref="D49:Q49"/>
    <mergeCell ref="D50:Q50"/>
    <mergeCell ref="D51:Q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3D8A-F67F-48C4-B53C-FB435FBB61BB}">
  <dimension ref="A1:AY79"/>
  <sheetViews>
    <sheetView showGridLines="0" topLeftCell="A3" zoomScale="72" zoomScaleNormal="72" workbookViewId="0">
      <pane xSplit="2" ySplit="2" topLeftCell="G18" activePane="bottomRight" state="frozen"/>
      <selection pane="bottomRight" activeCell="H17" sqref="H17"/>
      <selection pane="bottomLeft"/>
      <selection pane="topRight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0.6640625" style="580" customWidth="1"/>
    <col min="4" max="4" width="9.3320312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8.109375" style="727" customWidth="1"/>
    <col min="19" max="19" width="8.44140625" style="727" customWidth="1"/>
    <col min="20" max="20" width="7.33203125" style="727" customWidth="1"/>
    <col min="21" max="21" width="9" style="727" customWidth="1"/>
    <col min="22" max="22" width="9.6640625" style="580" customWidth="1"/>
    <col min="23" max="23" width="7.77734375" style="580" customWidth="1"/>
    <col min="24" max="24" width="9" style="580" customWidth="1"/>
    <col min="25" max="25" width="9.44140625" style="580" customWidth="1"/>
    <col min="26" max="26" width="8.77734375" style="727" customWidth="1"/>
    <col min="27" max="27" width="9.5546875" style="727" customWidth="1"/>
    <col min="28" max="30" width="10.6640625" style="727" customWidth="1"/>
    <col min="31" max="32" width="11.77734375" style="580" customWidth="1"/>
    <col min="33" max="33" width="11.109375" style="727" bestFit="1" customWidth="1"/>
    <col min="34" max="34" width="11.109375" style="580" customWidth="1"/>
    <col min="35" max="35" width="8.88671875" style="580"/>
    <col min="36" max="36" width="14.6640625" style="580" customWidth="1"/>
    <col min="37" max="38" width="14.77734375" style="580" customWidth="1"/>
    <col min="39" max="40" width="14.33203125" style="580" customWidth="1"/>
    <col min="41" max="41" width="14.6640625" style="580" customWidth="1"/>
    <col min="42" max="42" width="15.109375" style="580" customWidth="1"/>
    <col min="43" max="43" width="11.5546875" style="580" customWidth="1"/>
    <col min="44" max="16384" width="9.21875" style="580"/>
  </cols>
  <sheetData>
    <row r="1" spans="2:51" hidden="1"/>
    <row r="2" spans="2:51" hidden="1"/>
    <row r="4" spans="2:51" ht="59.25" customHeight="1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454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1057" t="s">
        <v>432</v>
      </c>
      <c r="O4" s="1058" t="s">
        <v>433</v>
      </c>
      <c r="P4" s="1059" t="s">
        <v>434</v>
      </c>
      <c r="Q4" s="1060" t="s">
        <v>435</v>
      </c>
      <c r="R4" s="744" t="s">
        <v>436</v>
      </c>
      <c r="S4" s="713" t="s">
        <v>437</v>
      </c>
      <c r="T4" s="713" t="s">
        <v>438</v>
      </c>
      <c r="U4" s="724" t="s">
        <v>439</v>
      </c>
      <c r="V4" s="744" t="s">
        <v>440</v>
      </c>
      <c r="W4" s="713" t="s">
        <v>441</v>
      </c>
      <c r="X4" s="713" t="s">
        <v>442</v>
      </c>
      <c r="Y4" s="714" t="s">
        <v>443</v>
      </c>
      <c r="Z4" s="715" t="s">
        <v>390</v>
      </c>
      <c r="AA4" s="713" t="s">
        <v>391</v>
      </c>
      <c r="AB4" s="713" t="s">
        <v>392</v>
      </c>
      <c r="AC4" s="724" t="s">
        <v>393</v>
      </c>
      <c r="AD4" s="744" t="s">
        <v>444</v>
      </c>
      <c r="AE4" s="713" t="s">
        <v>445</v>
      </c>
      <c r="AF4" s="713" t="s">
        <v>446</v>
      </c>
      <c r="AG4" s="789" t="s">
        <v>394</v>
      </c>
      <c r="AH4" s="728"/>
      <c r="AJ4" s="142"/>
      <c r="AK4" s="1351" t="s">
        <v>0</v>
      </c>
      <c r="AL4" s="1351"/>
      <c r="AM4" s="1351"/>
      <c r="AN4" s="1351"/>
      <c r="AO4" s="1351"/>
      <c r="AP4" s="1351"/>
    </row>
    <row r="5" spans="2:51" ht="33" customHeight="1">
      <c r="B5" s="716">
        <v>44531</v>
      </c>
      <c r="C5" s="749">
        <v>21.04</v>
      </c>
      <c r="D5" s="750">
        <v>15.2</v>
      </c>
      <c r="E5" s="751">
        <v>8.9</v>
      </c>
      <c r="F5" s="749">
        <v>3.58</v>
      </c>
      <c r="G5" s="749">
        <f>SUM(Table252346789101110121312141215161517181920[[#This Row],[Jones Creek Target (Mbopd)]:[Egwa Target (Mbopd)]])</f>
        <v>48.719999999999992</v>
      </c>
      <c r="H5" s="752">
        <v>0.247</v>
      </c>
      <c r="I5" s="752">
        <v>10.02</v>
      </c>
      <c r="J5" s="752">
        <v>4.6920000000000002</v>
      </c>
      <c r="K5" s="752">
        <v>3.3039999999999998</v>
      </c>
      <c r="L5" s="753">
        <f t="shared" ref="L5:L14" si="0">H5+I5+J5+K5</f>
        <v>18.262999999999998</v>
      </c>
      <c r="M5" s="721">
        <v>15.26</v>
      </c>
      <c r="N5" s="1047">
        <f>Table252346789101110121312141215161517181920[[#This Row],[Jones Creek Target (Mbopd)]]-Table252346789101110121312141215161517181920[[#This Row],[Jones Creek (Mbopd)]]</f>
        <v>20.792999999999999</v>
      </c>
      <c r="O5" s="1048">
        <f>Table252346789101110121312141215161517181920[[#This Row],[Odidi Target (Mbopd)]]-Table252346789101110121312141215161517181920[[#This Row],[Odidi (Mbopd)]]</f>
        <v>5.18</v>
      </c>
      <c r="P5" s="1049">
        <f>Table252346789101110121312141215161517181920[[#This Row],[Batan Target (Mbopd)]]-Table252346789101110121312141215161517181920[[#This Row],[Batan (Mbopd)]]</f>
        <v>4.2080000000000002</v>
      </c>
      <c r="Q5" s="1050">
        <f>Table252346789101110121312141215161517181920[[#This Row],[Egwa Target (Mbopd)]]-Table252346789101110121312141215161517181920[[#This Row],[Egwa (Mbopd)]]</f>
        <v>0.27600000000000025</v>
      </c>
      <c r="R5" s="745">
        <v>0</v>
      </c>
      <c r="S5" s="723">
        <v>33.6</v>
      </c>
      <c r="T5" s="723">
        <v>1.63</v>
      </c>
      <c r="U5" s="747">
        <v>3.9889999999999999</v>
      </c>
      <c r="V5" s="746">
        <v>0</v>
      </c>
      <c r="W5" s="723">
        <v>0</v>
      </c>
      <c r="X5" s="723">
        <v>1</v>
      </c>
      <c r="Y5" s="721">
        <v>0</v>
      </c>
      <c r="Z5" s="746">
        <f>+Table252346789101110121312141215161517181920[[#This Row],[J/C Prod gas (MMscf)]]-Table252346789101110121312141215161517181920[[#This Row],[J/C Utilised gas (MMscf)]]</f>
        <v>0</v>
      </c>
      <c r="AA5" s="723">
        <f>+Table252346789101110121312141215161517181920[[#This Row],[Odid Prod gas (MMscf)]]-Table252346789101110121312141215161517181920[[#This Row],[Gas Export (MMscf/d)]]</f>
        <v>18.340000000000003</v>
      </c>
      <c r="AB5" s="723">
        <f>+Table252346789101110121312141215161517181920[[#This Row],[Batn Prod gas (MMscf)]]-Table252346789101110121312141215161517181920[[#This Row],[Batn Utilised gas (MMscf)]]</f>
        <v>0.62999999999999989</v>
      </c>
      <c r="AC5" s="747">
        <f>+Table252346789101110121312141215161517181920[[#This Row],[Egwa Prod gas (MMscf)]]-Table252346789101110121312141215161517181920[[#This Row],[Egwa Utilised gas (MMscf)]]</f>
        <v>3.9889999999999999</v>
      </c>
      <c r="AD5" s="745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39.219000000000001</v>
      </c>
      <c r="AE5" s="723">
        <f>+Table252346789101110121312141215161517181920[[#This Row],[Gas Export (MMscf/d)]]</f>
        <v>15.26</v>
      </c>
      <c r="AF5" s="723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1</v>
      </c>
      <c r="AG5" s="747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22.959000000000003</v>
      </c>
      <c r="AH5" s="142"/>
      <c r="AI5" s="729"/>
      <c r="AJ5" s="142"/>
      <c r="AK5" s="1038" t="s">
        <v>14</v>
      </c>
      <c r="AL5" s="1038" t="s">
        <v>147</v>
      </c>
      <c r="AM5" s="1038" t="s">
        <v>147</v>
      </c>
      <c r="AN5" s="1038" t="s">
        <v>147</v>
      </c>
      <c r="AO5" s="1038" t="s">
        <v>147</v>
      </c>
      <c r="AP5" s="1038" t="s">
        <v>147</v>
      </c>
      <c r="AS5" s="454"/>
      <c r="AT5" s="454"/>
      <c r="AU5" s="454"/>
      <c r="AV5" s="454"/>
      <c r="AW5" s="454"/>
      <c r="AX5" s="454"/>
      <c r="AY5" s="454"/>
    </row>
    <row r="6" spans="2:51" ht="31.5" customHeight="1">
      <c r="B6" s="716">
        <v>44532</v>
      </c>
      <c r="C6" s="749">
        <v>21.04</v>
      </c>
      <c r="D6" s="750">
        <v>15.2</v>
      </c>
      <c r="E6" s="751">
        <v>8.9</v>
      </c>
      <c r="F6" s="749">
        <v>3.58</v>
      </c>
      <c r="G6" s="749">
        <f>SUM(Table252346789101110121312141215161517181920[[#This Row],[Jones Creek Target (Mbopd)]:[Egwa Target (Mbopd)]])</f>
        <v>48.719999999999992</v>
      </c>
      <c r="H6" s="752">
        <v>0</v>
      </c>
      <c r="I6" s="752">
        <v>11.375999999999999</v>
      </c>
      <c r="J6" s="752">
        <v>2.0529999999999999</v>
      </c>
      <c r="K6" s="752">
        <v>0.76500000000000001</v>
      </c>
      <c r="L6" s="753">
        <f t="shared" si="0"/>
        <v>14.193999999999999</v>
      </c>
      <c r="M6" s="721">
        <v>1.6180000000000001</v>
      </c>
      <c r="N6" s="1051">
        <f>Table252346789101110121312141215161517181920[[#This Row],[Jones Creek Target (Mbopd)]]-Table252346789101110121312141215161517181920[[#This Row],[Jones Creek (Mbopd)]]</f>
        <v>21.04</v>
      </c>
      <c r="O6" s="723">
        <f>Table252346789101110121312141215161517181920[[#This Row],[Odidi Target (Mbopd)]]-Table252346789101110121312141215161517181920[[#This Row],[Odidi (Mbopd)]]</f>
        <v>3.8239999999999998</v>
      </c>
      <c r="P6" s="721">
        <f>Table252346789101110121312141215161517181920[[#This Row],[Batan Target (Mbopd)]]-Table252346789101110121312141215161517181920[[#This Row],[Batan (Mbopd)]]</f>
        <v>6.8470000000000004</v>
      </c>
      <c r="Q6" s="1052">
        <f>Table252346789101110121312141215161517181920[[#This Row],[Egwa Target (Mbopd)]]-Table252346789101110121312141215161517181920[[#This Row],[Egwa (Mbopd)]]</f>
        <v>2.8149999999999999</v>
      </c>
      <c r="R6" s="745">
        <v>0</v>
      </c>
      <c r="S6" s="723">
        <v>34.58</v>
      </c>
      <c r="T6" s="723">
        <v>0.89</v>
      </c>
      <c r="U6" s="747">
        <v>0.80500000000000005</v>
      </c>
      <c r="V6" s="746">
        <v>0</v>
      </c>
      <c r="W6" s="723">
        <v>0</v>
      </c>
      <c r="X6" s="723">
        <v>0.1</v>
      </c>
      <c r="Y6" s="721">
        <v>0</v>
      </c>
      <c r="Z6" s="746">
        <f>+Table252346789101110121312141215161517181920[[#This Row],[J/C Prod gas (MMscf)]]-Table252346789101110121312141215161517181920[[#This Row],[J/C Utilised gas (MMscf)]]</f>
        <v>0</v>
      </c>
      <c r="AA6" s="723">
        <f>+Table252346789101110121312141215161517181920[[#This Row],[Odid Prod gas (MMscf)]]-Table252346789101110121312141215161517181920[[#This Row],[Gas Export (MMscf/d)]]</f>
        <v>32.961999999999996</v>
      </c>
      <c r="AB6" s="723">
        <f>+Table252346789101110121312141215161517181920[[#This Row],[Batn Prod gas (MMscf)]]-Table252346789101110121312141215161517181920[[#This Row],[Batn Utilised gas (MMscf)]]</f>
        <v>0.79</v>
      </c>
      <c r="AC6" s="747">
        <f>+Table252346789101110121312141215161517181920[[#This Row],[Egwa Prod gas (MMscf)]]-Table252346789101110121312141215161517181920[[#This Row],[Egwa Utilised gas (MMscf)]]</f>
        <v>0.80500000000000005</v>
      </c>
      <c r="AD6" s="745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36.274999999999999</v>
      </c>
      <c r="AE6" s="723">
        <f>+Table252346789101110121312141215161517181920[[#This Row],[Gas Export (MMscf/d)]]</f>
        <v>1.6180000000000001</v>
      </c>
      <c r="AF6" s="723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0.1</v>
      </c>
      <c r="AG6" s="747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34.556999999999995</v>
      </c>
      <c r="AH6" s="142"/>
      <c r="AJ6" s="1037"/>
      <c r="AK6" s="1081" t="s">
        <v>148</v>
      </c>
      <c r="AL6" s="1082">
        <f>B31</f>
        <v>44557</v>
      </c>
      <c r="AM6" s="1082">
        <f>AL6+1</f>
        <v>44558</v>
      </c>
      <c r="AN6" s="1082">
        <f>AM6+1</f>
        <v>44559</v>
      </c>
      <c r="AO6" s="1082">
        <f>AN6+1</f>
        <v>44560</v>
      </c>
      <c r="AP6" s="1082">
        <f>AO6+1</f>
        <v>44561</v>
      </c>
    </row>
    <row r="7" spans="2:51" ht="21.6">
      <c r="B7" s="716">
        <v>44533</v>
      </c>
      <c r="C7" s="749">
        <v>21.04</v>
      </c>
      <c r="D7" s="750">
        <v>15.2</v>
      </c>
      <c r="E7" s="751">
        <v>8.9</v>
      </c>
      <c r="F7" s="749">
        <v>3.58</v>
      </c>
      <c r="G7" s="749">
        <f>SUM(Table252346789101110121312141215161517181920[[#This Row],[Jones Creek Target (Mbopd)]:[Egwa Target (Mbopd)]])</f>
        <v>48.719999999999992</v>
      </c>
      <c r="H7" s="752">
        <v>0</v>
      </c>
      <c r="I7" s="752">
        <v>10.614000000000001</v>
      </c>
      <c r="J7" s="752">
        <v>0</v>
      </c>
      <c r="K7" s="752">
        <v>0</v>
      </c>
      <c r="L7" s="753">
        <f t="shared" si="0"/>
        <v>10.614000000000001</v>
      </c>
      <c r="M7" s="721">
        <v>5.194</v>
      </c>
      <c r="N7" s="1051">
        <f>Table252346789101110121312141215161517181920[[#This Row],[Jones Creek Target (Mbopd)]]-Table252346789101110121312141215161517181920[[#This Row],[Jones Creek (Mbopd)]]</f>
        <v>21.04</v>
      </c>
      <c r="O7" s="723">
        <f>Table252346789101110121312141215161517181920[[#This Row],[Odidi Target (Mbopd)]]-Table252346789101110121312141215161517181920[[#This Row],[Odidi (Mbopd)]]</f>
        <v>4.5859999999999985</v>
      </c>
      <c r="P7" s="721">
        <f>Table252346789101110121312141215161517181920[[#This Row],[Batan Target (Mbopd)]]-Table252346789101110121312141215161517181920[[#This Row],[Batan (Mbopd)]]</f>
        <v>8.9</v>
      </c>
      <c r="Q7" s="1052">
        <f>Table252346789101110121312141215161517181920[[#This Row],[Egwa Target (Mbopd)]]-Table252346789101110121312141215161517181920[[#This Row],[Egwa (Mbopd)]]</f>
        <v>3.58</v>
      </c>
      <c r="R7" s="745">
        <v>0</v>
      </c>
      <c r="S7" s="723">
        <v>32.409999999999997</v>
      </c>
      <c r="T7" s="723">
        <v>0</v>
      </c>
      <c r="U7" s="747">
        <v>0</v>
      </c>
      <c r="V7" s="746">
        <v>0</v>
      </c>
      <c r="W7" s="723">
        <v>0</v>
      </c>
      <c r="X7" s="723">
        <v>0</v>
      </c>
      <c r="Y7" s="721">
        <v>0</v>
      </c>
      <c r="Z7" s="746">
        <f>+Table252346789101110121312141215161517181920[[#This Row],[J/C Prod gas (MMscf)]]-Table252346789101110121312141215161517181920[[#This Row],[J/C Utilised gas (MMscf)]]</f>
        <v>0</v>
      </c>
      <c r="AA7" s="723">
        <f>+Table252346789101110121312141215161517181920[[#This Row],[Odid Prod gas (MMscf)]]-Table252346789101110121312141215161517181920[[#This Row],[Gas Export (MMscf/d)]]</f>
        <v>27.215999999999998</v>
      </c>
      <c r="AB7" s="723">
        <f>+Table252346789101110121312141215161517181920[[#This Row],[Batn Prod gas (MMscf)]]-Table252346789101110121312141215161517181920[[#This Row],[Batn Utilised gas (MMscf)]]</f>
        <v>0</v>
      </c>
      <c r="AC7" s="747">
        <f>+Table252346789101110121312141215161517181920[[#This Row],[Egwa Prod gas (MMscf)]]-Table252346789101110121312141215161517181920[[#This Row],[Egwa Utilised gas (MMscf)]]</f>
        <v>0</v>
      </c>
      <c r="AD7" s="745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32.409999999999997</v>
      </c>
      <c r="AE7" s="723">
        <f>+Table252346789101110121312141215161517181920[[#This Row],[Gas Export (MMscf/d)]]</f>
        <v>5.194</v>
      </c>
      <c r="AF7" s="723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</v>
      </c>
      <c r="AG7" s="747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27.215999999999998</v>
      </c>
      <c r="AH7" s="142"/>
      <c r="AJ7" s="1080" t="s">
        <v>17</v>
      </c>
      <c r="AK7" s="1084">
        <v>21.04</v>
      </c>
      <c r="AL7" s="1090">
        <v>18.013000000000002</v>
      </c>
      <c r="AM7" s="1067">
        <v>18.361999999999998</v>
      </c>
      <c r="AN7" s="1090">
        <v>18.207999999999998</v>
      </c>
      <c r="AO7" s="1067">
        <v>18.356000000000002</v>
      </c>
      <c r="AP7" s="1090">
        <f>H35</f>
        <v>18.146000000000001</v>
      </c>
    </row>
    <row r="8" spans="2:51" ht="21.6">
      <c r="B8" s="716">
        <v>44534</v>
      </c>
      <c r="C8" s="749">
        <v>21.04</v>
      </c>
      <c r="D8" s="750">
        <v>15.2</v>
      </c>
      <c r="E8" s="751">
        <v>8.9</v>
      </c>
      <c r="F8" s="749">
        <v>3.58</v>
      </c>
      <c r="G8" s="749">
        <f>SUM(Table252346789101110121312141215161517181920[[#This Row],[Jones Creek Target (Mbopd)]:[Egwa Target (Mbopd)]])</f>
        <v>48.719999999999992</v>
      </c>
      <c r="H8" s="752">
        <v>0</v>
      </c>
      <c r="I8" s="752">
        <v>9.5030000000000001</v>
      </c>
      <c r="J8" s="752">
        <v>1.339</v>
      </c>
      <c r="K8" s="752">
        <v>0</v>
      </c>
      <c r="L8" s="753">
        <f t="shared" si="0"/>
        <v>10.842000000000001</v>
      </c>
      <c r="M8" s="721">
        <v>6.8810000000000002</v>
      </c>
      <c r="N8" s="1051">
        <f>Table252346789101110121312141215161517181920[[#This Row],[Jones Creek Target (Mbopd)]]-Table252346789101110121312141215161517181920[[#This Row],[Jones Creek (Mbopd)]]</f>
        <v>21.04</v>
      </c>
      <c r="O8" s="723">
        <f>Table252346789101110121312141215161517181920[[#This Row],[Odidi Target (Mbopd)]]-Table252346789101110121312141215161517181920[[#This Row],[Odidi (Mbopd)]]</f>
        <v>5.6969999999999992</v>
      </c>
      <c r="P8" s="721">
        <f>Table252346789101110121312141215161517181920[[#This Row],[Batan Target (Mbopd)]]-Table252346789101110121312141215161517181920[[#This Row],[Batan (Mbopd)]]</f>
        <v>7.5609999999999999</v>
      </c>
      <c r="Q8" s="1052">
        <f>Table252346789101110121312141215161517181920[[#This Row],[Egwa Target (Mbopd)]]-Table252346789101110121312141215161517181920[[#This Row],[Egwa (Mbopd)]]</f>
        <v>3.58</v>
      </c>
      <c r="R8" s="745">
        <v>0</v>
      </c>
      <c r="S8" s="723">
        <v>30.48</v>
      </c>
      <c r="T8" s="723">
        <v>1.1000000000000001</v>
      </c>
      <c r="U8" s="747">
        <v>0</v>
      </c>
      <c r="V8" s="746">
        <v>0</v>
      </c>
      <c r="W8" s="723">
        <v>0</v>
      </c>
      <c r="X8" s="723">
        <v>1</v>
      </c>
      <c r="Y8" s="721">
        <v>0</v>
      </c>
      <c r="Z8" s="746">
        <f>+Table252346789101110121312141215161517181920[[#This Row],[J/C Prod gas (MMscf)]]-Table252346789101110121312141215161517181920[[#This Row],[J/C Utilised gas (MMscf)]]</f>
        <v>0</v>
      </c>
      <c r="AA8" s="723">
        <f>+Table252346789101110121312141215161517181920[[#This Row],[Odid Prod gas (MMscf)]]-Table252346789101110121312141215161517181920[[#This Row],[Gas Export (MMscf/d)]]</f>
        <v>23.599</v>
      </c>
      <c r="AB8" s="723">
        <f>+Table252346789101110121312141215161517181920[[#This Row],[Batn Prod gas (MMscf)]]-Table252346789101110121312141215161517181920[[#This Row],[Batn Utilised gas (MMscf)]]</f>
        <v>0.10000000000000009</v>
      </c>
      <c r="AC8" s="747">
        <f>+Table252346789101110121312141215161517181920[[#This Row],[Egwa Prod gas (MMscf)]]-Table252346789101110121312141215161517181920[[#This Row],[Egwa Utilised gas (MMscf)]]</f>
        <v>0</v>
      </c>
      <c r="AD8" s="745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31.580000000000002</v>
      </c>
      <c r="AE8" s="723">
        <f>+Table252346789101110121312141215161517181920[[#This Row],[Gas Export (MMscf/d)]]</f>
        <v>6.8810000000000002</v>
      </c>
      <c r="AF8" s="723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1</v>
      </c>
      <c r="AG8" s="747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23.699000000000002</v>
      </c>
      <c r="AH8" s="142"/>
      <c r="AJ8" s="1080" t="s">
        <v>19</v>
      </c>
      <c r="AK8" s="1085">
        <v>15.2</v>
      </c>
      <c r="AL8" s="1091">
        <v>6.6260000000000003</v>
      </c>
      <c r="AM8" s="1068">
        <v>10.265000000000001</v>
      </c>
      <c r="AN8" s="1091">
        <v>11.504</v>
      </c>
      <c r="AO8" s="1068">
        <v>10.332000000000001</v>
      </c>
      <c r="AP8" s="1091">
        <f>I35</f>
        <v>6.726</v>
      </c>
    </row>
    <row r="9" spans="2:51" ht="21.6">
      <c r="B9" s="716">
        <v>44535</v>
      </c>
      <c r="C9" s="749">
        <v>21.04</v>
      </c>
      <c r="D9" s="750">
        <v>15.2</v>
      </c>
      <c r="E9" s="751">
        <v>8.9</v>
      </c>
      <c r="F9" s="749">
        <v>3.58</v>
      </c>
      <c r="G9" s="749">
        <f>SUM(Table252346789101110121312141215161517181920[[#This Row],[Jones Creek Target (Mbopd)]:[Egwa Target (Mbopd)]])</f>
        <v>48.719999999999992</v>
      </c>
      <c r="H9" s="752">
        <v>0</v>
      </c>
      <c r="I9" s="752">
        <v>10.115</v>
      </c>
      <c r="J9" s="752">
        <v>3.839</v>
      </c>
      <c r="K9" s="752">
        <v>0</v>
      </c>
      <c r="L9" s="753">
        <f t="shared" si="0"/>
        <v>13.954000000000001</v>
      </c>
      <c r="M9" s="721">
        <v>2.2050000000000001</v>
      </c>
      <c r="N9" s="1051">
        <f>Table252346789101110121312141215161517181920[[#This Row],[Jones Creek Target (Mbopd)]]-Table252346789101110121312141215161517181920[[#This Row],[Jones Creek (Mbopd)]]</f>
        <v>21.04</v>
      </c>
      <c r="O9" s="723">
        <f>Table252346789101110121312141215161517181920[[#This Row],[Odidi Target (Mbopd)]]-Table252346789101110121312141215161517181920[[#This Row],[Odidi (Mbopd)]]</f>
        <v>5.0849999999999991</v>
      </c>
      <c r="P9" s="721">
        <f>Table252346789101110121312141215161517181920[[#This Row],[Batan Target (Mbopd)]]-Table252346789101110121312141215161517181920[[#This Row],[Batan (Mbopd)]]</f>
        <v>5.0609999999999999</v>
      </c>
      <c r="Q9" s="1052">
        <f>Table252346789101110121312141215161517181920[[#This Row],[Egwa Target (Mbopd)]]-Table252346789101110121312141215161517181920[[#This Row],[Egwa (Mbopd)]]</f>
        <v>3.58</v>
      </c>
      <c r="R9" s="745">
        <v>0</v>
      </c>
      <c r="S9" s="723">
        <v>29.643000000000001</v>
      </c>
      <c r="T9" s="723">
        <v>1</v>
      </c>
      <c r="U9" s="747">
        <v>0</v>
      </c>
      <c r="V9" s="746">
        <v>0</v>
      </c>
      <c r="W9" s="723">
        <v>0</v>
      </c>
      <c r="X9" s="723">
        <v>0.5</v>
      </c>
      <c r="Y9" s="721">
        <v>0</v>
      </c>
      <c r="Z9" s="746">
        <f>+Table252346789101110121312141215161517181920[[#This Row],[J/C Prod gas (MMscf)]]-Table252346789101110121312141215161517181920[[#This Row],[J/C Utilised gas (MMscf)]]</f>
        <v>0</v>
      </c>
      <c r="AA9" s="723">
        <f>+Table252346789101110121312141215161517181920[[#This Row],[Odid Prod gas (MMscf)]]-Table252346789101110121312141215161517181920[[#This Row],[Gas Export (MMscf/d)]]</f>
        <v>27.438000000000002</v>
      </c>
      <c r="AB9" s="723">
        <f>+Table252346789101110121312141215161517181920[[#This Row],[Batn Prod gas (MMscf)]]-Table252346789101110121312141215161517181920[[#This Row],[Batn Utilised gas (MMscf)]]</f>
        <v>0.5</v>
      </c>
      <c r="AC9" s="747">
        <f>+Table252346789101110121312141215161517181920[[#This Row],[Egwa Prod gas (MMscf)]]-Table252346789101110121312141215161517181920[[#This Row],[Egwa Utilised gas (MMscf)]]</f>
        <v>0</v>
      </c>
      <c r="AD9" s="745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30.643000000000001</v>
      </c>
      <c r="AE9" s="723">
        <f>+Table252346789101110121312141215161517181920[[#This Row],[Gas Export (MMscf/d)]]</f>
        <v>2.2050000000000001</v>
      </c>
      <c r="AF9" s="723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0.5</v>
      </c>
      <c r="AG9" s="747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27.938000000000002</v>
      </c>
      <c r="AH9" s="142"/>
      <c r="AJ9" s="1080" t="s">
        <v>16</v>
      </c>
      <c r="AK9" s="1086">
        <v>8.9</v>
      </c>
      <c r="AL9" s="1092">
        <v>0</v>
      </c>
      <c r="AM9" s="1069">
        <v>0</v>
      </c>
      <c r="AN9" s="1092">
        <v>0</v>
      </c>
      <c r="AO9" s="1069">
        <v>2.9470000000000001</v>
      </c>
      <c r="AP9" s="1092">
        <f>J35</f>
        <v>4.9989999999999997</v>
      </c>
    </row>
    <row r="10" spans="2:51" ht="21.6">
      <c r="B10" s="716">
        <v>44536</v>
      </c>
      <c r="C10" s="749">
        <v>21.04</v>
      </c>
      <c r="D10" s="750">
        <v>15.2</v>
      </c>
      <c r="E10" s="751">
        <v>8.9</v>
      </c>
      <c r="F10" s="749">
        <v>3.58</v>
      </c>
      <c r="G10" s="749">
        <f>SUM(Table252346789101110121312141215161517181920[[#This Row],[Jones Creek Target (Mbopd)]:[Egwa Target (Mbopd)]])</f>
        <v>48.719999999999992</v>
      </c>
      <c r="H10" s="752">
        <v>0</v>
      </c>
      <c r="I10" s="752">
        <v>10.88</v>
      </c>
      <c r="J10" s="752">
        <v>3.7709999999999999</v>
      </c>
      <c r="K10" s="752">
        <v>0</v>
      </c>
      <c r="L10" s="753">
        <f t="shared" si="0"/>
        <v>14.651</v>
      </c>
      <c r="M10" s="721">
        <v>6.86</v>
      </c>
      <c r="N10" s="1051">
        <f>Table252346789101110121312141215161517181920[[#This Row],[Jones Creek Target (Mbopd)]]-Table252346789101110121312141215161517181920[[#This Row],[Jones Creek (Mbopd)]]</f>
        <v>21.04</v>
      </c>
      <c r="O10" s="723">
        <f>Table252346789101110121312141215161517181920[[#This Row],[Odidi Target (Mbopd)]]-Table252346789101110121312141215161517181920[[#This Row],[Odidi (Mbopd)]]</f>
        <v>4.3199999999999985</v>
      </c>
      <c r="P10" s="721">
        <f>Table252346789101110121312141215161517181920[[#This Row],[Batan Target (Mbopd)]]-Table252346789101110121312141215161517181920[[#This Row],[Batan (Mbopd)]]</f>
        <v>5.1290000000000004</v>
      </c>
      <c r="Q10" s="1052">
        <f>Table252346789101110121312141215161517181920[[#This Row],[Egwa Target (Mbopd)]]-Table252346789101110121312141215161517181920[[#This Row],[Egwa (Mbopd)]]</f>
        <v>3.58</v>
      </c>
      <c r="R10" s="745">
        <v>0</v>
      </c>
      <c r="S10" s="723">
        <v>30.38</v>
      </c>
      <c r="T10" s="723">
        <v>0.5</v>
      </c>
      <c r="U10" s="747">
        <v>0</v>
      </c>
      <c r="V10" s="746">
        <v>0</v>
      </c>
      <c r="W10" s="723">
        <v>0</v>
      </c>
      <c r="X10" s="723">
        <v>0.3</v>
      </c>
      <c r="Y10" s="721">
        <v>0</v>
      </c>
      <c r="Z10" s="746">
        <f>+Table252346789101110121312141215161517181920[[#This Row],[J/C Prod gas (MMscf)]]-Table252346789101110121312141215161517181920[[#This Row],[J/C Utilised gas (MMscf)]]</f>
        <v>0</v>
      </c>
      <c r="AA10" s="723">
        <f>+Table252346789101110121312141215161517181920[[#This Row],[Odid Prod gas (MMscf)]]-Table252346789101110121312141215161517181920[[#This Row],[Gas Export (MMscf/d)]]</f>
        <v>23.52</v>
      </c>
      <c r="AB10" s="723">
        <f>+Table252346789101110121312141215161517181920[[#This Row],[Batn Prod gas (MMscf)]]-Table252346789101110121312141215161517181920[[#This Row],[Batn Utilised gas (MMscf)]]</f>
        <v>0.2</v>
      </c>
      <c r="AC10" s="747">
        <f>+Table252346789101110121312141215161517181920[[#This Row],[Egwa Prod gas (MMscf)]]-Table252346789101110121312141215161517181920[[#This Row],[Egwa Utilised gas (MMscf)]]</f>
        <v>0</v>
      </c>
      <c r="AD10" s="745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30.88</v>
      </c>
      <c r="AE10" s="723">
        <f>+Table252346789101110121312141215161517181920[[#This Row],[Gas Export (MMscf/d)]]</f>
        <v>6.86</v>
      </c>
      <c r="AF10" s="723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0.3</v>
      </c>
      <c r="AG10" s="747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23.72</v>
      </c>
      <c r="AH10" s="142"/>
      <c r="AJ10" s="1080" t="s">
        <v>18</v>
      </c>
      <c r="AK10" s="1085">
        <v>3.58</v>
      </c>
      <c r="AL10" s="1093">
        <v>2.3140000000000001</v>
      </c>
      <c r="AM10" s="1070">
        <v>2.3490000000000002</v>
      </c>
      <c r="AN10" s="1093">
        <v>2.355</v>
      </c>
      <c r="AO10" s="1070">
        <v>2.3919999999999999</v>
      </c>
      <c r="AP10" s="1093">
        <f>K35</f>
        <v>2.3039999999999998</v>
      </c>
    </row>
    <row r="11" spans="2:51" ht="21.6">
      <c r="B11" s="716">
        <v>44537</v>
      </c>
      <c r="C11" s="749">
        <v>21.04</v>
      </c>
      <c r="D11" s="750">
        <v>15.2</v>
      </c>
      <c r="E11" s="751">
        <v>8.9</v>
      </c>
      <c r="F11" s="749">
        <v>3.58</v>
      </c>
      <c r="G11" s="749">
        <f>SUM(Table252346789101110121312141215161517181920[[#This Row],[Jones Creek Target (Mbopd)]:[Egwa Target (Mbopd)]])</f>
        <v>48.719999999999992</v>
      </c>
      <c r="H11" s="754">
        <v>11.343</v>
      </c>
      <c r="I11" s="754">
        <v>10.244999999999999</v>
      </c>
      <c r="J11" s="754">
        <v>3.4049999999999998</v>
      </c>
      <c r="K11" s="1063">
        <v>1.615</v>
      </c>
      <c r="L11" s="1064">
        <f t="shared" si="0"/>
        <v>26.608000000000001</v>
      </c>
      <c r="M11" s="721">
        <v>8.01</v>
      </c>
      <c r="N11" s="1051">
        <f>Table252346789101110121312141215161517181920[[#This Row],[Jones Creek Target (Mbopd)]]-Table252346789101110121312141215161517181920[[#This Row],[Jones Creek (Mbopd)]]</f>
        <v>9.6969999999999992</v>
      </c>
      <c r="O11" s="723">
        <f>Table252346789101110121312141215161517181920[[#This Row],[Odidi Target (Mbopd)]]-Table252346789101110121312141215161517181920[[#This Row],[Odidi (Mbopd)]]</f>
        <v>4.9550000000000001</v>
      </c>
      <c r="P11" s="721">
        <f>Table252346789101110121312141215161517181920[[#This Row],[Batan Target (Mbopd)]]-Table252346789101110121312141215161517181920[[#This Row],[Batan (Mbopd)]]</f>
        <v>5.495000000000001</v>
      </c>
      <c r="Q11" s="1052">
        <f>Table252346789101110121312141215161517181920[[#This Row],[Egwa Target (Mbopd)]]-Table252346789101110121312141215161517181920[[#This Row],[Egwa (Mbopd)]]</f>
        <v>1.9650000000000001</v>
      </c>
      <c r="R11" s="745">
        <v>6.31</v>
      </c>
      <c r="S11" s="723">
        <v>30.38</v>
      </c>
      <c r="T11" s="723">
        <v>0.5</v>
      </c>
      <c r="U11" s="747">
        <v>0.56999999999999995</v>
      </c>
      <c r="V11" s="746">
        <v>0.84240000000000004</v>
      </c>
      <c r="W11" s="723">
        <v>0</v>
      </c>
      <c r="X11" s="723">
        <v>0.3</v>
      </c>
      <c r="Y11" s="721">
        <v>0</v>
      </c>
      <c r="Z11" s="746">
        <f>+Table252346789101110121312141215161517181920[[#This Row],[J/C Prod gas (MMscf)]]-Table252346789101110121312141215161517181920[[#This Row],[J/C Utilised gas (MMscf)]]</f>
        <v>5.4675999999999991</v>
      </c>
      <c r="AA11" s="723">
        <f>+Table252346789101110121312141215161517181920[[#This Row],[Odid Prod gas (MMscf)]]-Table252346789101110121312141215161517181920[[#This Row],[Gas Export (MMscf/d)]]</f>
        <v>22.369999999999997</v>
      </c>
      <c r="AB11" s="723">
        <f>+Table252346789101110121312141215161517181920[[#This Row],[Batn Prod gas (MMscf)]]-Table252346789101110121312141215161517181920[[#This Row],[Batn Utilised gas (MMscf)]]</f>
        <v>0.2</v>
      </c>
      <c r="AC11" s="747">
        <f>+Table252346789101110121312141215161517181920[[#This Row],[Egwa Prod gas (MMscf)]]-Table252346789101110121312141215161517181920[[#This Row],[Egwa Utilised gas (MMscf)]]</f>
        <v>0.56999999999999995</v>
      </c>
      <c r="AD11" s="745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37.76</v>
      </c>
      <c r="AE11" s="723">
        <f>+Table252346789101110121312141215161517181920[[#This Row],[Gas Export (MMscf/d)]]</f>
        <v>8.01</v>
      </c>
      <c r="AF11" s="723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1.1424000000000001</v>
      </c>
      <c r="AG11" s="747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28.607599999999994</v>
      </c>
      <c r="AH11" s="142"/>
      <c r="AJ11" s="1080" t="s">
        <v>447</v>
      </c>
      <c r="AK11" s="1085">
        <f>SUM(Table252346789101110121312141215161517181920[[#This Row],[Jones Creek Target (Mbopd)]:[Egwa Target (Mbopd)]])</f>
        <v>48.719999999999992</v>
      </c>
      <c r="AL11" s="1093">
        <v>26.953000000000003</v>
      </c>
      <c r="AM11" s="1070">
        <v>30.975999999999999</v>
      </c>
      <c r="AN11" s="1093">
        <v>32.066999999999993</v>
      </c>
      <c r="AO11" s="1070">
        <v>34.027000000000001</v>
      </c>
      <c r="AP11" s="1093">
        <f>L35</f>
        <v>32.174999999999997</v>
      </c>
    </row>
    <row r="12" spans="2:51" ht="21.6">
      <c r="B12" s="716">
        <v>44538</v>
      </c>
      <c r="C12" s="749">
        <v>21.04</v>
      </c>
      <c r="D12" s="750">
        <v>15.2</v>
      </c>
      <c r="E12" s="751">
        <v>8.9</v>
      </c>
      <c r="F12" s="749">
        <v>3.58</v>
      </c>
      <c r="G12" s="749">
        <f>SUM(Table252346789101110121312141215161517181920[[#This Row],[Jones Creek Target (Mbopd)]:[Egwa Target (Mbopd)]])</f>
        <v>48.719999999999992</v>
      </c>
      <c r="H12" s="754">
        <v>20.977</v>
      </c>
      <c r="I12" s="754">
        <v>10.287000000000001</v>
      </c>
      <c r="J12" s="754">
        <v>4.8019999999999996</v>
      </c>
      <c r="K12" s="754">
        <v>3.5819999999999999</v>
      </c>
      <c r="L12" s="753">
        <f t="shared" si="0"/>
        <v>39.648000000000003</v>
      </c>
      <c r="M12" s="721">
        <v>0</v>
      </c>
      <c r="N12" s="765">
        <f>Table2523467891011101213121412151615171819[[#This Row],[Jones Creek Target (Mbopd)]]-Table2523467891011101213121412151615171819[[#This Row],[Jones Creek (Mbopd)]]</f>
        <v>2.6539999999999999</v>
      </c>
      <c r="O12" s="723">
        <f>Table2523467891011101213121412151615171819[[#This Row],[Odidi Target (Mbopd)]]-Table2523467891011101213121412151615171819[[#This Row],[Odidi (Mbopd)]]</f>
        <v>3.581999999999999</v>
      </c>
      <c r="P12" s="721">
        <f>Table2523467891011101213121412151615171819[[#This Row],[Batan Target (Mbopd)]]-Table2523467891011101213121412151615171819[[#This Row],[Batan (Mbopd)]]</f>
        <v>5.4110000000000005</v>
      </c>
      <c r="Q12" s="747">
        <f>Table2523467891011101213121412151615171819[[#This Row],[Egwa Target (Mbopd)]]-Table2523467891011101213121412151615171819[[#This Row],[Egwa (Mbopd)]]</f>
        <v>0.39999999999999991</v>
      </c>
      <c r="R12" s="745">
        <v>11.734999999999999</v>
      </c>
      <c r="S12" s="723">
        <v>30.38</v>
      </c>
      <c r="T12" s="723">
        <v>1.7</v>
      </c>
      <c r="U12" s="747">
        <v>2.08</v>
      </c>
      <c r="V12" s="746">
        <v>0.84240000000000004</v>
      </c>
      <c r="W12" s="723">
        <v>0</v>
      </c>
      <c r="X12" s="723">
        <v>1.3</v>
      </c>
      <c r="Y12" s="721">
        <v>0</v>
      </c>
      <c r="Z12" s="746">
        <f>+Table2523467891011101213121412151615171819[[#This Row],[J/C Prod gas (MMscf)]]-Table2523467891011101213121412151615171819[[#This Row],[J/C Utilised gas (MMscf)]]</f>
        <v>5.6907000000000005</v>
      </c>
      <c r="AA12" s="723">
        <f>+Table2523467891011101213121412151615171819[[#This Row],[Odid Prod gas (MMscf)]]-Table2523467891011101213121412151615171819[[#This Row],[Gas Export (MMscf/d)]]</f>
        <v>14.661000000000001</v>
      </c>
      <c r="AB12" s="723">
        <f>+Table2523467891011101213121412151615171819[[#This Row],[Batn Prod gas (MMscf)]]-Table2523467891011101213121412151615171819[[#This Row],[Batn Utilised gas (MMscf)]]</f>
        <v>0</v>
      </c>
      <c r="AC12" s="747">
        <f>+Table2523467891011101213121412151615171819[[#This Row],[Egwa Prod gas (MMscf)]]-Table2523467891011101213121412151615171819[[#This Row],[Egwa Utilised gas (MMscf)]]</f>
        <v>3.18</v>
      </c>
      <c r="AD12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41.130700000000004</v>
      </c>
      <c r="AE12" s="723">
        <f>+Table2523467891011101213121412151615171819[[#This Row],[Gas Export (MMscf/d)]]</f>
        <v>16.759</v>
      </c>
      <c r="AF12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2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23.531700000000001</v>
      </c>
      <c r="AH12" s="142"/>
      <c r="AI12" s="730"/>
      <c r="AJ12" s="1080" t="s">
        <v>448</v>
      </c>
      <c r="AK12" s="1087">
        <v>31</v>
      </c>
      <c r="AL12" s="1094">
        <v>0</v>
      </c>
      <c r="AM12" s="1077">
        <v>0</v>
      </c>
      <c r="AN12" s="1094">
        <v>4.1040000000000001</v>
      </c>
      <c r="AO12" s="1077">
        <v>6.8460000000000001</v>
      </c>
      <c r="AP12" s="1093">
        <f>M35</f>
        <v>1.7789999999999999</v>
      </c>
    </row>
    <row r="13" spans="2:51" ht="21.6">
      <c r="B13" s="716">
        <v>44539</v>
      </c>
      <c r="C13" s="749">
        <v>21.04</v>
      </c>
      <c r="D13" s="750">
        <v>15.2</v>
      </c>
      <c r="E13" s="751">
        <v>8.9</v>
      </c>
      <c r="F13" s="749">
        <v>3.58</v>
      </c>
      <c r="G13" s="749">
        <f>SUM(Table252346789101110121312141215161517181920[[#This Row],[Jones Creek Target (Mbopd)]:[Egwa Target (Mbopd)]])</f>
        <v>48.719999999999992</v>
      </c>
      <c r="H13" s="749">
        <v>18.202999999999999</v>
      </c>
      <c r="I13" s="749">
        <v>6.3280000000000003</v>
      </c>
      <c r="J13" s="752">
        <v>4.9390000000000001</v>
      </c>
      <c r="K13" s="754">
        <v>3.452</v>
      </c>
      <c r="L13" s="753">
        <f t="shared" si="0"/>
        <v>32.921999999999997</v>
      </c>
      <c r="M13" s="1040">
        <v>0</v>
      </c>
      <c r="N13" s="765">
        <f>Table2523467891011101213121412151615171819[[#This Row],[Jones Creek Target (Mbopd)]]-Table2523467891011101213121412151615171819[[#This Row],[Jones Creek (Mbopd)]]</f>
        <v>3.5289999999999999</v>
      </c>
      <c r="O13" s="723">
        <f>Table2523467891011101213121412151615171819[[#This Row],[Odidi Target (Mbopd)]]-Table2523467891011101213121412151615171819[[#This Row],[Odidi (Mbopd)]]</f>
        <v>2.5179999999999989</v>
      </c>
      <c r="P13" s="721">
        <f>Table2523467891011101213121412151615171819[[#This Row],[Batan Target (Mbopd)]]-Table2523467891011101213121412151615171819[[#This Row],[Batan (Mbopd)]]</f>
        <v>8.9</v>
      </c>
      <c r="Q13" s="747">
        <f>Table2523467891011101213121412151615171819[[#This Row],[Egwa Target (Mbopd)]]-Table2523467891011101213121412151615171819[[#This Row],[Egwa (Mbopd)]]</f>
        <v>0.40600000000000014</v>
      </c>
      <c r="R13" s="1039">
        <v>10.14</v>
      </c>
      <c r="S13" s="1041">
        <v>19.626999999999999</v>
      </c>
      <c r="T13" s="723">
        <v>1.8</v>
      </c>
      <c r="U13" s="747">
        <v>2.67</v>
      </c>
      <c r="V13" s="746">
        <v>0.84240000000000004</v>
      </c>
      <c r="W13" s="723">
        <v>0</v>
      </c>
      <c r="X13" s="723">
        <v>1.5</v>
      </c>
      <c r="Y13" s="721">
        <v>0</v>
      </c>
      <c r="Z13" s="746">
        <f>+Table2523467891011101213121412151615171819[[#This Row],[J/C Prod gas (MMscf)]]-Table2523467891011101213121412151615171819[[#This Row],[J/C Utilised gas (MMscf)]]</f>
        <v>5.69</v>
      </c>
      <c r="AA13" s="723">
        <f>+Table2523467891011101213121412151615171819[[#This Row],[Odid Prod gas (MMscf)]]-Table2523467891011101213121412151615171819[[#This Row],[Gas Export (MMscf/d)]]</f>
        <v>19.007999999999999</v>
      </c>
      <c r="AB13" s="723">
        <f>+Table2523467891011101213121412151615171819[[#This Row],[Batn Prod gas (MMscf)]]-Table2523467891011101213121412151615171819[[#This Row],[Batn Utilised gas (MMscf)]]</f>
        <v>0</v>
      </c>
      <c r="AC13" s="747">
        <f>+Table2523467891011101213121412151615171819[[#This Row],[Egwa Prod gas (MMscf)]]-Table2523467891011101213121412151615171819[[#This Row],[Egwa Utilised gas (MMscf)]]</f>
        <v>3.24</v>
      </c>
      <c r="AD13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45.21</v>
      </c>
      <c r="AE13" s="723">
        <f>+Table2523467891011101213121412151615171819[[#This Row],[Gas Export (MMscf/d)]]</f>
        <v>16.431999999999999</v>
      </c>
      <c r="AF13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3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27.938000000000002</v>
      </c>
      <c r="AH13" s="142"/>
    </row>
    <row r="14" spans="2:51" ht="21.6">
      <c r="B14" s="716">
        <v>44540</v>
      </c>
      <c r="C14" s="749">
        <v>21.04</v>
      </c>
      <c r="D14" s="750">
        <v>15.2</v>
      </c>
      <c r="E14" s="751">
        <v>8.9</v>
      </c>
      <c r="F14" s="749">
        <v>3.58</v>
      </c>
      <c r="G14" s="1042">
        <f>SUM(Table252346789101110121312141215161517181920[[#This Row],[Jones Creek Target (Mbopd)]:[Egwa Target (Mbopd)]])</f>
        <v>48.719999999999992</v>
      </c>
      <c r="H14" s="752">
        <v>18.027999999999999</v>
      </c>
      <c r="I14" s="752">
        <v>0</v>
      </c>
      <c r="J14" s="749">
        <v>4.7889999999999997</v>
      </c>
      <c r="K14" s="754">
        <v>3.3759999999999999</v>
      </c>
      <c r="L14" s="753">
        <f t="shared" si="0"/>
        <v>26.193000000000001</v>
      </c>
      <c r="M14" s="721">
        <v>0</v>
      </c>
      <c r="N14" s="765">
        <f>Table2523467891011101213121412151615171819[[#This Row],[Jones Creek Target (Mbopd)]]-Table2523467891011101213121412151615171819[[#This Row],[Jones Creek (Mbopd)]]</f>
        <v>2.4009999999999998</v>
      </c>
      <c r="O14" s="723">
        <f>Table2523467891011101213121412151615171819[[#This Row],[Odidi Target (Mbopd)]]-Table2523467891011101213121412151615171819[[#This Row],[Odidi (Mbopd)]]</f>
        <v>2.0139999999999993</v>
      </c>
      <c r="P14" s="721">
        <f>Table2523467891011101213121412151615171819[[#This Row],[Batan Target (Mbopd)]]-Table2523467891011101213121412151615171819[[#This Row],[Batan (Mbopd)]]</f>
        <v>8.9</v>
      </c>
      <c r="Q14" s="747">
        <f>Table2523467891011101213121412151615171819[[#This Row],[Egwa Target (Mbopd)]]-Table2523467891011101213121412151615171819[[#This Row],[Egwa (Mbopd)]]</f>
        <v>0.41000000000000014</v>
      </c>
      <c r="R14" s="745">
        <v>9.11</v>
      </c>
      <c r="S14" s="1041">
        <v>0</v>
      </c>
      <c r="T14" s="723">
        <v>1.8</v>
      </c>
      <c r="U14" s="747">
        <v>3.03</v>
      </c>
      <c r="V14" s="746">
        <v>0.84240000000000004</v>
      </c>
      <c r="W14" s="723">
        <v>0</v>
      </c>
      <c r="X14" s="723">
        <v>1.5</v>
      </c>
      <c r="Y14" s="721">
        <v>0</v>
      </c>
      <c r="Z14" s="746">
        <f>+Table2523467891011101213121412151615171819[[#This Row],[J/C Prod gas (MMscf)]]-Table2523467891011101213121412151615171819[[#This Row],[J/C Utilised gas (MMscf)]]</f>
        <v>5.69</v>
      </c>
      <c r="AA14" s="723">
        <f>+Table2523467891011101213121412151615171819[[#This Row],[Odid Prod gas (MMscf)]]-Table2523467891011101213121412151615171819[[#This Row],[Gas Export (MMscf/d)]]</f>
        <v>21.894000000000002</v>
      </c>
      <c r="AB14" s="723">
        <f>+Table2523467891011101213121412151615171819[[#This Row],[Batn Prod gas (MMscf)]]-Table2523467891011101213121412151615171819[[#This Row],[Batn Utilised gas (MMscf)]]</f>
        <v>0</v>
      </c>
      <c r="AC14" s="747">
        <f>+Table2523467891011101213121412151615171819[[#This Row],[Egwa Prod gas (MMscf)]]-Table2523467891011101213121412151615171819[[#This Row],[Egwa Utilised gas (MMscf)]]</f>
        <v>3.3</v>
      </c>
      <c r="AD14" s="745">
        <f>+Table2523467891011101213121412151615171819[[#This Row],[J/C Prod gas (MMscf)]]+Table2523467891011101213121412151615171819[[#This Row],[Odid Prod gas (MMscf)]]+Table2523467891011101213121412151615171819[[#This Row],[Batn Prod gas (MMscf)]]+Table2523467891011101213121412151615171819[[#This Row],[Egwa Prod gas (MMscf)]]</f>
        <v>47.61</v>
      </c>
      <c r="AE14" s="723">
        <f>+Table2523467891011101213121412151615171819[[#This Row],[Gas Export (MMscf/d)]]</f>
        <v>15.885999999999999</v>
      </c>
      <c r="AF14" s="723">
        <f>+Table2523467891011101213121412151615171819[[#This Row],[J/C Utilised gas (MMscf)]]+Table2523467891011101213121412151615171819[[#This Row],[Odid Utilised gas (MMscf)]]+Table2523467891011101213121412151615171819[[#This Row],[Batn Utilised gas (MMscf)]]+Table2523467891011101213121412151615171819[[#This Row],[Egwa Utilised gas (MMscf)]]</f>
        <v>0.84</v>
      </c>
      <c r="AG14" s="747">
        <f>+Table2523467891011101213121412151615171819[[#This Row],[ J/C Flared Gas (MMscf/d)]]+Table2523467891011101213121412151615171819[[#This Row],[ Odidi Flared Gas (MMscf/d)]]+Table2523467891011101213121412151615171819[[#This Row],[ Batan Flared Gas (MMscf/d)]]+Table2523467891011101213121412151615171819[[#This Row],[Egwa Flared Gas (MMscf/d)]]</f>
        <v>30.884000000000004</v>
      </c>
      <c r="AH14" s="142"/>
    </row>
    <row r="15" spans="2:51" ht="21.6">
      <c r="B15" s="716">
        <v>44541</v>
      </c>
      <c r="C15" s="749">
        <v>21.04</v>
      </c>
      <c r="D15" s="750">
        <v>15.2</v>
      </c>
      <c r="E15" s="751">
        <v>8.9</v>
      </c>
      <c r="F15" s="749">
        <v>3.58</v>
      </c>
      <c r="G15" s="1042">
        <f>SUM(Table252346789101110121312141215161517181920[[#This Row],[Jones Creek Target (Mbopd)]:[Egwa Target (Mbopd)]])</f>
        <v>48.719999999999992</v>
      </c>
      <c r="H15" s="752">
        <v>18.027999999999999</v>
      </c>
      <c r="I15" s="752">
        <v>9.4749999999999996</v>
      </c>
      <c r="J15" s="749">
        <v>4.6210000000000004</v>
      </c>
      <c r="K15" s="754">
        <v>3.34</v>
      </c>
      <c r="L15" s="753">
        <f t="shared" ref="L15:L18" si="1">H15+I15+J15+K15</f>
        <v>35.463999999999999</v>
      </c>
      <c r="M15" s="721">
        <v>0</v>
      </c>
      <c r="N15" s="1065">
        <f>Table252346789101110121312141215161517181920[[#This Row],[Jones Creek Target (Mbopd)]]-Table252346789101110121312141215161517181920[[#This Row],[Jones Creek (Mbopd)]]</f>
        <v>3.0120000000000005</v>
      </c>
      <c r="O15" s="1044">
        <f>Table252346789101110121312141215161517181920[[#This Row],[Odidi Target (Mbopd)]]-Table252346789101110121312141215161517181920[[#This Row],[Odidi (Mbopd)]]</f>
        <v>5.7249999999999996</v>
      </c>
      <c r="P15" s="1044">
        <f>Table252346789101110121312141215161517181920[[#This Row],[Batan Target (Mbopd)]]-Table252346789101110121312141215161517181920[[#This Row],[Batan (Mbopd)]]</f>
        <v>4.2789999999999999</v>
      </c>
      <c r="Q15" s="1066">
        <f>Table252346789101110121312141215161517181920[[#This Row],[Egwa Target (Mbopd)]]-Table252346789101110121312141215161517181920[[#This Row],[Egwa (Mbopd)]]</f>
        <v>0.24000000000000021</v>
      </c>
      <c r="R15" s="1043">
        <v>9.66</v>
      </c>
      <c r="S15" s="1044">
        <v>31.13</v>
      </c>
      <c r="T15" s="1044">
        <v>1.8</v>
      </c>
      <c r="U15" s="1045">
        <v>3.18</v>
      </c>
      <c r="V15" s="746">
        <v>0.84240000000000004</v>
      </c>
      <c r="W15" s="1044">
        <v>0</v>
      </c>
      <c r="X15" s="723">
        <v>1.5</v>
      </c>
      <c r="Y15" s="1045">
        <v>0</v>
      </c>
      <c r="Z15" s="1046">
        <f>+Table252346789101110121312141215161517181920[[#This Row],[J/C Prod gas (MMscf)]]-Table252346789101110121312141215161517181920[[#This Row],[J/C Utilised gas (MMscf)]]</f>
        <v>8.8176000000000005</v>
      </c>
      <c r="AA15" s="1044">
        <f>+Table252346789101110121312141215161517181920[[#This Row],[Odid Prod gas (MMscf)]]-Table252346789101110121312141215161517181920[[#This Row],[Gas Export (MMscf/d)]]</f>
        <v>31.13</v>
      </c>
      <c r="AB15" s="1044">
        <f>+Table252346789101110121312141215161517181920[[#This Row],[Batn Prod gas (MMscf)]]-Table252346789101110121312141215161517181920[[#This Row],[Batn Utilised gas (MMscf)]]</f>
        <v>0.30000000000000004</v>
      </c>
      <c r="AC15" s="1045">
        <f>+Table252346789101110121312141215161517181920[[#This Row],[Egwa Prod gas (MMscf)]]-Table252346789101110121312141215161517181920[[#This Row],[Egwa Utilised gas (MMscf)]]</f>
        <v>3.18</v>
      </c>
      <c r="AD15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45.769999999999996</v>
      </c>
      <c r="AE15" s="1044">
        <f>+Table252346789101110121312141215161517181920[[#This Row],[Gas Export (MMscf/d)]]</f>
        <v>0</v>
      </c>
      <c r="AF15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2.3424</v>
      </c>
      <c r="AG15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43.427599999999998</v>
      </c>
      <c r="AH15" s="142"/>
    </row>
    <row r="16" spans="2:51" ht="21.6">
      <c r="B16" s="716">
        <v>44542</v>
      </c>
      <c r="C16" s="749">
        <v>21.04</v>
      </c>
      <c r="D16" s="750">
        <v>15.2</v>
      </c>
      <c r="E16" s="751">
        <v>8.9</v>
      </c>
      <c r="F16" s="749">
        <v>3.58</v>
      </c>
      <c r="G16" s="1042">
        <f>SUM(Table252346789101110121312141215161517181920[[#This Row],[Jones Creek Target (Mbopd)]:[Egwa Target (Mbopd)]])</f>
        <v>48.719999999999992</v>
      </c>
      <c r="H16" s="1067">
        <v>19.11</v>
      </c>
      <c r="I16" s="1068">
        <v>10.176</v>
      </c>
      <c r="J16" s="1069">
        <v>3.6949999999999998</v>
      </c>
      <c r="K16" s="1070">
        <v>3.3620000000000001</v>
      </c>
      <c r="L16" s="1070">
        <f t="shared" si="1"/>
        <v>36.343000000000004</v>
      </c>
      <c r="M16" s="721">
        <v>0</v>
      </c>
      <c r="N16" s="1065">
        <f>Table252346789101110121312141215161517181920[[#This Row],[Jones Creek Target (Mbopd)]]-Table252346789101110121312141215161517181920[[#This Row],[Jones Creek (Mbopd)]]</f>
        <v>1.9299999999999997</v>
      </c>
      <c r="O16" s="1044">
        <f>Table252346789101110121312141215161517181920[[#This Row],[Odidi Target (Mbopd)]]-Table252346789101110121312141215161517181920[[#This Row],[Odidi (Mbopd)]]</f>
        <v>5.0239999999999991</v>
      </c>
      <c r="P16" s="1044">
        <f>Table252346789101110121312141215161517181920[[#This Row],[Batan Target (Mbopd)]]-Table252346789101110121312141215161517181920[[#This Row],[Batan (Mbopd)]]</f>
        <v>5.2050000000000001</v>
      </c>
      <c r="Q16" s="1066">
        <f>Table252346789101110121312141215161517181920[[#This Row],[Egwa Target (Mbopd)]]-Table252346789101110121312141215161517181920[[#This Row],[Egwa (Mbopd)]]</f>
        <v>0.21799999999999997</v>
      </c>
      <c r="R16" s="1043">
        <v>9.6199999999999992</v>
      </c>
      <c r="S16" s="1044">
        <v>37.58</v>
      </c>
      <c r="T16" s="1044">
        <v>1.8</v>
      </c>
      <c r="U16" s="1045">
        <v>3.23</v>
      </c>
      <c r="V16" s="746">
        <v>0.84240000000000004</v>
      </c>
      <c r="W16" s="1044">
        <v>0</v>
      </c>
      <c r="X16" s="723">
        <v>1.5</v>
      </c>
      <c r="Y16" s="1045">
        <v>0</v>
      </c>
      <c r="Z16" s="1046">
        <f>+Table252346789101110121312141215161517181920[[#This Row],[J/C Prod gas (MMscf)]]-Table252346789101110121312141215161517181920[[#This Row],[J/C Utilised gas (MMscf)]]</f>
        <v>8.7775999999999996</v>
      </c>
      <c r="AA16" s="1044">
        <f>+Table252346789101110121312141215161517181920[[#This Row],[Odid Prod gas (MMscf)]]-Table252346789101110121312141215161517181920[[#This Row],[Gas Export (MMscf/d)]]</f>
        <v>37.58</v>
      </c>
      <c r="AB16" s="1044">
        <f>+Table252346789101110121312141215161517181920[[#This Row],[Batn Prod gas (MMscf)]]-Table252346789101110121312141215161517181920[[#This Row],[Batn Utilised gas (MMscf)]]</f>
        <v>0.30000000000000004</v>
      </c>
      <c r="AC16" s="1045">
        <f>+Table252346789101110121312141215161517181920[[#This Row],[Egwa Prod gas (MMscf)]]-Table252346789101110121312141215161517181920[[#This Row],[Egwa Utilised gas (MMscf)]]</f>
        <v>3.23</v>
      </c>
      <c r="AD16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52.22999999999999</v>
      </c>
      <c r="AE16" s="1044">
        <f>+Table252346789101110121312141215161517181920[[#This Row],[Gas Export (MMscf/d)]]</f>
        <v>0</v>
      </c>
      <c r="AF16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2.3424</v>
      </c>
      <c r="AG16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49.887599999999992</v>
      </c>
      <c r="AH16" s="142"/>
    </row>
    <row r="17" spans="1:51" ht="21.6">
      <c r="A17" s="1071"/>
      <c r="B17" s="1072">
        <v>44543</v>
      </c>
      <c r="C17" s="1042">
        <v>21.04</v>
      </c>
      <c r="D17" s="1073">
        <v>15.2</v>
      </c>
      <c r="E17" s="1074">
        <v>8.9</v>
      </c>
      <c r="F17" s="1042">
        <v>3.58</v>
      </c>
      <c r="G17" s="1042">
        <f>SUM(Table252346789101110121312141215161517181920[[#This Row],[Jones Creek Target (Mbopd)]:[Egwa Target (Mbopd)]])</f>
        <v>48.719999999999992</v>
      </c>
      <c r="H17" s="1067">
        <v>18.802</v>
      </c>
      <c r="I17" s="1068">
        <v>10.173</v>
      </c>
      <c r="J17" s="1069">
        <v>3.58</v>
      </c>
      <c r="K17" s="1070">
        <v>3.339</v>
      </c>
      <c r="L17" s="1070">
        <f t="shared" si="1"/>
        <v>35.893999999999998</v>
      </c>
      <c r="M17" s="1075">
        <v>0</v>
      </c>
      <c r="N17" s="1065">
        <f>Table252346789101110121312141215161517181920[[#This Row],[Jones Creek Target (Mbopd)]]-Table252346789101110121312141215161517181920[[#This Row],[Jones Creek (Mbopd)]]</f>
        <v>2.2379999999999995</v>
      </c>
      <c r="O17" s="1044">
        <f>Table252346789101110121312141215161517181920[[#This Row],[Odidi Target (Mbopd)]]-Table252346789101110121312141215161517181920[[#This Row],[Odidi (Mbopd)]]</f>
        <v>5.0269999999999992</v>
      </c>
      <c r="P17" s="1044">
        <f>Table252346789101110121312141215161517181920[[#This Row],[Batan Target (Mbopd)]]-Table252346789101110121312141215161517181920[[#This Row],[Batan (Mbopd)]]</f>
        <v>5.32</v>
      </c>
      <c r="Q17" s="1066">
        <f>Table252346789101110121312141215161517181920[[#This Row],[Egwa Target (Mbopd)]]-Table252346789101110121312141215161517181920[[#This Row],[Egwa (Mbopd)]]</f>
        <v>0.2410000000000001</v>
      </c>
      <c r="R17" s="1043">
        <v>9.7223000000000006</v>
      </c>
      <c r="S17" s="1044">
        <v>29.8</v>
      </c>
      <c r="T17" s="1044">
        <v>1.8</v>
      </c>
      <c r="U17" s="1045">
        <v>3.41</v>
      </c>
      <c r="V17" s="1046">
        <v>0.84240000000000004</v>
      </c>
      <c r="W17" s="1044">
        <v>0</v>
      </c>
      <c r="X17" s="1044">
        <v>1.5</v>
      </c>
      <c r="Y17" s="1045">
        <v>0</v>
      </c>
      <c r="Z17" s="1046">
        <f>+Table252346789101110121312141215161517181920[[#This Row],[J/C Prod gas (MMscf)]]-Table252346789101110121312141215161517181920[[#This Row],[J/C Utilised gas (MMscf)]]</f>
        <v>8.879900000000001</v>
      </c>
      <c r="AA17" s="1044">
        <f>+Table252346789101110121312141215161517181920[[#This Row],[Odid Prod gas (MMscf)]]-Table252346789101110121312141215161517181920[[#This Row],[Gas Export (MMscf/d)]]</f>
        <v>29.8</v>
      </c>
      <c r="AB17" s="1044">
        <f>+Table252346789101110121312141215161517181920[[#This Row],[Batn Prod gas (MMscf)]]-Table252346789101110121312141215161517181920[[#This Row],[Batn Utilised gas (MMscf)]]</f>
        <v>0.30000000000000004</v>
      </c>
      <c r="AC17" s="1045">
        <f>+Table252346789101110121312141215161517181920[[#This Row],[Egwa Prod gas (MMscf)]]-Table252346789101110121312141215161517181920[[#This Row],[Egwa Utilised gas (MMscf)]]</f>
        <v>3.41</v>
      </c>
      <c r="AD17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44.732299999999995</v>
      </c>
      <c r="AE17" s="1044">
        <f>+Table252346789101110121312141215161517181920[[#This Row],[Gas Export (MMscf/d)]]</f>
        <v>0</v>
      </c>
      <c r="AF17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2.3424</v>
      </c>
      <c r="AG17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42.389899999999997</v>
      </c>
      <c r="AH17" s="1076"/>
      <c r="AI17" s="1071"/>
      <c r="AJ17" s="1071"/>
      <c r="AK17" s="1071"/>
      <c r="AL17" s="1071"/>
      <c r="AM17" s="1071"/>
      <c r="AN17" s="1071"/>
      <c r="AO17" s="1071"/>
      <c r="AP17" s="1071"/>
      <c r="AQ17" s="1071"/>
      <c r="AR17" s="1071"/>
      <c r="AS17" s="1071"/>
      <c r="AT17" s="1071"/>
      <c r="AU17" s="1071"/>
      <c r="AV17" s="1071"/>
      <c r="AW17" s="1071"/>
      <c r="AX17" s="1071"/>
      <c r="AY17" s="1071"/>
    </row>
    <row r="18" spans="1:51" ht="21.6">
      <c r="B18" s="716">
        <v>44544</v>
      </c>
      <c r="C18" s="749">
        <v>21.04</v>
      </c>
      <c r="D18" s="750">
        <v>15.2</v>
      </c>
      <c r="E18" s="751">
        <v>8.9</v>
      </c>
      <c r="F18" s="749">
        <v>3.58</v>
      </c>
      <c r="G18" s="1042">
        <f>SUM(Table252346789101110121312141215161517181920[[#This Row],[Jones Creek Target (Mbopd)]:[Egwa Target (Mbopd)]])</f>
        <v>48.719999999999992</v>
      </c>
      <c r="H18" s="1067">
        <v>17.335000000000001</v>
      </c>
      <c r="I18" s="1068">
        <v>9.5969999999999995</v>
      </c>
      <c r="J18" s="1069">
        <v>4.5460000000000003</v>
      </c>
      <c r="K18" s="1070">
        <v>3.2829999999999999</v>
      </c>
      <c r="L18" s="1070">
        <f t="shared" si="1"/>
        <v>34.761000000000003</v>
      </c>
      <c r="M18" s="1075">
        <v>0</v>
      </c>
      <c r="N18" s="1065">
        <f>Table252346789101110121312141215161517181920[[#This Row],[Jones Creek Target (Mbopd)]]-Table252346789101110121312141215161517181920[[#This Row],[Jones Creek (Mbopd)]]</f>
        <v>3.7049999999999983</v>
      </c>
      <c r="O18" s="1044">
        <f>Table252346789101110121312141215161517181920[[#This Row],[Odidi Target (Mbopd)]]-Table252346789101110121312141215161517181920[[#This Row],[Odidi (Mbopd)]]</f>
        <v>5.6029999999999998</v>
      </c>
      <c r="P18" s="1044">
        <f>Table252346789101110121312141215161517181920[[#This Row],[Batan Target (Mbopd)]]-Table252346789101110121312141215161517181920[[#This Row],[Batan (Mbopd)]]</f>
        <v>4.3540000000000001</v>
      </c>
      <c r="Q18" s="1066">
        <f>Table252346789101110121312141215161517181920[[#This Row],[Egwa Target (Mbopd)]]-Table252346789101110121312141215161517181920[[#This Row],[Egwa (Mbopd)]]</f>
        <v>0.29700000000000015</v>
      </c>
      <c r="R18" s="1043">
        <v>9.7219999999999995</v>
      </c>
      <c r="S18" s="1044">
        <v>29.92</v>
      </c>
      <c r="T18" s="1044">
        <v>1.8</v>
      </c>
      <c r="U18" s="1045">
        <v>3.4910000000000001</v>
      </c>
      <c r="V18" s="1046">
        <v>0.84</v>
      </c>
      <c r="W18" s="1044">
        <v>0</v>
      </c>
      <c r="X18" s="1044">
        <v>1.5</v>
      </c>
      <c r="Y18" s="1045">
        <v>0</v>
      </c>
      <c r="Z18" s="1046">
        <f>+Table252346789101110121312141215161517181920[[#This Row],[J/C Prod gas (MMscf)]]-Table252346789101110121312141215161517181920[[#This Row],[J/C Utilised gas (MMscf)]]</f>
        <v>8.8819999999999997</v>
      </c>
      <c r="AA18" s="1044">
        <f>+Table252346789101110121312141215161517181920[[#This Row],[Odid Prod gas (MMscf)]]-Table252346789101110121312141215161517181920[[#This Row],[Gas Export (MMscf/d)]]</f>
        <v>29.92</v>
      </c>
      <c r="AB18" s="1044">
        <f>+Table252346789101110121312141215161517181920[[#This Row],[Batn Prod gas (MMscf)]]-Table252346789101110121312141215161517181920[[#This Row],[Batn Utilised gas (MMscf)]]</f>
        <v>0.30000000000000004</v>
      </c>
      <c r="AC18" s="1045">
        <f>+Table252346789101110121312141215161517181920[[#This Row],[Egwa Prod gas (MMscf)]]-Table252346789101110121312141215161517181920[[#This Row],[Egwa Utilised gas (MMscf)]]</f>
        <v>3.4910000000000001</v>
      </c>
      <c r="AD18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44.933</v>
      </c>
      <c r="AE18" s="1044">
        <f>+Table252346789101110121312141215161517181920[[#This Row],[Gas Export (MMscf/d)]]</f>
        <v>0</v>
      </c>
      <c r="AF18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</v>
      </c>
      <c r="AG18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42.592999999999996</v>
      </c>
      <c r="AH18" s="142"/>
    </row>
    <row r="19" spans="1:51" ht="21.6">
      <c r="B19" s="716">
        <v>44545</v>
      </c>
      <c r="C19" s="749">
        <v>21.04</v>
      </c>
      <c r="D19" s="750">
        <v>15.2</v>
      </c>
      <c r="E19" s="751">
        <v>8.9</v>
      </c>
      <c r="F19" s="749">
        <v>3.58</v>
      </c>
      <c r="G19" s="1042">
        <f>SUM(Table252346789101110121312141215161517181920[[#This Row],[Jones Creek Target (Mbopd)]:[Egwa Target (Mbopd)]])</f>
        <v>48.719999999999992</v>
      </c>
      <c r="H19" s="1067">
        <v>17.416</v>
      </c>
      <c r="I19" s="1068">
        <v>10.199</v>
      </c>
      <c r="J19" s="1069">
        <v>4.6390000000000002</v>
      </c>
      <c r="K19" s="1070">
        <v>3.2989999999999999</v>
      </c>
      <c r="L19" s="1070">
        <f t="shared" ref="L19:L33" si="2">H19+I19+J19+K19</f>
        <v>35.553000000000004</v>
      </c>
      <c r="M19" s="1075">
        <v>0</v>
      </c>
      <c r="N19" s="1065">
        <f>Table252346789101110121312141215161517181920[[#This Row],[Jones Creek Target (Mbopd)]]-Table252346789101110121312141215161517181920[[#This Row],[Jones Creek (Mbopd)]]</f>
        <v>3.6239999999999988</v>
      </c>
      <c r="O19" s="1044">
        <f>Table252346789101110121312141215161517181920[[#This Row],[Odidi Target (Mbopd)]]-Table252346789101110121312141215161517181920[[#This Row],[Odidi (Mbopd)]]</f>
        <v>5.0009999999999994</v>
      </c>
      <c r="P19" s="1044">
        <f>Table252346789101110121312141215161517181920[[#This Row],[Batan Target (Mbopd)]]-Table252346789101110121312141215161517181920[[#This Row],[Batan (Mbopd)]]</f>
        <v>4.2610000000000001</v>
      </c>
      <c r="Q19" s="1066">
        <f>Table252346789101110121312141215161517181920[[#This Row],[Egwa Target (Mbopd)]]-Table252346789101110121312141215161517181920[[#This Row],[Egwa (Mbopd)]]</f>
        <v>0.28100000000000014</v>
      </c>
      <c r="R19" s="1043">
        <v>9.7219999999999995</v>
      </c>
      <c r="S19" s="1044">
        <v>28.46</v>
      </c>
      <c r="T19" s="1044">
        <v>1.8</v>
      </c>
      <c r="U19" s="1045">
        <v>3.56</v>
      </c>
      <c r="V19" s="1046">
        <v>0.84</v>
      </c>
      <c r="W19" s="1044">
        <v>0</v>
      </c>
      <c r="X19" s="1044">
        <v>1.5</v>
      </c>
      <c r="Y19" s="1045">
        <v>0</v>
      </c>
      <c r="Z19" s="1046">
        <f>+Table252346789101110121312141215161517181920[[#This Row],[J/C Prod gas (MMscf)]]-Table252346789101110121312141215161517181920[[#This Row],[J/C Utilised gas (MMscf)]]</f>
        <v>8.8819999999999997</v>
      </c>
      <c r="AA19" s="1044">
        <f>+Table252346789101110121312141215161517181920[[#This Row],[Odid Prod gas (MMscf)]]-Table252346789101110121312141215161517181920[[#This Row],[Gas Export (MMscf/d)]]</f>
        <v>28.46</v>
      </c>
      <c r="AB19" s="1044">
        <f>+Table252346789101110121312141215161517181920[[#This Row],[Batn Prod gas (MMscf)]]-Table252346789101110121312141215161517181920[[#This Row],[Batn Utilised gas (MMscf)]]</f>
        <v>0.30000000000000004</v>
      </c>
      <c r="AC19" s="1045">
        <f>+Table252346789101110121312141215161517181920[[#This Row],[Egwa Prod gas (MMscf)]]-Table252346789101110121312141215161517181920[[#This Row],[Egwa Utilised gas (MMscf)]]</f>
        <v>3.56</v>
      </c>
      <c r="AD19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43.542000000000002</v>
      </c>
      <c r="AE19" s="1044">
        <f>+Table252346789101110121312141215161517181920[[#This Row],[Gas Export (MMscf/d)]]</f>
        <v>0</v>
      </c>
      <c r="AF19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</v>
      </c>
      <c r="AG19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41.201999999999998</v>
      </c>
      <c r="AH19" s="142"/>
    </row>
    <row r="20" spans="1:51" ht="21.6">
      <c r="A20" s="1071"/>
      <c r="B20" s="1072">
        <v>44546</v>
      </c>
      <c r="C20" s="1042">
        <v>21.04</v>
      </c>
      <c r="D20" s="1073">
        <v>15.2</v>
      </c>
      <c r="E20" s="1074">
        <v>8.9</v>
      </c>
      <c r="F20" s="1042">
        <v>3.58</v>
      </c>
      <c r="G20" s="1042">
        <f>SUM(Table252346789101110121312141215161517181920[[#This Row],[Jones Creek Target (Mbopd)]:[Egwa Target (Mbopd)]])</f>
        <v>48.719999999999992</v>
      </c>
      <c r="H20" s="1067">
        <v>4.6479999999999997</v>
      </c>
      <c r="I20" s="1068">
        <v>10.127000000000001</v>
      </c>
      <c r="J20" s="1069">
        <v>4.6150000000000002</v>
      </c>
      <c r="K20" s="1070">
        <v>3.3340000000000001</v>
      </c>
      <c r="L20" s="1070">
        <f t="shared" si="2"/>
        <v>22.724</v>
      </c>
      <c r="M20" s="1075">
        <v>11.07</v>
      </c>
      <c r="N20" s="1065">
        <f>Table252346789101110121312141215161517181920[[#This Row],[Jones Creek Target (Mbopd)]]-Table252346789101110121312141215161517181920[[#This Row],[Jones Creek (Mbopd)]]</f>
        <v>16.391999999999999</v>
      </c>
      <c r="O20" s="1044">
        <f>Table252346789101110121312141215161517181920[[#This Row],[Odidi Target (Mbopd)]]-Table252346789101110121312141215161517181920[[#This Row],[Odidi (Mbopd)]]</f>
        <v>5.0729999999999986</v>
      </c>
      <c r="P20" s="1044">
        <f>Table252346789101110121312141215161517181920[[#This Row],[Batan Target (Mbopd)]]-Table252346789101110121312141215161517181920[[#This Row],[Batan (Mbopd)]]</f>
        <v>4.2850000000000001</v>
      </c>
      <c r="Q20" s="1066">
        <f>Table252346789101110121312141215161517181920[[#This Row],[Egwa Target (Mbopd)]]-Table252346789101110121312141215161517181920[[#This Row],[Egwa (Mbopd)]]</f>
        <v>0.246</v>
      </c>
      <c r="R20" s="1043">
        <v>2.4630000000000001</v>
      </c>
      <c r="S20" s="1044">
        <v>28.62</v>
      </c>
      <c r="T20" s="1044">
        <v>1.8</v>
      </c>
      <c r="U20" s="1045">
        <v>3.67</v>
      </c>
      <c r="V20" s="1046">
        <v>0.21340000000000001</v>
      </c>
      <c r="W20" s="1044">
        <v>0</v>
      </c>
      <c r="X20" s="1044">
        <v>1.5</v>
      </c>
      <c r="Y20" s="1045">
        <v>0</v>
      </c>
      <c r="Z20" s="1046">
        <f>+Table252346789101110121312141215161517181920[[#This Row],[J/C Prod gas (MMscf)]]-Table252346789101110121312141215161517181920[[#This Row],[J/C Utilised gas (MMscf)]]</f>
        <v>2.2496</v>
      </c>
      <c r="AA20" s="1044">
        <f>+Table252346789101110121312141215161517181920[[#This Row],[Odid Prod gas (MMscf)]]-Table252346789101110121312141215161517181920[[#This Row],[Gas Export (MMscf/d)]]</f>
        <v>17.55</v>
      </c>
      <c r="AB20" s="1044">
        <f>+Table252346789101110121312141215161517181920[[#This Row],[Batn Prod gas (MMscf)]]-Table252346789101110121312141215161517181920[[#This Row],[Batn Utilised gas (MMscf)]]</f>
        <v>0.30000000000000004</v>
      </c>
      <c r="AC20" s="1045">
        <f>+Table252346789101110121312141215161517181920[[#This Row],[Egwa Prod gas (MMscf)]]-Table252346789101110121312141215161517181920[[#This Row],[Egwa Utilised gas (MMscf)]]</f>
        <v>3.67</v>
      </c>
      <c r="AD20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36.553000000000004</v>
      </c>
      <c r="AE20" s="1044">
        <f>+Table252346789101110121312141215161517181920[[#This Row],[Gas Export (MMscf/d)]]</f>
        <v>11.07</v>
      </c>
      <c r="AF20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1.7134</v>
      </c>
      <c r="AG20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23.769600000000004</v>
      </c>
      <c r="AH20" s="1076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</row>
    <row r="21" spans="1:51" ht="21.6">
      <c r="B21" s="716">
        <v>44547</v>
      </c>
      <c r="C21" s="749">
        <v>21.04</v>
      </c>
      <c r="D21" s="750">
        <v>15.2</v>
      </c>
      <c r="E21" s="751">
        <v>8.9</v>
      </c>
      <c r="F21" s="749">
        <v>3.58</v>
      </c>
      <c r="G21" s="1042">
        <f>SUM(Table252346789101110121312141215161517181920[[#This Row],[Jones Creek Target (Mbopd)]:[Egwa Target (Mbopd)]])</f>
        <v>48.719999999999992</v>
      </c>
      <c r="H21" s="1067">
        <v>12.66245</v>
      </c>
      <c r="I21" s="1068">
        <v>4.8689999999999998</v>
      </c>
      <c r="J21" s="1083">
        <v>4.6219999999999999</v>
      </c>
      <c r="K21" s="1070">
        <v>3.28</v>
      </c>
      <c r="L21" s="1070">
        <f t="shared" si="2"/>
        <v>25.433450000000001</v>
      </c>
      <c r="M21" s="1075">
        <v>3.165</v>
      </c>
      <c r="N21" s="1065">
        <f>Table252346789101110121312141215161517181920[[#This Row],[Jones Creek Target (Mbopd)]]-Table252346789101110121312141215161517181920[[#This Row],[Jones Creek (Mbopd)]]</f>
        <v>8.3775499999999994</v>
      </c>
      <c r="O21" s="1044">
        <f>Table252346789101110121312141215161517181920[[#This Row],[Odidi Target (Mbopd)]]-Table252346789101110121312141215161517181920[[#This Row],[Odidi (Mbopd)]]</f>
        <v>10.331</v>
      </c>
      <c r="P21" s="1044">
        <f>Table252346789101110121312141215161517181920[[#This Row],[Batan Target (Mbopd)]]-Table252346789101110121312141215161517181920[[#This Row],[Batan (Mbopd)]]</f>
        <v>4.2780000000000005</v>
      </c>
      <c r="Q21" s="1066">
        <f>Table252346789101110121312141215161517181920[[#This Row],[Egwa Target (Mbopd)]]-Table252346789101110121312141215161517181920[[#This Row],[Egwa (Mbopd)]]</f>
        <v>0.30000000000000027</v>
      </c>
      <c r="R21" s="1043">
        <v>7.8044000000000002</v>
      </c>
      <c r="S21" s="1044">
        <v>17.687000000000001</v>
      </c>
      <c r="T21" s="1044">
        <v>1.8</v>
      </c>
      <c r="U21" s="1045">
        <v>3.6640000000000001</v>
      </c>
      <c r="V21" s="1046">
        <v>0.84240000000000004</v>
      </c>
      <c r="W21" s="1044">
        <v>0</v>
      </c>
      <c r="X21" s="1044">
        <v>1.5</v>
      </c>
      <c r="Y21" s="1045">
        <v>0</v>
      </c>
      <c r="Z21" s="1046">
        <f>+Table252346789101110121312141215161517181920[[#This Row],[J/C Prod gas (MMscf)]]-Table252346789101110121312141215161517181920[[#This Row],[J/C Utilised gas (MMscf)]]</f>
        <v>6.9619999999999997</v>
      </c>
      <c r="AA21" s="1044">
        <f>+Table252346789101110121312141215161517181920[[#This Row],[Odid Prod gas (MMscf)]]-Table252346789101110121312141215161517181920[[#This Row],[Gas Export (MMscf/d)]]</f>
        <v>14.522000000000002</v>
      </c>
      <c r="AB21" s="1044">
        <f>+Table252346789101110121312141215161517181920[[#This Row],[Batn Prod gas (MMscf)]]-Table252346789101110121312141215161517181920[[#This Row],[Batn Utilised gas (MMscf)]]</f>
        <v>0.30000000000000004</v>
      </c>
      <c r="AC21" s="1045">
        <f>+Table252346789101110121312141215161517181920[[#This Row],[Egwa Prod gas (MMscf)]]-Table252346789101110121312141215161517181920[[#This Row],[Egwa Utilised gas (MMscf)]]</f>
        <v>3.6640000000000001</v>
      </c>
      <c r="AD21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30.955400000000004</v>
      </c>
      <c r="AE21" s="1044">
        <f>+Table252346789101110121312141215161517181920[[#This Row],[Gas Export (MMscf/d)]]</f>
        <v>3.165</v>
      </c>
      <c r="AF21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2.3424</v>
      </c>
      <c r="AG21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25.448000000000004</v>
      </c>
      <c r="AH21" s="142"/>
    </row>
    <row r="22" spans="1:51" ht="21.6">
      <c r="B22" s="716">
        <v>44548</v>
      </c>
      <c r="C22" s="749">
        <v>21.04</v>
      </c>
      <c r="D22" s="750">
        <v>15.2</v>
      </c>
      <c r="E22" s="751">
        <v>8.9</v>
      </c>
      <c r="F22" s="749">
        <v>3.58</v>
      </c>
      <c r="G22" s="1042">
        <f>SUM(Table252346789101110121312141215161517181920[[#This Row],[Jones Creek Target (Mbopd)]:[Egwa Target (Mbopd)]])</f>
        <v>48.719999999999992</v>
      </c>
      <c r="H22" s="1067">
        <v>18.329999999999998</v>
      </c>
      <c r="I22" s="1068">
        <v>6.6920000000000002</v>
      </c>
      <c r="J22" s="1069">
        <v>2.5169999999999999</v>
      </c>
      <c r="K22" s="1070">
        <v>3.2240000000000002</v>
      </c>
      <c r="L22" s="1070">
        <f t="shared" si="2"/>
        <v>30.762999999999998</v>
      </c>
      <c r="M22" s="1088">
        <v>0.28599999999999998</v>
      </c>
      <c r="N22" s="1065">
        <f>Table252346789101110121312141215161517181920[[#This Row],[Jones Creek Target (Mbopd)]]-Table252346789101110121312141215161517181920[[#This Row],[Jones Creek (Mbopd)]]</f>
        <v>2.7100000000000009</v>
      </c>
      <c r="O22" s="1044">
        <f>Table252346789101110121312141215161517181920[[#This Row],[Odidi Target (Mbopd)]]-Table252346789101110121312141215161517181920[[#This Row],[Odidi (Mbopd)]]</f>
        <v>8.5079999999999991</v>
      </c>
      <c r="P22" s="1044">
        <f>Table252346789101110121312141215161517181920[[#This Row],[Batan Target (Mbopd)]]-Table252346789101110121312141215161517181920[[#This Row],[Batan (Mbopd)]]</f>
        <v>6.3830000000000009</v>
      </c>
      <c r="Q22" s="1066">
        <f>Table252346789101110121312141215161517181920[[#This Row],[Egwa Target (Mbopd)]]-Table252346789101110121312141215161517181920[[#This Row],[Egwa (Mbopd)]]</f>
        <v>0.35599999999999987</v>
      </c>
      <c r="R22" s="1043">
        <v>11.17</v>
      </c>
      <c r="S22" s="1044">
        <v>16.22</v>
      </c>
      <c r="T22" s="1044">
        <v>1.8</v>
      </c>
      <c r="U22" s="1045">
        <v>3.75</v>
      </c>
      <c r="V22" s="1046">
        <v>0.84240000000000004</v>
      </c>
      <c r="W22" s="1044">
        <v>0</v>
      </c>
      <c r="X22" s="1044">
        <v>1.5</v>
      </c>
      <c r="Y22" s="1045">
        <v>0</v>
      </c>
      <c r="Z22" s="1046">
        <f>+Table252346789101110121312141215161517181920[[#This Row],[J/C Prod gas (MMscf)]]-Table252346789101110121312141215161517181920[[#This Row],[J/C Utilised gas (MMscf)]]</f>
        <v>10.3276</v>
      </c>
      <c r="AA22" s="1044">
        <f>+Table252346789101110121312141215161517181920[[#This Row],[Odid Prod gas (MMscf)]]-Table252346789101110121312141215161517181920[[#This Row],[Gas Export (MMscf/d)]]</f>
        <v>15.933999999999999</v>
      </c>
      <c r="AB22" s="1044">
        <f>+Table252346789101110121312141215161517181920[[#This Row],[Batn Prod gas (MMscf)]]-Table252346789101110121312141215161517181920[[#This Row],[Batn Utilised gas (MMscf)]]</f>
        <v>0.30000000000000004</v>
      </c>
      <c r="AC22" s="1045">
        <f>+Table252346789101110121312141215161517181920[[#This Row],[Egwa Prod gas (MMscf)]]-Table252346789101110121312141215161517181920[[#This Row],[Egwa Utilised gas (MMscf)]]</f>
        <v>3.75</v>
      </c>
      <c r="AD22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32.94</v>
      </c>
      <c r="AE22" s="1044">
        <f>+Table252346789101110121312141215161517181920[[#This Row],[Gas Export (MMscf/d)]]</f>
        <v>0.28599999999999998</v>
      </c>
      <c r="AF22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2.3424</v>
      </c>
      <c r="AG22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30.311600000000002</v>
      </c>
      <c r="AH22" s="142"/>
    </row>
    <row r="23" spans="1:51" ht="21.6">
      <c r="B23" s="716">
        <v>44549</v>
      </c>
      <c r="C23" s="749">
        <v>21.04</v>
      </c>
      <c r="D23" s="750">
        <v>15.2</v>
      </c>
      <c r="E23" s="751">
        <v>8.9</v>
      </c>
      <c r="F23" s="749">
        <v>3.58</v>
      </c>
      <c r="G23" s="1042">
        <f>SUM(Table252346789101110121312141215161517181920[[#This Row],[Jones Creek Target (Mbopd)]:[Egwa Target (Mbopd)]])</f>
        <v>48.719999999999992</v>
      </c>
      <c r="H23" s="1067">
        <v>18.533999999999999</v>
      </c>
      <c r="I23" s="1068">
        <v>9.202</v>
      </c>
      <c r="J23" s="1069">
        <v>0</v>
      </c>
      <c r="K23" s="1070">
        <v>2.52</v>
      </c>
      <c r="L23" s="1070">
        <f t="shared" si="2"/>
        <v>30.255999999999997</v>
      </c>
      <c r="M23" s="1088">
        <v>11.082000000000001</v>
      </c>
      <c r="N23" s="1065">
        <f>Table252346789101110121312141215161517181920[[#This Row],[Jones Creek Target (Mbopd)]]-Table252346789101110121312141215161517181920[[#This Row],[Jones Creek (Mbopd)]]</f>
        <v>2.5060000000000002</v>
      </c>
      <c r="O23" s="1044">
        <f>Table252346789101110121312141215161517181920[[#This Row],[Odidi Target (Mbopd)]]-Table252346789101110121312141215161517181920[[#This Row],[Odidi (Mbopd)]]</f>
        <v>5.9979999999999993</v>
      </c>
      <c r="P23" s="1044">
        <f>Table252346789101110121312141215161517181920[[#This Row],[Batan Target (Mbopd)]]-Table252346789101110121312141215161517181920[[#This Row],[Batan (Mbopd)]]</f>
        <v>8.9</v>
      </c>
      <c r="Q23" s="1066">
        <f>Table252346789101110121312141215161517181920[[#This Row],[Egwa Target (Mbopd)]]-Table252346789101110121312141215161517181920[[#This Row],[Egwa (Mbopd)]]</f>
        <v>1.06</v>
      </c>
      <c r="R23" s="1043">
        <v>10.75</v>
      </c>
      <c r="S23" s="1044">
        <v>16.11</v>
      </c>
      <c r="T23" s="1044">
        <v>0</v>
      </c>
      <c r="U23" s="1045">
        <v>2.67</v>
      </c>
      <c r="V23" s="1046">
        <v>0.84240000000000004</v>
      </c>
      <c r="W23" s="1044">
        <v>0</v>
      </c>
      <c r="X23" s="1044">
        <v>0</v>
      </c>
      <c r="Y23" s="1045">
        <v>0</v>
      </c>
      <c r="Z23" s="1046">
        <f>+Table252346789101110121312141215161517181920[[#This Row],[J/C Prod gas (MMscf)]]-Table252346789101110121312141215161517181920[[#This Row],[J/C Utilised gas (MMscf)]]</f>
        <v>9.9076000000000004</v>
      </c>
      <c r="AA23" s="1044">
        <f>+Table252346789101110121312141215161517181920[[#This Row],[Odid Prod gas (MMscf)]]-Table252346789101110121312141215161517181920[[#This Row],[Gas Export (MMscf/d)]]</f>
        <v>5.0279999999999987</v>
      </c>
      <c r="AB23" s="1044">
        <f>+Table252346789101110121312141215161517181920[[#This Row],[Batn Prod gas (MMscf)]]-Table252346789101110121312141215161517181920[[#This Row],[Batn Utilised gas (MMscf)]]</f>
        <v>0</v>
      </c>
      <c r="AC23" s="1045">
        <f>+Table252346789101110121312141215161517181920[[#This Row],[Egwa Prod gas (MMscf)]]-Table252346789101110121312141215161517181920[[#This Row],[Egwa Utilised gas (MMscf)]]</f>
        <v>2.67</v>
      </c>
      <c r="AD23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29.53</v>
      </c>
      <c r="AE23" s="1044">
        <f>+Table252346789101110121312141215161517181920[[#This Row],[Gas Export (MMscf/d)]]</f>
        <v>11.082000000000001</v>
      </c>
      <c r="AF23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0.84240000000000004</v>
      </c>
      <c r="AG23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17.605599999999999</v>
      </c>
      <c r="AH23" s="142"/>
    </row>
    <row r="24" spans="1:51" ht="21.6">
      <c r="B24" s="716">
        <v>44550</v>
      </c>
      <c r="C24" s="749">
        <v>21.04</v>
      </c>
      <c r="D24" s="750">
        <v>15.2</v>
      </c>
      <c r="E24" s="751">
        <v>8.9</v>
      </c>
      <c r="F24" s="749">
        <v>3.58</v>
      </c>
      <c r="G24" s="1042">
        <f>SUM(Table252346789101110121312141215161517181920[[#This Row],[Jones Creek Target (Mbopd)]:[Egwa Target (Mbopd)]])</f>
        <v>48.719999999999992</v>
      </c>
      <c r="H24" s="1067">
        <v>18.401</v>
      </c>
      <c r="I24" s="1068">
        <v>8.8209999999999997</v>
      </c>
      <c r="J24" s="1069">
        <v>0</v>
      </c>
      <c r="K24" s="1070">
        <v>2.1960000000000002</v>
      </c>
      <c r="L24" s="1070">
        <f t="shared" si="2"/>
        <v>29.418000000000003</v>
      </c>
      <c r="M24" s="1088">
        <v>13.712999999999999</v>
      </c>
      <c r="N24" s="1065">
        <f>Table252346789101110121312141215161517181920[[#This Row],[Jones Creek Target (Mbopd)]]-Table252346789101110121312141215161517181920[[#This Row],[Jones Creek (Mbopd)]]</f>
        <v>2.6389999999999993</v>
      </c>
      <c r="O24" s="1044">
        <f>Table252346789101110121312141215161517181920[[#This Row],[Odidi Target (Mbopd)]]-Table252346789101110121312141215161517181920[[#This Row],[Odidi (Mbopd)]]</f>
        <v>6.3789999999999996</v>
      </c>
      <c r="P24" s="1044">
        <f>Table252346789101110121312141215161517181920[[#This Row],[Batan Target (Mbopd)]]-Table252346789101110121312141215161517181920[[#This Row],[Batan (Mbopd)]]</f>
        <v>8.9</v>
      </c>
      <c r="Q24" s="1066">
        <f>Table252346789101110121312141215161517181920[[#This Row],[Egwa Target (Mbopd)]]-Table252346789101110121312141215161517181920[[#This Row],[Egwa (Mbopd)]]</f>
        <v>1.3839999999999999</v>
      </c>
      <c r="R24" s="1043">
        <v>11.04</v>
      </c>
      <c r="S24" s="1044">
        <v>14.37</v>
      </c>
      <c r="T24" s="1044">
        <v>0</v>
      </c>
      <c r="U24" s="1045">
        <v>2.16</v>
      </c>
      <c r="V24" s="1046">
        <v>0.84240000000000004</v>
      </c>
      <c r="W24" s="1044">
        <v>0</v>
      </c>
      <c r="X24" s="1044">
        <v>0</v>
      </c>
      <c r="Y24" s="1045">
        <v>0</v>
      </c>
      <c r="Z24" s="1046">
        <f>+Table252346789101110121312141215161517181920[[#This Row],[J/C Prod gas (MMscf)]]-Table252346789101110121312141215161517181920[[#This Row],[J/C Utilised gas (MMscf)]]</f>
        <v>10.1976</v>
      </c>
      <c r="AA24" s="1044">
        <f>+Table252346789101110121312141215161517181920[[#This Row],[Odid Prod gas (MMscf)]]-Table252346789101110121312141215161517181920[[#This Row],[Gas Export (MMscf/d)]]</f>
        <v>0.65700000000000003</v>
      </c>
      <c r="AB24" s="1044">
        <f>+Table252346789101110121312141215161517181920[[#This Row],[Batn Prod gas (MMscf)]]-Table252346789101110121312141215161517181920[[#This Row],[Batn Utilised gas (MMscf)]]</f>
        <v>0</v>
      </c>
      <c r="AC24" s="1045">
        <f>+Table252346789101110121312141215161517181920[[#This Row],[Egwa Prod gas (MMscf)]]-Table252346789101110121312141215161517181920[[#This Row],[Egwa Utilised gas (MMscf)]]</f>
        <v>2.16</v>
      </c>
      <c r="AD24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27.569999999999997</v>
      </c>
      <c r="AE24" s="1044">
        <f>+Table252346789101110121312141215161517181920[[#This Row],[Gas Export (MMscf/d)]]</f>
        <v>13.712999999999999</v>
      </c>
      <c r="AF24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0.84240000000000004</v>
      </c>
      <c r="AG24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13.0146</v>
      </c>
      <c r="AH24" s="142"/>
    </row>
    <row r="25" spans="1:51" ht="21.6">
      <c r="B25" s="716">
        <v>44551</v>
      </c>
      <c r="C25" s="749">
        <v>21.04</v>
      </c>
      <c r="D25" s="750">
        <v>15.2</v>
      </c>
      <c r="E25" s="751">
        <v>8.9</v>
      </c>
      <c r="F25" s="749">
        <v>3.58</v>
      </c>
      <c r="G25" s="1042">
        <f>SUM(Table252346789101110121312141215161517181920[[#This Row],[Jones Creek Target (Mbopd)]:[Egwa Target (Mbopd)]])</f>
        <v>48.719999999999992</v>
      </c>
      <c r="H25" s="1067">
        <v>19.004999999999999</v>
      </c>
      <c r="I25" s="1068">
        <v>8.8260000000000005</v>
      </c>
      <c r="J25" s="1069">
        <v>0</v>
      </c>
      <c r="K25" s="1070">
        <v>2.3220000000000001</v>
      </c>
      <c r="L25" s="1070">
        <f t="shared" si="2"/>
        <v>30.152999999999999</v>
      </c>
      <c r="M25" s="1088">
        <v>14.384</v>
      </c>
      <c r="N25" s="1065">
        <f>Table252346789101110121312141215161517181920[[#This Row],[Jones Creek Target (Mbopd)]]-Table252346789101110121312141215161517181920[[#This Row],[Jones Creek (Mbopd)]]</f>
        <v>2.0350000000000001</v>
      </c>
      <c r="O25" s="1044">
        <f>Table252346789101110121312141215161517181920[[#This Row],[Odidi Target (Mbopd)]]-Table252346789101110121312141215161517181920[[#This Row],[Odidi (Mbopd)]]</f>
        <v>6.3739999999999988</v>
      </c>
      <c r="P25" s="1044">
        <f>Table252346789101110121312141215161517181920[[#This Row],[Batan Target (Mbopd)]]-Table252346789101110121312141215161517181920[[#This Row],[Batan (Mbopd)]]</f>
        <v>8.9</v>
      </c>
      <c r="Q25" s="1066">
        <f>Table252346789101110121312141215161517181920[[#This Row],[Egwa Target (Mbopd)]]-Table252346789101110121312141215161517181920[[#This Row],[Egwa (Mbopd)]]</f>
        <v>1.258</v>
      </c>
      <c r="R25" s="1089">
        <v>11.04</v>
      </c>
      <c r="S25" s="1044">
        <v>16.463000000000001</v>
      </c>
      <c r="T25" s="1044">
        <v>0</v>
      </c>
      <c r="U25" s="1045">
        <v>2.35</v>
      </c>
      <c r="V25" s="1046">
        <v>0.84240000000000004</v>
      </c>
      <c r="W25" s="1044">
        <v>0</v>
      </c>
      <c r="X25" s="1044">
        <v>0</v>
      </c>
      <c r="Y25" s="1045">
        <v>0</v>
      </c>
      <c r="Z25" s="1046">
        <f>+Table252346789101110121312141215161517181920[[#This Row],[J/C Prod gas (MMscf)]]-Table252346789101110121312141215161517181920[[#This Row],[J/C Utilised gas (MMscf)]]</f>
        <v>10.1976</v>
      </c>
      <c r="AA25" s="1044">
        <f>+Table252346789101110121312141215161517181920[[#This Row],[Odid Prod gas (MMscf)]]-Table252346789101110121312141215161517181920[[#This Row],[Gas Export (MMscf/d)]]</f>
        <v>2.0790000000000006</v>
      </c>
      <c r="AB25" s="1044">
        <f>+Table252346789101110121312141215161517181920[[#This Row],[Batn Prod gas (MMscf)]]-Table252346789101110121312141215161517181920[[#This Row],[Batn Utilised gas (MMscf)]]</f>
        <v>0</v>
      </c>
      <c r="AC25" s="1045">
        <f>+Table252346789101110121312141215161517181920[[#This Row],[Egwa Prod gas (MMscf)]]-Table252346789101110121312141215161517181920[[#This Row],[Egwa Utilised gas (MMscf)]]</f>
        <v>2.35</v>
      </c>
      <c r="AD25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29.853000000000002</v>
      </c>
      <c r="AE25" s="1044">
        <f>+Table252346789101110121312141215161517181920[[#This Row],[Gas Export (MMscf/d)]]</f>
        <v>14.384</v>
      </c>
      <c r="AF25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0.84240000000000004</v>
      </c>
      <c r="AG25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14.6266</v>
      </c>
      <c r="AH25" s="142"/>
    </row>
    <row r="26" spans="1:51" ht="21.6">
      <c r="B26" s="716">
        <v>44552</v>
      </c>
      <c r="C26" s="749">
        <v>21.04</v>
      </c>
      <c r="D26" s="750">
        <v>15.2</v>
      </c>
      <c r="E26" s="751">
        <v>8.9</v>
      </c>
      <c r="F26" s="749">
        <v>3.58</v>
      </c>
      <c r="G26" s="1042">
        <f>SUM(Table252346789101110121312141215161517181920[[#This Row],[Jones Creek Target (Mbopd)]:[Egwa Target (Mbopd)]])</f>
        <v>48.719999999999992</v>
      </c>
      <c r="H26" s="1067">
        <v>18.637</v>
      </c>
      <c r="I26" s="1068">
        <v>10.362</v>
      </c>
      <c r="J26" s="1069">
        <v>0</v>
      </c>
      <c r="K26" s="1070">
        <v>2.319</v>
      </c>
      <c r="L26" s="1070">
        <f t="shared" si="2"/>
        <v>31.318000000000001</v>
      </c>
      <c r="M26" s="1088">
        <v>7.92</v>
      </c>
      <c r="N26" s="1065">
        <f>Table252346789101110121312141215161517181920[[#This Row],[Jones Creek Target (Mbopd)]]-Table252346789101110121312141215161517181920[[#This Row],[Jones Creek (Mbopd)]]</f>
        <v>2.4029999999999987</v>
      </c>
      <c r="O26" s="1044">
        <f>Table252346789101110121312141215161517181920[[#This Row],[Odidi Target (Mbopd)]]-Table252346789101110121312141215161517181920[[#This Row],[Odidi (Mbopd)]]</f>
        <v>4.8379999999999992</v>
      </c>
      <c r="P26" s="1044">
        <f>Table252346789101110121312141215161517181920[[#This Row],[Batan Target (Mbopd)]]-Table252346789101110121312141215161517181920[[#This Row],[Batan (Mbopd)]]</f>
        <v>8.9</v>
      </c>
      <c r="Q26" s="1066">
        <f>Table252346789101110121312141215161517181920[[#This Row],[Egwa Target (Mbopd)]]-Table252346789101110121312141215161517181920[[#This Row],[Egwa (Mbopd)]]</f>
        <v>1.2610000000000001</v>
      </c>
      <c r="R26" s="1089">
        <v>11.04</v>
      </c>
      <c r="S26" s="1044">
        <v>21.74</v>
      </c>
      <c r="T26" s="1044">
        <v>0</v>
      </c>
      <c r="U26" s="1045">
        <v>2.4</v>
      </c>
      <c r="V26" s="1046">
        <v>0.84240000000000004</v>
      </c>
      <c r="W26" s="1044">
        <v>0</v>
      </c>
      <c r="X26" s="1044">
        <v>0</v>
      </c>
      <c r="Y26" s="1045">
        <v>0</v>
      </c>
      <c r="Z26" s="1046">
        <f>+Table252346789101110121312141215161517181920[[#This Row],[J/C Prod gas (MMscf)]]-Table252346789101110121312141215161517181920[[#This Row],[J/C Utilised gas (MMscf)]]</f>
        <v>10.1976</v>
      </c>
      <c r="AA26" s="1044">
        <f>+Table252346789101110121312141215161517181920[[#This Row],[Odid Prod gas (MMscf)]]-Table252346789101110121312141215161517181920[[#This Row],[Gas Export (MMscf/d)]]</f>
        <v>13.819999999999999</v>
      </c>
      <c r="AB26" s="1044">
        <f>+Table252346789101110121312141215161517181920[[#This Row],[Batn Prod gas (MMscf)]]-Table252346789101110121312141215161517181920[[#This Row],[Batn Utilised gas (MMscf)]]</f>
        <v>0</v>
      </c>
      <c r="AC26" s="1045">
        <f>+Table252346789101110121312141215161517181920[[#This Row],[Egwa Prod gas (MMscf)]]-Table252346789101110121312141215161517181920[[#This Row],[Egwa Utilised gas (MMscf)]]</f>
        <v>2.4</v>
      </c>
      <c r="AD26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35.18</v>
      </c>
      <c r="AE26" s="1044">
        <f>+Table252346789101110121312141215161517181920[[#This Row],[Gas Export (MMscf/d)]]</f>
        <v>7.92</v>
      </c>
      <c r="AF26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0.84240000000000004</v>
      </c>
      <c r="AG26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26.417599999999997</v>
      </c>
      <c r="AH26" s="142"/>
    </row>
    <row r="27" spans="1:51" ht="21.6">
      <c r="B27" s="716">
        <v>44553</v>
      </c>
      <c r="C27" s="749">
        <v>21.04</v>
      </c>
      <c r="D27" s="750">
        <v>15.2</v>
      </c>
      <c r="E27" s="751">
        <v>8.9</v>
      </c>
      <c r="F27" s="749">
        <v>3.58</v>
      </c>
      <c r="G27" s="1042">
        <f>SUM(Table252346789101110121312141215161517181920[[#This Row],[Jones Creek Target (Mbopd)]:[Egwa Target (Mbopd)]])</f>
        <v>48.719999999999992</v>
      </c>
      <c r="H27" s="1067">
        <v>18.818999999999999</v>
      </c>
      <c r="I27" s="1068">
        <v>11.182</v>
      </c>
      <c r="J27" s="1069">
        <v>0</v>
      </c>
      <c r="K27" s="1070">
        <v>2.331</v>
      </c>
      <c r="L27" s="1070">
        <f t="shared" si="2"/>
        <v>32.332000000000001</v>
      </c>
      <c r="M27" s="1088">
        <v>0</v>
      </c>
      <c r="N27" s="1065">
        <f>Table252346789101110121312141215161517181920[[#This Row],[Jones Creek Target (Mbopd)]]-Table252346789101110121312141215161517181920[[#This Row],[Jones Creek (Mbopd)]]</f>
        <v>2.2210000000000001</v>
      </c>
      <c r="O27" s="1044">
        <f>Table252346789101110121312141215161517181920[[#This Row],[Odidi Target (Mbopd)]]-Table252346789101110121312141215161517181920[[#This Row],[Odidi (Mbopd)]]</f>
        <v>4.0179999999999989</v>
      </c>
      <c r="P27" s="1044">
        <f>Table252346789101110121312141215161517181920[[#This Row],[Batan Target (Mbopd)]]-Table252346789101110121312141215161517181920[[#This Row],[Batan (Mbopd)]]</f>
        <v>8.9</v>
      </c>
      <c r="Q27" s="1066">
        <f>Table252346789101110121312141215161517181920[[#This Row],[Egwa Target (Mbopd)]]-Table252346789101110121312141215161517181920[[#This Row],[Egwa (Mbopd)]]</f>
        <v>1.2490000000000001</v>
      </c>
      <c r="R27" s="1043">
        <v>7.2149999999999999</v>
      </c>
      <c r="S27" s="1044">
        <v>26.54</v>
      </c>
      <c r="T27" s="1044">
        <v>0</v>
      </c>
      <c r="U27" s="1045">
        <v>2.41</v>
      </c>
      <c r="V27" s="1046">
        <v>0.84</v>
      </c>
      <c r="W27" s="1044">
        <v>0</v>
      </c>
      <c r="X27" s="1044">
        <v>0</v>
      </c>
      <c r="Y27" s="1045">
        <v>0</v>
      </c>
      <c r="Z27" s="1046">
        <f>+Table252346789101110121312141215161517181920[[#This Row],[J/C Prod gas (MMscf)]]-Table252346789101110121312141215161517181920[[#This Row],[J/C Utilised gas (MMscf)]]</f>
        <v>6.375</v>
      </c>
      <c r="AA27" s="1044">
        <f>+Table252346789101110121312141215161517181920[[#This Row],[Odid Prod gas (MMscf)]]-Table252346789101110121312141215161517181920[[#This Row],[Gas Export (MMscf/d)]]</f>
        <v>26.54</v>
      </c>
      <c r="AB27" s="1044">
        <f>+Table252346789101110121312141215161517181920[[#This Row],[Batn Prod gas (MMscf)]]-Table252346789101110121312141215161517181920[[#This Row],[Batn Utilised gas (MMscf)]]</f>
        <v>0</v>
      </c>
      <c r="AC27" s="1045">
        <f>+Table252346789101110121312141215161517181920[[#This Row],[Egwa Prod gas (MMscf)]]-Table252346789101110121312141215161517181920[[#This Row],[Egwa Utilised gas (MMscf)]]</f>
        <v>2.41</v>
      </c>
      <c r="AD27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36.164999999999992</v>
      </c>
      <c r="AE27" s="1044">
        <f>+Table252346789101110121312141215161517181920[[#This Row],[Gas Export (MMscf/d)]]</f>
        <v>0</v>
      </c>
      <c r="AF27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</v>
      </c>
      <c r="AG27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35.325000000000003</v>
      </c>
      <c r="AH27" s="142"/>
    </row>
    <row r="28" spans="1:51" ht="21.6">
      <c r="B28" s="716">
        <v>44554</v>
      </c>
      <c r="C28" s="749">
        <v>21.04</v>
      </c>
      <c r="D28" s="750">
        <v>15.2</v>
      </c>
      <c r="E28" s="751">
        <v>8.9</v>
      </c>
      <c r="F28" s="749">
        <v>3.58</v>
      </c>
      <c r="G28" s="1042">
        <f>SUM(Table252346789101110121312141215161517181920[[#This Row],[Jones Creek Target (Mbopd)]:[Egwa Target (Mbopd)]])</f>
        <v>48.719999999999992</v>
      </c>
      <c r="H28" s="1067">
        <v>18.446000000000002</v>
      </c>
      <c r="I28" s="1068">
        <v>11.882999999999999</v>
      </c>
      <c r="J28" s="1069">
        <v>0</v>
      </c>
      <c r="K28" s="1070">
        <v>2.36</v>
      </c>
      <c r="L28" s="1070">
        <f t="shared" si="2"/>
        <v>32.689</v>
      </c>
      <c r="M28" s="1088">
        <v>0</v>
      </c>
      <c r="N28" s="1065">
        <f>Table252346789101110121312141215161517181920[[#This Row],[Jones Creek Target (Mbopd)]]-Table252346789101110121312141215161517181920[[#This Row],[Jones Creek (Mbopd)]]</f>
        <v>2.5939999999999976</v>
      </c>
      <c r="O28" s="1044">
        <f>Table252346789101110121312141215161517181920[[#This Row],[Odidi Target (Mbopd)]]-Table252346789101110121312141215161517181920[[#This Row],[Odidi (Mbopd)]]</f>
        <v>3.3170000000000002</v>
      </c>
      <c r="P28" s="1044">
        <f>Table252346789101110121312141215161517181920[[#This Row],[Batan Target (Mbopd)]]-Table252346789101110121312141215161517181920[[#This Row],[Batan (Mbopd)]]</f>
        <v>8.9</v>
      </c>
      <c r="Q28" s="1066">
        <f>Table252346789101110121312141215161517181920[[#This Row],[Egwa Target (Mbopd)]]-Table252346789101110121312141215161517181920[[#This Row],[Egwa (Mbopd)]]</f>
        <v>1.2200000000000002</v>
      </c>
      <c r="R28" s="1043">
        <v>7.2149999999999999</v>
      </c>
      <c r="S28" s="1044">
        <v>26.54</v>
      </c>
      <c r="T28" s="1044">
        <v>0</v>
      </c>
      <c r="U28" s="1045">
        <v>2.4700000000000002</v>
      </c>
      <c r="V28" s="1046">
        <v>0.84</v>
      </c>
      <c r="W28" s="1044">
        <v>0</v>
      </c>
      <c r="X28" s="1044">
        <v>0</v>
      </c>
      <c r="Y28" s="1045">
        <v>0</v>
      </c>
      <c r="Z28" s="1046">
        <f>+Table252346789101110121312141215161517181920[[#This Row],[J/C Prod gas (MMscf)]]-Table252346789101110121312141215161517181920[[#This Row],[J/C Utilised gas (MMscf)]]</f>
        <v>6.375</v>
      </c>
      <c r="AA28" s="1044">
        <f>+Table252346789101110121312141215161517181920[[#This Row],[Odid Prod gas (MMscf)]]-Table252346789101110121312141215161517181920[[#This Row],[Gas Export (MMscf/d)]]</f>
        <v>26.54</v>
      </c>
      <c r="AB28" s="1044">
        <f>+Table252346789101110121312141215161517181920[[#This Row],[Batn Prod gas (MMscf)]]-Table252346789101110121312141215161517181920[[#This Row],[Batn Utilised gas (MMscf)]]</f>
        <v>0</v>
      </c>
      <c r="AC28" s="1045">
        <f>+Table252346789101110121312141215161517181920[[#This Row],[Egwa Prod gas (MMscf)]]-Table252346789101110121312141215161517181920[[#This Row],[Egwa Utilised gas (MMscf)]]</f>
        <v>2.4700000000000002</v>
      </c>
      <c r="AD28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36.224999999999994</v>
      </c>
      <c r="AE28" s="1044">
        <f>+Table252346789101110121312141215161517181920[[#This Row],[Gas Export (MMscf/d)]]</f>
        <v>0</v>
      </c>
      <c r="AF28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</v>
      </c>
      <c r="AG28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35.384999999999998</v>
      </c>
      <c r="AH28" s="142"/>
    </row>
    <row r="29" spans="1:51" ht="21.6">
      <c r="B29" s="716">
        <v>44555</v>
      </c>
      <c r="C29" s="749">
        <v>21.04</v>
      </c>
      <c r="D29" s="750">
        <v>15.2</v>
      </c>
      <c r="E29" s="751">
        <v>8.9</v>
      </c>
      <c r="F29" s="749">
        <v>3.58</v>
      </c>
      <c r="G29" s="1042">
        <f>SUM(Table252346789101110121312141215161517181920[[#This Row],[Jones Creek Target (Mbopd)]:[Egwa Target (Mbopd)]])</f>
        <v>48.719999999999992</v>
      </c>
      <c r="H29" s="1067">
        <v>18.693000000000001</v>
      </c>
      <c r="I29" s="1068">
        <v>0</v>
      </c>
      <c r="J29" s="1069">
        <v>0</v>
      </c>
      <c r="K29" s="1070">
        <v>2.3109999999999999</v>
      </c>
      <c r="L29" s="1070">
        <f t="shared" si="2"/>
        <v>21.004000000000001</v>
      </c>
      <c r="M29" s="1088">
        <v>0</v>
      </c>
      <c r="N29" s="1065">
        <f>Table252346789101110121312141215161517181920[[#This Row],[Jones Creek Target (Mbopd)]]-Table252346789101110121312141215161517181920[[#This Row],[Jones Creek (Mbopd)]]</f>
        <v>2.3469999999999978</v>
      </c>
      <c r="O29" s="1044">
        <f>Table252346789101110121312141215161517181920[[#This Row],[Odidi Target (Mbopd)]]-Table252346789101110121312141215161517181920[[#This Row],[Odidi (Mbopd)]]</f>
        <v>15.2</v>
      </c>
      <c r="P29" s="1044">
        <f>Table252346789101110121312141215161517181920[[#This Row],[Batan Target (Mbopd)]]-Table252346789101110121312141215161517181920[[#This Row],[Batan (Mbopd)]]</f>
        <v>8.9</v>
      </c>
      <c r="Q29" s="1066">
        <f>Table252346789101110121312141215161517181920[[#This Row],[Egwa Target (Mbopd)]]-Table252346789101110121312141215161517181920[[#This Row],[Egwa (Mbopd)]]</f>
        <v>1.2690000000000001</v>
      </c>
      <c r="R29" s="1043">
        <v>7.04</v>
      </c>
      <c r="S29" s="1044">
        <v>0</v>
      </c>
      <c r="T29" s="1044">
        <v>0</v>
      </c>
      <c r="U29" s="1045">
        <v>2.46</v>
      </c>
      <c r="V29" s="1046">
        <v>0.84</v>
      </c>
      <c r="W29" s="1044">
        <v>0</v>
      </c>
      <c r="X29" s="1044">
        <v>0</v>
      </c>
      <c r="Y29" s="1045">
        <v>0</v>
      </c>
      <c r="Z29" s="1046">
        <f>+Table252346789101110121312141215161517181920[[#This Row],[J/C Prod gas (MMscf)]]-Table252346789101110121312141215161517181920[[#This Row],[J/C Utilised gas (MMscf)]]</f>
        <v>6.2</v>
      </c>
      <c r="AA29" s="1044">
        <f>+Table252346789101110121312141215161517181920[[#This Row],[Odid Prod gas (MMscf)]]-Table252346789101110121312141215161517181920[[#This Row],[Gas Export (MMscf/d)]]</f>
        <v>0</v>
      </c>
      <c r="AB29" s="1044">
        <f>+Table252346789101110121312141215161517181920[[#This Row],[Batn Prod gas (MMscf)]]-Table252346789101110121312141215161517181920[[#This Row],[Batn Utilised gas (MMscf)]]</f>
        <v>0</v>
      </c>
      <c r="AC29" s="1045">
        <f>+Table252346789101110121312141215161517181920[[#This Row],[Egwa Prod gas (MMscf)]]-Table252346789101110121312141215161517181920[[#This Row],[Egwa Utilised gas (MMscf)]]</f>
        <v>2.46</v>
      </c>
      <c r="AD29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9.5</v>
      </c>
      <c r="AE29" s="1044">
        <f>+Table252346789101110121312141215161517181920[[#This Row],[Gas Export (MMscf/d)]]</f>
        <v>0</v>
      </c>
      <c r="AF29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</v>
      </c>
      <c r="AG29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8.66</v>
      </c>
      <c r="AH29" s="142"/>
    </row>
    <row r="30" spans="1:51" ht="21.6">
      <c r="B30" s="716">
        <v>44556</v>
      </c>
      <c r="C30" s="749">
        <v>21.04</v>
      </c>
      <c r="D30" s="750">
        <v>15.2</v>
      </c>
      <c r="E30" s="751">
        <v>8.9</v>
      </c>
      <c r="F30" s="749">
        <v>3.58</v>
      </c>
      <c r="G30" s="1042">
        <f>SUM(Table252346789101110121312141215161517181920[[#This Row],[Jones Creek Target (Mbopd)]:[Egwa Target (Mbopd)]])</f>
        <v>48.719999999999992</v>
      </c>
      <c r="H30" s="1067">
        <v>18.829999999999998</v>
      </c>
      <c r="I30" s="1068">
        <v>2.399</v>
      </c>
      <c r="J30" s="1069">
        <v>0</v>
      </c>
      <c r="K30" s="1070">
        <v>2.3250000000000002</v>
      </c>
      <c r="L30" s="1070">
        <f t="shared" si="2"/>
        <v>23.553999999999998</v>
      </c>
      <c r="M30" s="1088">
        <v>0</v>
      </c>
      <c r="N30" s="1065">
        <f>Table252346789101110121312141215161517181920[[#This Row],[Jones Creek Target (Mbopd)]]-Table252346789101110121312141215161517181920[[#This Row],[Jones Creek (Mbopd)]]</f>
        <v>2.2100000000000009</v>
      </c>
      <c r="O30" s="1044">
        <f>Table252346789101110121312141215161517181920[[#This Row],[Odidi Target (Mbopd)]]-Table252346789101110121312141215161517181920[[#This Row],[Odidi (Mbopd)]]</f>
        <v>12.800999999999998</v>
      </c>
      <c r="P30" s="1044">
        <f>Table252346789101110121312141215161517181920[[#This Row],[Batan Target (Mbopd)]]-Table252346789101110121312141215161517181920[[#This Row],[Batan (Mbopd)]]</f>
        <v>8.9</v>
      </c>
      <c r="Q30" s="1066">
        <f>Table252346789101110121312141215161517181920[[#This Row],[Egwa Target (Mbopd)]]-Table252346789101110121312141215161517181920[[#This Row],[Egwa (Mbopd)]]</f>
        <v>1.2549999999999999</v>
      </c>
      <c r="R30" s="1043">
        <v>7.02</v>
      </c>
      <c r="S30" s="1044">
        <v>1.75</v>
      </c>
      <c r="T30" s="1044">
        <v>0</v>
      </c>
      <c r="U30" s="1045">
        <v>2.48</v>
      </c>
      <c r="V30" s="1046">
        <v>0.84</v>
      </c>
      <c r="W30" s="1044">
        <v>0</v>
      </c>
      <c r="X30" s="1044">
        <v>0</v>
      </c>
      <c r="Y30" s="1045">
        <v>0</v>
      </c>
      <c r="Z30" s="1046">
        <f>+Table252346789101110121312141215161517181920[[#This Row],[J/C Prod gas (MMscf)]]-Table252346789101110121312141215161517181920[[#This Row],[J/C Utilised gas (MMscf)]]</f>
        <v>6.18</v>
      </c>
      <c r="AA30" s="1044">
        <f>+Table252346789101110121312141215161517181920[[#This Row],[Odid Prod gas (MMscf)]]-Table252346789101110121312141215161517181920[[#This Row],[Gas Export (MMscf/d)]]</f>
        <v>1.75</v>
      </c>
      <c r="AB30" s="1044">
        <f>+Table252346789101110121312141215161517181920[[#This Row],[Batn Prod gas (MMscf)]]-Table252346789101110121312141215161517181920[[#This Row],[Batn Utilised gas (MMscf)]]</f>
        <v>0</v>
      </c>
      <c r="AC30" s="1045">
        <f>+Table252346789101110121312141215161517181920[[#This Row],[Egwa Prod gas (MMscf)]]-Table252346789101110121312141215161517181920[[#This Row],[Egwa Utilised gas (MMscf)]]</f>
        <v>2.48</v>
      </c>
      <c r="AD30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11.25</v>
      </c>
      <c r="AE30" s="1044">
        <f>+Table252346789101110121312141215161517181920[[#This Row],[Gas Export (MMscf/d)]]</f>
        <v>0</v>
      </c>
      <c r="AF30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</v>
      </c>
      <c r="AG30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10.41</v>
      </c>
      <c r="AH30" s="142"/>
    </row>
    <row r="31" spans="1:51" ht="21.6">
      <c r="B31" s="716">
        <v>44557</v>
      </c>
      <c r="C31" s="749">
        <v>21.04</v>
      </c>
      <c r="D31" s="750">
        <v>15.2</v>
      </c>
      <c r="E31" s="751">
        <v>8.9</v>
      </c>
      <c r="F31" s="749">
        <v>3.58</v>
      </c>
      <c r="G31" s="1042">
        <f>SUM(Table252346789101110121312141215161517181920[[#This Row],[Jones Creek Target (Mbopd)]:[Egwa Target (Mbopd)]])</f>
        <v>48.719999999999992</v>
      </c>
      <c r="H31" s="1067">
        <v>18.013000000000002</v>
      </c>
      <c r="I31" s="1068">
        <v>6.6260000000000003</v>
      </c>
      <c r="J31" s="1069">
        <v>0</v>
      </c>
      <c r="K31" s="1070">
        <v>2.3140000000000001</v>
      </c>
      <c r="L31" s="1070">
        <f t="shared" si="2"/>
        <v>26.953000000000003</v>
      </c>
      <c r="M31" s="1088">
        <v>0</v>
      </c>
      <c r="N31" s="1065">
        <f>Table252346789101110121312141215161517181920[[#This Row],[Jones Creek Target (Mbopd)]]-Table252346789101110121312141215161517181920[[#This Row],[Jones Creek (Mbopd)]]</f>
        <v>3.0269999999999975</v>
      </c>
      <c r="O31" s="1044">
        <f>Table252346789101110121312141215161517181920[[#This Row],[Odidi Target (Mbopd)]]-Table252346789101110121312141215161517181920[[#This Row],[Odidi (Mbopd)]]</f>
        <v>8.5739999999999981</v>
      </c>
      <c r="P31" s="1044">
        <f>Table252346789101110121312141215161517181920[[#This Row],[Batan Target (Mbopd)]]-Table252346789101110121312141215161517181920[[#This Row],[Batan (Mbopd)]]</f>
        <v>8.9</v>
      </c>
      <c r="Q31" s="1066">
        <f>Table252346789101110121312141215161517181920[[#This Row],[Egwa Target (Mbopd)]]-Table252346789101110121312141215161517181920[[#This Row],[Egwa (Mbopd)]]</f>
        <v>1.266</v>
      </c>
      <c r="R31" s="1043">
        <v>7.02</v>
      </c>
      <c r="S31" s="1044">
        <v>8.9700000000000006</v>
      </c>
      <c r="T31" s="1044">
        <v>0</v>
      </c>
      <c r="U31" s="1045">
        <v>2.46</v>
      </c>
      <c r="V31" s="1046">
        <v>0.84</v>
      </c>
      <c r="W31" s="1044">
        <v>0</v>
      </c>
      <c r="X31" s="1044">
        <v>0</v>
      </c>
      <c r="Y31" s="1045">
        <v>0</v>
      </c>
      <c r="Z31" s="1046">
        <f>+Table252346789101110121312141215161517181920[[#This Row],[J/C Prod gas (MMscf)]]-Table252346789101110121312141215161517181920[[#This Row],[J/C Utilised gas (MMscf)]]</f>
        <v>6.18</v>
      </c>
      <c r="AA31" s="1044">
        <f>+Table252346789101110121312141215161517181920[[#This Row],[Odid Prod gas (MMscf)]]-Table252346789101110121312141215161517181920[[#This Row],[Gas Export (MMscf/d)]]</f>
        <v>8.9700000000000006</v>
      </c>
      <c r="AB31" s="1044">
        <f>+Table252346789101110121312141215161517181920[[#This Row],[Batn Prod gas (MMscf)]]-Table252346789101110121312141215161517181920[[#This Row],[Batn Utilised gas (MMscf)]]</f>
        <v>0</v>
      </c>
      <c r="AC31" s="1045">
        <f>+Table252346789101110121312141215161517181920[[#This Row],[Egwa Prod gas (MMscf)]]-Table252346789101110121312141215161517181920[[#This Row],[Egwa Utilised gas (MMscf)]]</f>
        <v>2.46</v>
      </c>
      <c r="AD31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18.45</v>
      </c>
      <c r="AE31" s="1044">
        <f>+Table252346789101110121312141215161517181920[[#This Row],[Gas Export (MMscf/d)]]</f>
        <v>0</v>
      </c>
      <c r="AF31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</v>
      </c>
      <c r="AG31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17.61</v>
      </c>
      <c r="AH31" s="142"/>
    </row>
    <row r="32" spans="1:51" ht="21.6">
      <c r="B32" s="716">
        <v>44558</v>
      </c>
      <c r="C32" s="749">
        <v>21.04</v>
      </c>
      <c r="D32" s="750">
        <v>15.2</v>
      </c>
      <c r="E32" s="751">
        <v>8.9</v>
      </c>
      <c r="F32" s="749">
        <v>3.58</v>
      </c>
      <c r="G32" s="1042">
        <f>SUM(Table252346789101110121312141215161517181920[[#This Row],[Jones Creek Target (Mbopd)]:[Egwa Target (Mbopd)]])</f>
        <v>48.719999999999992</v>
      </c>
      <c r="H32" s="1067">
        <v>18.361999999999998</v>
      </c>
      <c r="I32" s="1068">
        <v>10.265000000000001</v>
      </c>
      <c r="J32" s="1069">
        <v>0</v>
      </c>
      <c r="K32" s="1070">
        <v>2.3490000000000002</v>
      </c>
      <c r="L32" s="1070">
        <f t="shared" si="2"/>
        <v>30.975999999999999</v>
      </c>
      <c r="M32" s="1088">
        <v>0</v>
      </c>
      <c r="N32" s="1065">
        <f>Table252346789101110121312141215161517181920[[#This Row],[Jones Creek Target (Mbopd)]]-Table252346789101110121312141215161517181920[[#This Row],[Jones Creek (Mbopd)]]</f>
        <v>2.6780000000000008</v>
      </c>
      <c r="O32" s="1044">
        <f>Table252346789101110121312141215161517181920[[#This Row],[Odidi Target (Mbopd)]]-Table252346789101110121312141215161517181920[[#This Row],[Odidi (Mbopd)]]</f>
        <v>4.9349999999999987</v>
      </c>
      <c r="P32" s="1044">
        <f>Table252346789101110121312141215161517181920[[#This Row],[Batan Target (Mbopd)]]-Table252346789101110121312141215161517181920[[#This Row],[Batan (Mbopd)]]</f>
        <v>8.9</v>
      </c>
      <c r="Q32" s="1066">
        <f>Table252346789101110121312141215161517181920[[#This Row],[Egwa Target (Mbopd)]]-Table252346789101110121312141215161517181920[[#This Row],[Egwa (Mbopd)]]</f>
        <v>1.2309999999999999</v>
      </c>
      <c r="R32" s="1043">
        <v>7.02</v>
      </c>
      <c r="S32" s="1044">
        <v>16.79</v>
      </c>
      <c r="T32" s="1044">
        <v>0</v>
      </c>
      <c r="U32" s="1045">
        <v>2.4900000000000002</v>
      </c>
      <c r="V32" s="1046">
        <v>0.84</v>
      </c>
      <c r="W32" s="1044">
        <v>0</v>
      </c>
      <c r="X32" s="1044">
        <v>0</v>
      </c>
      <c r="Y32" s="1045">
        <v>0</v>
      </c>
      <c r="Z32" s="1046">
        <f>+Table252346789101110121312141215161517181920[[#This Row],[J/C Prod gas (MMscf)]]-Table252346789101110121312141215161517181920[[#This Row],[J/C Utilised gas (MMscf)]]</f>
        <v>6.18</v>
      </c>
      <c r="AA32" s="1044">
        <f>+Table252346789101110121312141215161517181920[[#This Row],[Odid Prod gas (MMscf)]]-Table252346789101110121312141215161517181920[[#This Row],[Gas Export (MMscf/d)]]</f>
        <v>16.79</v>
      </c>
      <c r="AB32" s="1044">
        <f>+Table252346789101110121312141215161517181920[[#This Row],[Batn Prod gas (MMscf)]]-Table252346789101110121312141215161517181920[[#This Row],[Batn Utilised gas (MMscf)]]</f>
        <v>0</v>
      </c>
      <c r="AC32" s="1045">
        <f>+Table252346789101110121312141215161517181920[[#This Row],[Egwa Prod gas (MMscf)]]-Table252346789101110121312141215161517181920[[#This Row],[Egwa Utilised gas (MMscf)]]</f>
        <v>2.4900000000000002</v>
      </c>
      <c r="AD32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26.299999999999997</v>
      </c>
      <c r="AE32" s="1044">
        <f>+Table252346789101110121312141215161517181920[[#This Row],[Gas Export (MMscf/d)]]</f>
        <v>0</v>
      </c>
      <c r="AF32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</v>
      </c>
      <c r="AG32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25.46</v>
      </c>
      <c r="AH32" s="142"/>
    </row>
    <row r="33" spans="2:36" ht="21.6">
      <c r="B33" s="716">
        <v>44559</v>
      </c>
      <c r="C33" s="749">
        <v>21.04</v>
      </c>
      <c r="D33" s="750">
        <v>15.2</v>
      </c>
      <c r="E33" s="751">
        <v>8.9</v>
      </c>
      <c r="F33" s="749">
        <v>3.58</v>
      </c>
      <c r="G33" s="1042">
        <f>SUM(Table252346789101110121312141215161517181920[[#This Row],[Jones Creek Target (Mbopd)]:[Egwa Target (Mbopd)]])</f>
        <v>48.719999999999992</v>
      </c>
      <c r="H33" s="1067">
        <v>18.207999999999998</v>
      </c>
      <c r="I33" s="1068">
        <v>11.504</v>
      </c>
      <c r="J33" s="1069">
        <v>0</v>
      </c>
      <c r="K33" s="1070">
        <v>2.355</v>
      </c>
      <c r="L33" s="1070">
        <f t="shared" si="2"/>
        <v>32.066999999999993</v>
      </c>
      <c r="M33" s="1088">
        <v>4.1040000000000001</v>
      </c>
      <c r="N33" s="1065">
        <f>Table252346789101110121312141215161517181920[[#This Row],[Jones Creek Target (Mbopd)]]-Table252346789101110121312141215161517181920[[#This Row],[Jones Creek (Mbopd)]]</f>
        <v>2.8320000000000007</v>
      </c>
      <c r="O33" s="1044">
        <f>Table252346789101110121312141215161517181920[[#This Row],[Odidi Target (Mbopd)]]-Table252346789101110121312141215161517181920[[#This Row],[Odidi (Mbopd)]]</f>
        <v>3.6959999999999997</v>
      </c>
      <c r="P33" s="1044">
        <f>Table252346789101110121312141215161517181920[[#This Row],[Batan Target (Mbopd)]]-Table252346789101110121312141215161517181920[[#This Row],[Batan (Mbopd)]]</f>
        <v>8.9</v>
      </c>
      <c r="Q33" s="1066">
        <f>Table252346789101110121312141215161517181920[[#This Row],[Egwa Target (Mbopd)]]-Table252346789101110121312141215161517181920[[#This Row],[Egwa (Mbopd)]]</f>
        <v>1.2250000000000001</v>
      </c>
      <c r="R33" s="1043">
        <v>7.02</v>
      </c>
      <c r="S33" s="1044">
        <v>17.559999999999999</v>
      </c>
      <c r="T33" s="1044">
        <v>0</v>
      </c>
      <c r="U33" s="1045">
        <v>2.48</v>
      </c>
      <c r="V33" s="1046">
        <v>0.84</v>
      </c>
      <c r="W33" s="1044">
        <v>0</v>
      </c>
      <c r="X33" s="1044">
        <v>0</v>
      </c>
      <c r="Y33" s="1045">
        <v>0</v>
      </c>
      <c r="Z33" s="1046">
        <f>+Table252346789101110121312141215161517181920[[#This Row],[J/C Prod gas (MMscf)]]-Table252346789101110121312141215161517181920[[#This Row],[J/C Utilised gas (MMscf)]]</f>
        <v>6.18</v>
      </c>
      <c r="AA33" s="1044">
        <f>+Table252346789101110121312141215161517181920[[#This Row],[Odid Prod gas (MMscf)]]-Table252346789101110121312141215161517181920[[#This Row],[Gas Export (MMscf/d)]]</f>
        <v>13.456</v>
      </c>
      <c r="AB33" s="1044">
        <f>+Table252346789101110121312141215161517181920[[#This Row],[Batn Prod gas (MMscf)]]-Table252346789101110121312141215161517181920[[#This Row],[Batn Utilised gas (MMscf)]]</f>
        <v>0</v>
      </c>
      <c r="AC33" s="1045">
        <f>+Table252346789101110121312141215161517181920[[#This Row],[Egwa Prod gas (MMscf)]]-Table252346789101110121312141215161517181920[[#This Row],[Egwa Utilised gas (MMscf)]]</f>
        <v>2.48</v>
      </c>
      <c r="AD33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27.06</v>
      </c>
      <c r="AE33" s="1044">
        <f>+Table252346789101110121312141215161517181920[[#This Row],[Gas Export (MMscf/d)]]</f>
        <v>4.1040000000000001</v>
      </c>
      <c r="AF33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0.84</v>
      </c>
      <c r="AG33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22.116</v>
      </c>
      <c r="AH33" s="142"/>
    </row>
    <row r="34" spans="2:36" ht="21.6">
      <c r="B34" s="716">
        <v>44560</v>
      </c>
      <c r="C34" s="749">
        <v>21.04</v>
      </c>
      <c r="D34" s="750">
        <v>15.2</v>
      </c>
      <c r="E34" s="751">
        <v>8.9</v>
      </c>
      <c r="F34" s="749">
        <v>3.58</v>
      </c>
      <c r="G34" s="1042">
        <f>SUM(Table252346789101110121312141215161517181920[[#This Row],[Jones Creek Target (Mbopd)]:[Egwa Target (Mbopd)]])</f>
        <v>48.719999999999992</v>
      </c>
      <c r="H34" s="1067">
        <v>18.356000000000002</v>
      </c>
      <c r="I34" s="1068">
        <v>10.332000000000001</v>
      </c>
      <c r="J34" s="1069">
        <v>2.9470000000000001</v>
      </c>
      <c r="K34" s="1070">
        <v>2.3919999999999999</v>
      </c>
      <c r="L34" s="1070">
        <f>H34+I34+J34+K34</f>
        <v>34.027000000000001</v>
      </c>
      <c r="M34" s="1088">
        <v>6.8460000000000001</v>
      </c>
      <c r="N34" s="1065">
        <f>Table252346789101110121312141215161517181920[[#This Row],[Jones Creek Target (Mbopd)]]-Table252346789101110121312141215161517181920[[#This Row],[Jones Creek (Mbopd)]]</f>
        <v>2.6839999999999975</v>
      </c>
      <c r="O34" s="1044">
        <f>Table252346789101110121312141215161517181920[[#This Row],[Odidi Target (Mbopd)]]-Table252346789101110121312141215161517181920[[#This Row],[Odidi (Mbopd)]]</f>
        <v>4.8679999999999986</v>
      </c>
      <c r="P34" s="1044">
        <f>Table252346789101110121312141215161517181920[[#This Row],[Batan Target (Mbopd)]]-Table252346789101110121312141215161517181920[[#This Row],[Batan (Mbopd)]]</f>
        <v>5.9530000000000003</v>
      </c>
      <c r="Q34" s="1066">
        <f>Table252346789101110121312141215161517181920[[#This Row],[Egwa Target (Mbopd)]]-Table252346789101110121312141215161517181920[[#This Row],[Egwa (Mbopd)]]</f>
        <v>1.1880000000000002</v>
      </c>
      <c r="R34" s="1043">
        <v>7.02</v>
      </c>
      <c r="S34" s="1044">
        <v>23.48</v>
      </c>
      <c r="T34" s="1044">
        <v>1.8</v>
      </c>
      <c r="U34" s="1045">
        <v>2.5</v>
      </c>
      <c r="V34" s="1046">
        <v>0.84</v>
      </c>
      <c r="W34" s="1044">
        <v>0</v>
      </c>
      <c r="X34" s="1044">
        <v>1.5</v>
      </c>
      <c r="Y34" s="1045">
        <v>0</v>
      </c>
      <c r="Z34" s="1046">
        <f>+Table252346789101110121312141215161517181920[[#This Row],[J/C Prod gas (MMscf)]]-Table252346789101110121312141215161517181920[[#This Row],[J/C Utilised gas (MMscf)]]</f>
        <v>6.18</v>
      </c>
      <c r="AA34" s="1044">
        <f>+Table252346789101110121312141215161517181920[[#This Row],[Odid Prod gas (MMscf)]]-Table252346789101110121312141215161517181920[[#This Row],[Gas Export (MMscf/d)]]</f>
        <v>16.634</v>
      </c>
      <c r="AB34" s="1044">
        <f>+Table252346789101110121312141215161517181920[[#This Row],[Batn Prod gas (MMscf)]]-Table252346789101110121312141215161517181920[[#This Row],[Batn Utilised gas (MMscf)]]</f>
        <v>0.30000000000000004</v>
      </c>
      <c r="AC34" s="1045">
        <f>+Table252346789101110121312141215161517181920[[#This Row],[Egwa Prod gas (MMscf)]]-Table252346789101110121312141215161517181920[[#This Row],[Egwa Utilised gas (MMscf)]]</f>
        <v>2.5</v>
      </c>
      <c r="AD34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34.799999999999997</v>
      </c>
      <c r="AE34" s="1044">
        <f>+Table252346789101110121312141215161517181920[[#This Row],[Gas Export (MMscf/d)]]</f>
        <v>6.8460000000000001</v>
      </c>
      <c r="AF34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2.34</v>
      </c>
      <c r="AG34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25.614000000000001</v>
      </c>
      <c r="AH34" s="142"/>
    </row>
    <row r="35" spans="2:36" ht="21.6">
      <c r="B35" s="716">
        <v>44561</v>
      </c>
      <c r="C35" s="749">
        <v>21.04</v>
      </c>
      <c r="D35" s="750">
        <v>15.2</v>
      </c>
      <c r="E35" s="751">
        <v>8.9</v>
      </c>
      <c r="F35" s="749">
        <v>3.58</v>
      </c>
      <c r="G35" s="1042">
        <f>SUM(Table252346789101110121312141215161517181920[[#This Row],[Jones Creek Target (Mbopd)]:[Egwa Target (Mbopd)]])</f>
        <v>48.719999999999992</v>
      </c>
      <c r="H35" s="1067">
        <v>18.146000000000001</v>
      </c>
      <c r="I35" s="1068">
        <v>6.726</v>
      </c>
      <c r="J35" s="1069">
        <v>4.9989999999999997</v>
      </c>
      <c r="K35" s="1070">
        <v>2.3039999999999998</v>
      </c>
      <c r="L35" s="1070">
        <f>H35+I35+J35+K35</f>
        <v>32.174999999999997</v>
      </c>
      <c r="M35" s="1088">
        <v>1.7789999999999999</v>
      </c>
      <c r="N35" s="1065">
        <f>Table252346789101110121312141215161517181920[[#This Row],[Jones Creek Target (Mbopd)]]-Table252346789101110121312141215161517181920[[#This Row],[Jones Creek (Mbopd)]]</f>
        <v>2.8939999999999984</v>
      </c>
      <c r="O35" s="1044">
        <f>Table252346789101110121312141215161517181920[[#This Row],[Odidi Target (Mbopd)]]-Table252346789101110121312141215161517181920[[#This Row],[Odidi (Mbopd)]]</f>
        <v>8.4740000000000002</v>
      </c>
      <c r="P35" s="1044">
        <f>Table252346789101110121312141215161517181920[[#This Row],[Batan Target (Mbopd)]]-Table252346789101110121312141215161517181920[[#This Row],[Batan (Mbopd)]]</f>
        <v>3.9010000000000007</v>
      </c>
      <c r="Q35" s="1066">
        <f>Table252346789101110121312141215161517181920[[#This Row],[Egwa Target (Mbopd)]]-Table252346789101110121312141215161517181920[[#This Row],[Egwa (Mbopd)]]</f>
        <v>1.2760000000000002</v>
      </c>
      <c r="R35" s="1043">
        <v>7.02</v>
      </c>
      <c r="S35" s="1044">
        <v>10.56</v>
      </c>
      <c r="T35" s="1044">
        <v>1.84</v>
      </c>
      <c r="U35" s="1045">
        <v>2.5099999999999998</v>
      </c>
      <c r="V35" s="1046">
        <v>0.84</v>
      </c>
      <c r="W35" s="1044">
        <v>0</v>
      </c>
      <c r="X35" s="1044">
        <v>1</v>
      </c>
      <c r="Y35" s="1045">
        <v>0</v>
      </c>
      <c r="Z35" s="1046">
        <f>+Table252346789101110121312141215161517181920[[#This Row],[J/C Prod gas (MMscf)]]-Table252346789101110121312141215161517181920[[#This Row],[J/C Utilised gas (MMscf)]]</f>
        <v>6.18</v>
      </c>
      <c r="AA35" s="1044">
        <f>+Table252346789101110121312141215161517181920[[#This Row],[Odid Prod gas (MMscf)]]-Table252346789101110121312141215161517181920[[#This Row],[Gas Export (MMscf/d)]]</f>
        <v>8.7810000000000006</v>
      </c>
      <c r="AB35" s="1044">
        <f>+Table252346789101110121312141215161517181920[[#This Row],[Batn Prod gas (MMscf)]]-Table252346789101110121312141215161517181920[[#This Row],[Batn Utilised gas (MMscf)]]</f>
        <v>0.84000000000000008</v>
      </c>
      <c r="AC35" s="1045">
        <f>+Table252346789101110121312141215161517181920[[#This Row],[Egwa Prod gas (MMscf)]]-Table252346789101110121312141215161517181920[[#This Row],[Egwa Utilised gas (MMscf)]]</f>
        <v>2.5099999999999998</v>
      </c>
      <c r="AD35" s="1044">
        <f>+Table252346789101110121312141215161517181920[[#This Row],[J/C Prod gas (MMscf)]]+Table252346789101110121312141215161517181920[[#This Row],[Odid Prod gas (MMscf)]]+Table252346789101110121312141215161517181920[[#This Row],[Batn Prod gas (MMscf)]]+Table252346789101110121312141215161517181920[[#This Row],[Egwa Prod gas (MMscf)]]</f>
        <v>21.93</v>
      </c>
      <c r="AE35" s="1044">
        <f>+Table252346789101110121312141215161517181920[[#This Row],[Gas Export (MMscf/d)]]</f>
        <v>1.7789999999999999</v>
      </c>
      <c r="AF35" s="1044">
        <f>+Table252346789101110121312141215161517181920[[#This Row],[J/C Utilised gas (MMscf)]]+Table252346789101110121312141215161517181920[[#This Row],[Odid Utilised gas (MMscf)]]+Table252346789101110121312141215161517181920[[#This Row],[Batn Utilised gas (MMscf)]]+Table252346789101110121312141215161517181920[[#This Row],[Egwa Utilised gas (MMscf)]]</f>
        <v>1.8399999999999999</v>
      </c>
      <c r="AG35" s="1045">
        <f>+Table252346789101110121312141215161517181920[[#This Row],[ J/C Flared Gas (MMscf/d)]]+Table252346789101110121312141215161517181920[[#This Row],[ Odidi Flared Gas (MMscf/d)]]+Table252346789101110121312141215161517181920[[#This Row],[ Batan Flared Gas (MMscf/d)]]+Table252346789101110121312141215161517181920[[#This Row],[Egwa Flared Gas (MMscf/d)]]</f>
        <v>18.311</v>
      </c>
      <c r="AH35" s="142"/>
    </row>
    <row r="36" spans="2:36" ht="21.6">
      <c r="B36" s="716">
        <v>44562</v>
      </c>
      <c r="C36" s="749">
        <v>21.04</v>
      </c>
      <c r="D36" s="750">
        <v>15.2</v>
      </c>
      <c r="E36" s="751">
        <v>8.9</v>
      </c>
      <c r="F36" s="749">
        <v>3.58</v>
      </c>
      <c r="G36" s="1042">
        <f>SUM(Table252346789101110121312141215161517181920[[#This Row],[Jones Creek Target (Mbopd)]:[Egwa Target (Mbopd)]])</f>
        <v>48.719999999999992</v>
      </c>
      <c r="H36" s="1067"/>
      <c r="I36" s="1068"/>
      <c r="J36" s="1069"/>
      <c r="K36" s="1070"/>
      <c r="L36" s="1070"/>
      <c r="M36" s="1077"/>
      <c r="N36" s="1065"/>
      <c r="O36" s="1044"/>
      <c r="P36" s="1044"/>
      <c r="Q36" s="1066"/>
      <c r="R36" s="1043"/>
      <c r="S36" s="1044"/>
      <c r="T36" s="1044"/>
      <c r="U36" s="1045"/>
      <c r="V36" s="1046"/>
      <c r="W36" s="1044"/>
      <c r="X36" s="1044"/>
      <c r="Y36" s="1045"/>
      <c r="Z36" s="1046"/>
      <c r="AA36" s="1044"/>
      <c r="AB36" s="1044"/>
      <c r="AC36" s="1045"/>
      <c r="AD36" s="1044"/>
      <c r="AE36" s="1044"/>
      <c r="AF36" s="1044"/>
      <c r="AG36" s="1045"/>
      <c r="AH36" s="142"/>
    </row>
    <row r="37" spans="2:36" ht="21.6">
      <c r="B37" s="716">
        <v>44563</v>
      </c>
      <c r="C37" s="749">
        <v>21.04</v>
      </c>
      <c r="D37" s="750">
        <v>15.2</v>
      </c>
      <c r="E37" s="751">
        <v>8.9</v>
      </c>
      <c r="F37" s="749">
        <v>3.58</v>
      </c>
      <c r="G37" s="1042">
        <f>SUM(Table252346789101110121312141215161517181920[[#This Row],[Jones Creek Target (Mbopd)]:[Egwa Target (Mbopd)]])</f>
        <v>48.719999999999992</v>
      </c>
      <c r="H37" s="1067"/>
      <c r="I37" s="1068"/>
      <c r="J37" s="1069"/>
      <c r="K37" s="1070"/>
      <c r="L37" s="1070"/>
      <c r="M37" s="1077"/>
      <c r="N37" s="1065"/>
      <c r="O37" s="1044"/>
      <c r="P37" s="1044"/>
      <c r="Q37" s="1066"/>
      <c r="R37" s="1043"/>
      <c r="S37" s="1044"/>
      <c r="T37" s="1044"/>
      <c r="U37" s="1045"/>
      <c r="V37" s="1046"/>
      <c r="W37" s="1044"/>
      <c r="X37" s="1044"/>
      <c r="Y37" s="1045"/>
      <c r="Z37" s="1046"/>
      <c r="AA37" s="1044"/>
      <c r="AB37" s="1044"/>
      <c r="AC37" s="1045"/>
      <c r="AD37" s="1044"/>
      <c r="AE37" s="1044"/>
      <c r="AF37" s="1044"/>
      <c r="AG37" s="1045"/>
      <c r="AH37" s="142"/>
    </row>
    <row r="38" spans="2:36" ht="21.6">
      <c r="B38" s="716">
        <v>44564</v>
      </c>
      <c r="C38" s="749">
        <v>21.04</v>
      </c>
      <c r="D38" s="750">
        <v>15.2</v>
      </c>
      <c r="E38" s="751">
        <v>8.9</v>
      </c>
      <c r="F38" s="749">
        <v>3.58</v>
      </c>
      <c r="G38" s="1042">
        <f>SUM(Table252346789101110121312141215161517181920[[#This Row],[Jones Creek Target (Mbopd)]:[Egwa Target (Mbopd)]])</f>
        <v>48.719999999999992</v>
      </c>
      <c r="H38" s="1067"/>
      <c r="I38" s="1068"/>
      <c r="J38" s="1069"/>
      <c r="K38" s="1070"/>
      <c r="L38" s="1070"/>
      <c r="M38" s="1077"/>
      <c r="N38" s="1065"/>
      <c r="O38" s="1044"/>
      <c r="P38" s="1044"/>
      <c r="Q38" s="1066"/>
      <c r="R38" s="1043"/>
      <c r="S38" s="1044"/>
      <c r="T38" s="1044"/>
      <c r="U38" s="1045"/>
      <c r="V38" s="1046"/>
      <c r="W38" s="1044"/>
      <c r="X38" s="1044"/>
      <c r="Y38" s="1045"/>
      <c r="Z38" s="1046"/>
      <c r="AA38" s="1044"/>
      <c r="AB38" s="1044"/>
      <c r="AC38" s="1045"/>
      <c r="AD38" s="1044"/>
      <c r="AE38" s="1044"/>
      <c r="AF38" s="1044"/>
      <c r="AG38" s="1045"/>
      <c r="AH38" s="142"/>
    </row>
    <row r="39" spans="2:36" ht="21.6">
      <c r="B39" s="716">
        <v>44565</v>
      </c>
      <c r="C39" s="749">
        <v>21.04</v>
      </c>
      <c r="D39" s="750">
        <v>15.2</v>
      </c>
      <c r="E39" s="751">
        <v>8.9</v>
      </c>
      <c r="F39" s="749">
        <v>3.58</v>
      </c>
      <c r="G39" s="749">
        <f>SUM(Table252346789101110121312141215161517181920[[#This Row],[Jones Creek Target (Mbopd)]:[Egwa Target (Mbopd)]])</f>
        <v>48.719999999999992</v>
      </c>
      <c r="H39" s="752"/>
      <c r="I39" s="752"/>
      <c r="J39" s="1062"/>
      <c r="K39" s="1061"/>
      <c r="L39" s="1061"/>
      <c r="M39" s="1003"/>
      <c r="N39" s="1053"/>
      <c r="O39" s="1054"/>
      <c r="P39" s="1055"/>
      <c r="Q39" s="1056"/>
      <c r="R39" s="745"/>
      <c r="S39" s="723"/>
      <c r="T39" s="723"/>
      <c r="U39" s="747"/>
      <c r="V39" s="746"/>
      <c r="W39" s="723"/>
      <c r="X39" s="723"/>
      <c r="Y39" s="721"/>
      <c r="Z39" s="746"/>
      <c r="AA39" s="723"/>
      <c r="AB39" s="723"/>
      <c r="AC39" s="747"/>
      <c r="AD39" s="745"/>
      <c r="AE39" s="723"/>
      <c r="AF39" s="723"/>
      <c r="AG39" s="747"/>
      <c r="AH39" s="142"/>
    </row>
    <row r="42" spans="2:36" ht="33.950000000000003" customHeight="1">
      <c r="B42" s="1345" t="s">
        <v>149</v>
      </c>
      <c r="C42" s="1346"/>
      <c r="D42" s="1346"/>
      <c r="E42" s="1346"/>
      <c r="F42" s="1346"/>
      <c r="G42" s="1346"/>
      <c r="H42" s="1346"/>
      <c r="I42" s="1346"/>
      <c r="J42" s="1346"/>
      <c r="K42" s="1346"/>
      <c r="L42" s="1346"/>
      <c r="M42" s="1346"/>
      <c r="N42" s="1346"/>
      <c r="O42" s="1346"/>
      <c r="P42" s="1346"/>
      <c r="Q42" s="1347"/>
      <c r="R42" s="683"/>
      <c r="S42" s="683"/>
      <c r="T42" s="683"/>
      <c r="U42" s="683"/>
      <c r="V42" s="683"/>
      <c r="W42" s="683"/>
      <c r="X42" s="683"/>
      <c r="Y42" s="683"/>
      <c r="Z42" s="683"/>
      <c r="AA42" s="683"/>
      <c r="AB42" s="683"/>
      <c r="AC42" s="683"/>
      <c r="AD42" s="683"/>
      <c r="AE42" s="683"/>
      <c r="AF42" s="683"/>
      <c r="AI42" s="142"/>
    </row>
    <row r="43" spans="2:36" ht="36.6" customHeight="1">
      <c r="B43" s="1004" t="s">
        <v>22</v>
      </c>
      <c r="C43" s="1005" t="s">
        <v>358</v>
      </c>
      <c r="D43" s="1348" t="s">
        <v>24</v>
      </c>
      <c r="E43" s="1349"/>
      <c r="F43" s="1349"/>
      <c r="G43" s="1349"/>
      <c r="H43" s="1349"/>
      <c r="I43" s="1349"/>
      <c r="J43" s="1349"/>
      <c r="K43" s="1349"/>
      <c r="L43" s="1349"/>
      <c r="M43" s="1349"/>
      <c r="N43" s="1349"/>
      <c r="O43" s="1349"/>
      <c r="P43" s="1349"/>
      <c r="Q43" s="1350"/>
      <c r="R43" s="683"/>
      <c r="S43" s="683"/>
      <c r="T43" s="683"/>
      <c r="U43" s="683"/>
      <c r="V43" s="683"/>
      <c r="W43" s="683"/>
      <c r="X43" s="683"/>
      <c r="Y43" s="683"/>
      <c r="Z43" s="683"/>
      <c r="AA43" s="683"/>
      <c r="AB43" s="683"/>
      <c r="AC43" s="683"/>
      <c r="AD43" s="683"/>
      <c r="AE43" s="683"/>
      <c r="AF43" s="683"/>
      <c r="AI43" s="242"/>
    </row>
    <row r="44" spans="2:36" ht="21.6">
      <c r="B44" s="656" t="s">
        <v>17</v>
      </c>
      <c r="C44" s="652">
        <f>N35</f>
        <v>2.8939999999999984</v>
      </c>
      <c r="D44" s="1358" t="s">
        <v>480</v>
      </c>
      <c r="E44" s="1359"/>
      <c r="F44" s="1359"/>
      <c r="G44" s="1359"/>
      <c r="H44" s="1359"/>
      <c r="I44" s="1359"/>
      <c r="J44" s="1359"/>
      <c r="K44" s="1359"/>
      <c r="L44" s="1359"/>
      <c r="M44" s="1359"/>
      <c r="N44" s="1359"/>
      <c r="O44" s="1359"/>
      <c r="P44" s="1359"/>
      <c r="Q44" s="1360"/>
      <c r="R44" s="684"/>
      <c r="S44" s="684"/>
      <c r="T44" s="684"/>
      <c r="U44" s="684"/>
      <c r="V44" s="684"/>
      <c r="W44" s="684"/>
      <c r="X44" s="684"/>
      <c r="Y44" s="684"/>
      <c r="Z44" s="684"/>
      <c r="AA44" s="684"/>
      <c r="AB44" s="684"/>
      <c r="AC44" s="684"/>
      <c r="AD44" s="684"/>
      <c r="AE44" s="684"/>
      <c r="AF44" s="684"/>
      <c r="AI44" s="242"/>
      <c r="AJ44" s="732"/>
    </row>
    <row r="45" spans="2:36" ht="39.75" customHeight="1">
      <c r="B45" s="656" t="s">
        <v>19</v>
      </c>
      <c r="C45" s="652">
        <f>O35</f>
        <v>8.4740000000000002</v>
      </c>
      <c r="D45" s="1361" t="s">
        <v>481</v>
      </c>
      <c r="E45" s="1362"/>
      <c r="F45" s="1362"/>
      <c r="G45" s="1362"/>
      <c r="H45" s="1362"/>
      <c r="I45" s="1362"/>
      <c r="J45" s="1362"/>
      <c r="K45" s="1362"/>
      <c r="L45" s="1362"/>
      <c r="M45" s="1362"/>
      <c r="N45" s="1362"/>
      <c r="O45" s="1362"/>
      <c r="P45" s="1362"/>
      <c r="Q45" s="1363"/>
      <c r="R45" s="685"/>
      <c r="S45" s="685"/>
      <c r="T45" s="685"/>
      <c r="U45" s="685"/>
      <c r="V45" s="685"/>
      <c r="W45" s="685"/>
      <c r="X45" s="685"/>
      <c r="Y45" s="685"/>
      <c r="Z45" s="685"/>
      <c r="AA45" s="685"/>
      <c r="AB45" s="685"/>
      <c r="AC45" s="685"/>
      <c r="AD45" s="685"/>
      <c r="AE45" s="685"/>
      <c r="AF45" s="685"/>
      <c r="AI45" s="142"/>
    </row>
    <row r="46" spans="2:36" ht="21.6">
      <c r="B46" s="656" t="s">
        <v>16</v>
      </c>
      <c r="C46" s="652">
        <f>P35</f>
        <v>3.9010000000000007</v>
      </c>
      <c r="D46" s="1364" t="s">
        <v>482</v>
      </c>
      <c r="E46" s="1365"/>
      <c r="F46" s="1365"/>
      <c r="G46" s="1365"/>
      <c r="H46" s="1365"/>
      <c r="I46" s="1365"/>
      <c r="J46" s="1365"/>
      <c r="K46" s="1365"/>
      <c r="L46" s="1365"/>
      <c r="M46" s="1365"/>
      <c r="N46" s="1365"/>
      <c r="O46" s="1365"/>
      <c r="P46" s="1365"/>
      <c r="Q46" s="1366"/>
      <c r="R46" s="685"/>
      <c r="S46" s="685"/>
      <c r="T46" s="685"/>
      <c r="U46" s="685"/>
      <c r="V46" s="685"/>
      <c r="W46" s="685"/>
      <c r="X46" s="685"/>
      <c r="Y46" s="685"/>
      <c r="Z46" s="685"/>
      <c r="AA46" s="685"/>
      <c r="AB46" s="685"/>
      <c r="AC46" s="685"/>
      <c r="AD46" s="685"/>
      <c r="AE46" s="685"/>
      <c r="AF46" s="685"/>
      <c r="AI46" s="242"/>
      <c r="AJ46" s="733"/>
    </row>
    <row r="47" spans="2:36" ht="21.6">
      <c r="B47" s="657" t="s">
        <v>18</v>
      </c>
      <c r="C47" s="653">
        <f>Q35</f>
        <v>1.2760000000000002</v>
      </c>
      <c r="D47" s="1352" t="s">
        <v>483</v>
      </c>
      <c r="E47" s="1353"/>
      <c r="F47" s="1353"/>
      <c r="G47" s="1353"/>
      <c r="H47" s="1353"/>
      <c r="I47" s="1353"/>
      <c r="J47" s="1353"/>
      <c r="K47" s="1353"/>
      <c r="L47" s="1353"/>
      <c r="M47" s="1353"/>
      <c r="N47" s="1353"/>
      <c r="O47" s="1353"/>
      <c r="P47" s="1353"/>
      <c r="Q47" s="1354"/>
      <c r="R47" s="685"/>
      <c r="S47" s="685"/>
      <c r="T47" s="685"/>
      <c r="U47" s="684"/>
      <c r="V47" s="684"/>
      <c r="W47" s="684"/>
      <c r="X47" s="684"/>
      <c r="Y47" s="684"/>
      <c r="Z47" s="684"/>
      <c r="AA47" s="684"/>
      <c r="AB47" s="684"/>
      <c r="AC47" s="684"/>
      <c r="AD47" s="684"/>
      <c r="AE47" s="684"/>
      <c r="AF47" s="684"/>
      <c r="AG47" s="790"/>
      <c r="AH47" s="734"/>
      <c r="AI47" s="242"/>
      <c r="AJ47" s="732"/>
    </row>
    <row r="48" spans="2:36" ht="21.6">
      <c r="B48" s="658" t="s">
        <v>187</v>
      </c>
      <c r="C48" s="654">
        <f>SUM(C44:C47)</f>
        <v>16.544999999999998</v>
      </c>
      <c r="D48" s="1355" t="s">
        <v>484</v>
      </c>
      <c r="E48" s="1356"/>
      <c r="F48" s="1356"/>
      <c r="G48" s="1356"/>
      <c r="H48" s="1356"/>
      <c r="I48" s="1356"/>
      <c r="J48" s="1356"/>
      <c r="K48" s="1356"/>
      <c r="L48" s="1356"/>
      <c r="M48" s="1356"/>
      <c r="N48" s="1356"/>
      <c r="O48" s="1356"/>
      <c r="P48" s="1356"/>
      <c r="Q48" s="1357"/>
      <c r="R48" s="684"/>
      <c r="S48" s="684"/>
      <c r="T48" s="684"/>
    </row>
    <row r="49" spans="3:32">
      <c r="U49" s="580"/>
    </row>
    <row r="50" spans="3:32">
      <c r="U50" s="580"/>
    </row>
    <row r="51" spans="3:32" ht="24.6">
      <c r="D51" s="778"/>
      <c r="F51" s="735"/>
      <c r="G51" s="735"/>
      <c r="P51" s="726"/>
      <c r="U51" s="580"/>
    </row>
    <row r="52" spans="3:32" ht="27.75" customHeight="1">
      <c r="C52" s="736"/>
      <c r="D52" s="735"/>
      <c r="F52" s="735"/>
      <c r="H52" s="737"/>
      <c r="I52" s="737"/>
      <c r="J52" s="737"/>
    </row>
    <row r="53" spans="3:32" ht="24.75" customHeight="1">
      <c r="D53" s="735"/>
      <c r="H53" s="738"/>
      <c r="I53" s="738"/>
      <c r="J53" s="738"/>
      <c r="Y53" s="142"/>
      <c r="AE53" s="142"/>
      <c r="AF53" s="142"/>
    </row>
    <row r="54" spans="3:32" ht="20.25" customHeight="1">
      <c r="G54" s="142"/>
      <c r="H54" s="142"/>
      <c r="J54" s="142"/>
      <c r="K54" s="142"/>
      <c r="M54" s="142"/>
      <c r="N54" s="142"/>
      <c r="Y54" s="142"/>
      <c r="AE54" s="142"/>
      <c r="AF54" s="142"/>
    </row>
    <row r="55" spans="3:32" ht="21.6">
      <c r="C55" s="739"/>
      <c r="G55" s="734"/>
      <c r="H55" s="142"/>
      <c r="J55" s="142"/>
      <c r="K55" s="142"/>
      <c r="M55" s="142"/>
      <c r="N55" s="142"/>
      <c r="Y55" s="142"/>
      <c r="AE55" s="142"/>
      <c r="AF55" s="142"/>
    </row>
    <row r="56" spans="3:32">
      <c r="C56" s="741"/>
      <c r="D56" s="741"/>
      <c r="F56" s="741"/>
    </row>
    <row r="57" spans="3:32" ht="27.75" customHeight="1">
      <c r="C57" s="741"/>
      <c r="D57" s="796"/>
      <c r="F57" s="741"/>
      <c r="R57" s="580"/>
      <c r="S57" s="580"/>
      <c r="T57" s="580"/>
      <c r="U57" s="580"/>
    </row>
    <row r="58" spans="3:32" ht="43.5" customHeight="1">
      <c r="C58" s="741"/>
      <c r="D58" s="741"/>
      <c r="F58" s="741"/>
      <c r="R58" s="580"/>
      <c r="S58" s="580"/>
      <c r="T58" s="580"/>
      <c r="U58" s="580"/>
    </row>
    <row r="59" spans="3:32" ht="48" customHeight="1">
      <c r="C59" s="741"/>
      <c r="D59" s="741"/>
      <c r="F59" s="741"/>
      <c r="R59" s="580"/>
      <c r="S59" s="580"/>
      <c r="T59" s="580"/>
      <c r="U59" s="580"/>
    </row>
    <row r="60" spans="3:32" ht="24" customHeight="1">
      <c r="R60" s="580"/>
      <c r="S60" s="580"/>
      <c r="T60" s="580"/>
      <c r="U60" s="580"/>
    </row>
    <row r="61" spans="3:32" ht="24" customHeight="1">
      <c r="U61" s="1071"/>
    </row>
    <row r="62" spans="3:32" ht="24" customHeight="1">
      <c r="U62" s="1071"/>
    </row>
    <row r="63" spans="3:32" ht="24" customHeight="1"/>
    <row r="79" spans="36:36" ht="24.6">
      <c r="AJ79" s="735"/>
    </row>
  </sheetData>
  <mergeCells count="8">
    <mergeCell ref="AK4:AP4"/>
    <mergeCell ref="D47:Q47"/>
    <mergeCell ref="D48:Q48"/>
    <mergeCell ref="B42:Q42"/>
    <mergeCell ref="D43:Q43"/>
    <mergeCell ref="D44:Q44"/>
    <mergeCell ref="D45:Q45"/>
    <mergeCell ref="D46:Q46"/>
  </mergeCells>
  <pageMargins left="0.7" right="0.7" top="0.75" bottom="0.75" header="0.3" footer="0.3"/>
  <pageSetup orientation="portrait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69B37-7E1E-4C99-B93E-BCE28609CFE2}">
  <dimension ref="B1:AC1000"/>
  <sheetViews>
    <sheetView topLeftCell="A53" zoomScale="90" zoomScaleNormal="90" workbookViewId="0">
      <selection activeCell="G70" sqref="G70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8.88671875" style="580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3" style="580" customWidth="1"/>
    <col min="12" max="12" width="11.21875" style="580" bestFit="1" customWidth="1"/>
    <col min="13" max="13" width="8.88671875" style="580"/>
    <col min="14" max="14" width="10.109375" style="580" bestFit="1" customWidth="1"/>
    <col min="15" max="19" width="9.21875" style="580"/>
    <col min="20" max="20" width="22.109375" style="580" customWidth="1"/>
    <col min="21" max="16384" width="9.21875" style="580"/>
  </cols>
  <sheetData>
    <row r="1" spans="2:29" ht="22.15">
      <c r="B1"/>
      <c r="C1" s="1226" t="s">
        <v>485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24.75" customHeight="1">
      <c r="B3"/>
      <c r="C3" s="1252" t="s">
        <v>486</v>
      </c>
      <c r="D3" s="1291"/>
      <c r="E3" s="1291"/>
      <c r="F3" s="1291"/>
      <c r="G3" s="1291"/>
      <c r="H3" s="1291"/>
      <c r="I3" s="1291"/>
      <c r="J3" s="1291"/>
      <c r="K3" s="1292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27" customHeight="1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>
      <c r="B5" s="808">
        <v>1</v>
      </c>
      <c r="C5" s="809" t="s">
        <v>41</v>
      </c>
      <c r="D5" s="810" t="s">
        <v>42</v>
      </c>
      <c r="E5" s="811">
        <v>28</v>
      </c>
      <c r="F5" s="812">
        <v>1706</v>
      </c>
      <c r="G5" s="812">
        <v>580</v>
      </c>
      <c r="H5" s="812">
        <v>66</v>
      </c>
      <c r="I5" s="812">
        <v>995</v>
      </c>
      <c r="J5" s="812">
        <v>494</v>
      </c>
      <c r="K5" s="813" t="s">
        <v>235</v>
      </c>
      <c r="L5" s="1034" t="s">
        <v>487</v>
      </c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>
      <c r="B6" s="814">
        <v>2</v>
      </c>
      <c r="C6" s="815" t="s">
        <v>43</v>
      </c>
      <c r="D6" s="219" t="s">
        <v>44</v>
      </c>
      <c r="E6" s="220">
        <v>28</v>
      </c>
      <c r="F6" s="221">
        <v>1132</v>
      </c>
      <c r="G6" s="278">
        <v>566</v>
      </c>
      <c r="H6" s="221">
        <v>50</v>
      </c>
      <c r="I6" s="221">
        <v>607</v>
      </c>
      <c r="J6" s="221">
        <v>147</v>
      </c>
      <c r="K6" s="816" t="s">
        <v>235</v>
      </c>
      <c r="L6" s="1034" t="s">
        <v>487</v>
      </c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>
      <c r="B7" s="863">
        <v>3</v>
      </c>
      <c r="C7" s="864" t="s">
        <v>45</v>
      </c>
      <c r="D7" s="254" t="s">
        <v>44</v>
      </c>
      <c r="E7" s="255">
        <v>32</v>
      </c>
      <c r="F7" s="197">
        <v>2221</v>
      </c>
      <c r="G7" s="295">
        <v>1044</v>
      </c>
      <c r="H7" s="197">
        <v>53</v>
      </c>
      <c r="I7" s="197">
        <v>669</v>
      </c>
      <c r="J7" s="197">
        <v>249</v>
      </c>
      <c r="K7" s="865"/>
      <c r="L7" s="1034" t="s">
        <v>487</v>
      </c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>
      <c r="B8" s="817">
        <v>4</v>
      </c>
      <c r="C8" s="818" t="s">
        <v>46</v>
      </c>
      <c r="D8" s="192" t="s">
        <v>47</v>
      </c>
      <c r="E8" s="193">
        <v>40</v>
      </c>
      <c r="F8" s="194">
        <v>1753</v>
      </c>
      <c r="G8" s="188">
        <v>1157</v>
      </c>
      <c r="H8" s="194">
        <v>34</v>
      </c>
      <c r="I8" s="194">
        <v>323</v>
      </c>
      <c r="J8" s="194">
        <v>129</v>
      </c>
      <c r="K8" s="819"/>
      <c r="L8" s="1034" t="s">
        <v>487</v>
      </c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>
      <c r="B9" s="817">
        <v>5</v>
      </c>
      <c r="C9" s="818" t="s">
        <v>48</v>
      </c>
      <c r="D9" s="192" t="s">
        <v>47</v>
      </c>
      <c r="E9" s="193" t="s">
        <v>49</v>
      </c>
      <c r="F9" s="194">
        <v>1538</v>
      </c>
      <c r="G9" s="188">
        <v>1000</v>
      </c>
      <c r="H9" s="194">
        <v>35</v>
      </c>
      <c r="I9" s="194">
        <v>310</v>
      </c>
      <c r="J9" s="194">
        <v>163</v>
      </c>
      <c r="K9" s="819"/>
      <c r="L9" s="1034" t="s">
        <v>487</v>
      </c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 ht="29.45">
      <c r="B10" s="814">
        <v>6</v>
      </c>
      <c r="C10" s="815" t="s">
        <v>373</v>
      </c>
      <c r="D10" s="219" t="s">
        <v>47</v>
      </c>
      <c r="E10" s="220">
        <v>24</v>
      </c>
      <c r="F10" s="221"/>
      <c r="G10" s="278"/>
      <c r="H10" s="221"/>
      <c r="I10" s="221"/>
      <c r="J10" s="221"/>
      <c r="K10" s="816" t="s">
        <v>402</v>
      </c>
      <c r="L10" s="1034" t="s">
        <v>487</v>
      </c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>
      <c r="B11" s="814">
        <v>7</v>
      </c>
      <c r="C11" s="815" t="s">
        <v>50</v>
      </c>
      <c r="D11" s="219" t="s">
        <v>47</v>
      </c>
      <c r="E11" s="220" t="s">
        <v>51</v>
      </c>
      <c r="F11" s="221">
        <v>1480</v>
      </c>
      <c r="G11" s="278">
        <v>444</v>
      </c>
      <c r="H11" s="221">
        <v>70</v>
      </c>
      <c r="I11" s="221">
        <v>762</v>
      </c>
      <c r="J11" s="221">
        <v>173</v>
      </c>
      <c r="K11" s="816" t="s">
        <v>235</v>
      </c>
      <c r="L11" s="1034" t="s">
        <v>487</v>
      </c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>
      <c r="B12" s="814">
        <v>8</v>
      </c>
      <c r="C12" s="815" t="s">
        <v>52</v>
      </c>
      <c r="D12" s="219" t="s">
        <v>47</v>
      </c>
      <c r="E12" s="220">
        <v>40</v>
      </c>
      <c r="F12" s="221">
        <v>1652</v>
      </c>
      <c r="G12" s="278">
        <v>760</v>
      </c>
      <c r="H12" s="221">
        <v>54</v>
      </c>
      <c r="I12" s="221">
        <v>447</v>
      </c>
      <c r="J12" s="221">
        <v>159</v>
      </c>
      <c r="K12" s="816" t="s">
        <v>235</v>
      </c>
      <c r="L12" s="1034" t="s">
        <v>487</v>
      </c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>
      <c r="B13" s="814">
        <v>9</v>
      </c>
      <c r="C13" s="815" t="s">
        <v>53</v>
      </c>
      <c r="D13" s="219" t="s">
        <v>47</v>
      </c>
      <c r="E13" s="220">
        <v>28</v>
      </c>
      <c r="F13" s="221">
        <v>1410</v>
      </c>
      <c r="G13" s="278">
        <v>663</v>
      </c>
      <c r="H13" s="221">
        <v>53.33</v>
      </c>
      <c r="I13" s="221">
        <v>430</v>
      </c>
      <c r="J13" s="221">
        <v>342</v>
      </c>
      <c r="K13" s="698" t="s">
        <v>235</v>
      </c>
      <c r="L13" s="1034" t="s">
        <v>487</v>
      </c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>
      <c r="B14" s="814">
        <v>10</v>
      </c>
      <c r="C14" s="815" t="s">
        <v>54</v>
      </c>
      <c r="D14" s="219" t="s">
        <v>47</v>
      </c>
      <c r="E14" s="220" t="s">
        <v>55</v>
      </c>
      <c r="F14" s="221">
        <v>1633</v>
      </c>
      <c r="G14" s="278">
        <v>784</v>
      </c>
      <c r="H14" s="221">
        <v>52</v>
      </c>
      <c r="I14" s="221">
        <v>492</v>
      </c>
      <c r="J14" s="221">
        <v>377</v>
      </c>
      <c r="K14" s="698" t="s">
        <v>415</v>
      </c>
      <c r="L14" s="1034" t="s">
        <v>487</v>
      </c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>
      <c r="B15" s="820">
        <v>11</v>
      </c>
      <c r="C15" s="818" t="s">
        <v>56</v>
      </c>
      <c r="D15" s="192" t="s">
        <v>47</v>
      </c>
      <c r="E15" s="193">
        <v>44</v>
      </c>
      <c r="F15" s="194">
        <v>3857</v>
      </c>
      <c r="G15" s="188">
        <v>1620</v>
      </c>
      <c r="H15" s="194">
        <v>58</v>
      </c>
      <c r="I15" s="194">
        <v>329</v>
      </c>
      <c r="J15" s="194">
        <v>352</v>
      </c>
      <c r="K15" s="821"/>
      <c r="L15" s="1034" t="s">
        <v>487</v>
      </c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>
      <c r="B16" s="822">
        <v>12</v>
      </c>
      <c r="C16" s="823" t="s">
        <v>57</v>
      </c>
      <c r="D16" s="824" t="s">
        <v>47</v>
      </c>
      <c r="E16" s="825">
        <v>28</v>
      </c>
      <c r="F16" s="826">
        <v>1706</v>
      </c>
      <c r="G16" s="827">
        <v>273</v>
      </c>
      <c r="H16" s="826">
        <v>84</v>
      </c>
      <c r="I16" s="826">
        <v>377</v>
      </c>
      <c r="J16" s="826">
        <v>305</v>
      </c>
      <c r="K16" s="698" t="s">
        <v>235</v>
      </c>
      <c r="L16" s="1034" t="s">
        <v>487</v>
      </c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>
      <c r="B17"/>
      <c r="C17" s="204"/>
      <c r="D17" s="205"/>
      <c r="E17" s="205"/>
      <c r="F17" s="224">
        <f>SUM(F5:F16)</f>
        <v>20088</v>
      </c>
      <c r="G17" s="224">
        <f>SUM(G5:G16)</f>
        <v>8891</v>
      </c>
      <c r="H17" s="207"/>
      <c r="I17" s="408"/>
      <c r="J17" s="207"/>
      <c r="K17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>
      <c r="B18"/>
      <c r="C18"/>
      <c r="D18" s="1253"/>
      <c r="E18" s="1253"/>
      <c r="F18" s="1"/>
      <c r="G18" s="208">
        <f>ROUNDUP(G17,-1)</f>
        <v>8900</v>
      </c>
      <c r="H18" s="373"/>
      <c r="I18" s="418"/>
      <c r="J18" s="699"/>
      <c r="K18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 ht="19.5" customHeight="1">
      <c r="B19"/>
      <c r="C19"/>
      <c r="D19" s="1"/>
      <c r="E19" s="1"/>
      <c r="F19" s="1"/>
      <c r="G19" s="1"/>
      <c r="H19" s="1"/>
      <c r="I19"/>
      <c r="J19" s="1"/>
      <c r="K1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>
      <c r="B20"/>
      <c r="C20"/>
      <c r="D20" s="1"/>
      <c r="E20" s="1"/>
      <c r="F20" s="1"/>
      <c r="G20" s="1"/>
      <c r="H20" s="1"/>
      <c r="I20" s="1"/>
      <c r="J20" s="1"/>
      <c r="K20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26.25" customHeight="1">
      <c r="B21" s="303"/>
      <c r="C21" s="1252" t="s">
        <v>488</v>
      </c>
      <c r="D21" s="1291"/>
      <c r="E21" s="1291"/>
      <c r="F21" s="1291"/>
      <c r="G21" s="1291"/>
      <c r="H21" s="1291"/>
      <c r="I21" s="1291"/>
      <c r="J21" s="1291"/>
      <c r="K21" s="1292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ht="39.6">
      <c r="B22" s="829" t="s">
        <v>156</v>
      </c>
      <c r="C22" s="830" t="s">
        <v>31</v>
      </c>
      <c r="D22" s="803" t="s">
        <v>32</v>
      </c>
      <c r="E22" s="803" t="s">
        <v>33</v>
      </c>
      <c r="F22" s="803" t="s">
        <v>34</v>
      </c>
      <c r="G22" s="803" t="s">
        <v>35</v>
      </c>
      <c r="H22" s="803" t="s">
        <v>37</v>
      </c>
      <c r="I22" s="803" t="s">
        <v>38</v>
      </c>
      <c r="J22" s="803" t="s">
        <v>39</v>
      </c>
      <c r="K22" s="868" t="s">
        <v>40</v>
      </c>
      <c r="L22" s="866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</row>
    <row r="23" spans="2:29">
      <c r="B23" s="991">
        <v>1</v>
      </c>
      <c r="C23" s="992" t="s">
        <v>417</v>
      </c>
      <c r="D23" s="992" t="s">
        <v>418</v>
      </c>
      <c r="E23" s="993">
        <v>24</v>
      </c>
      <c r="F23" s="994">
        <v>1072</v>
      </c>
      <c r="G23" s="995">
        <v>386</v>
      </c>
      <c r="H23" s="995">
        <v>64</v>
      </c>
      <c r="I23" s="995">
        <v>521</v>
      </c>
      <c r="J23" s="995">
        <v>928</v>
      </c>
      <c r="K23" s="996" t="s">
        <v>489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33.6">
      <c r="B24" s="1020">
        <v>2</v>
      </c>
      <c r="C24" s="1021" t="s">
        <v>376</v>
      </c>
      <c r="D24" s="1032" t="s">
        <v>89</v>
      </c>
      <c r="E24" s="1031">
        <v>24</v>
      </c>
      <c r="F24" s="1033">
        <v>1203</v>
      </c>
      <c r="G24" s="1013">
        <v>412</v>
      </c>
      <c r="H24" s="1024">
        <v>56</v>
      </c>
      <c r="I24" s="1024">
        <v>340</v>
      </c>
      <c r="J24" s="1024">
        <v>600</v>
      </c>
      <c r="K24" s="1025" t="s">
        <v>490</v>
      </c>
      <c r="L24" s="1034" t="s">
        <v>487</v>
      </c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>
      <c r="B25" s="1020">
        <v>3</v>
      </c>
      <c r="C25" s="1021" t="s">
        <v>61</v>
      </c>
      <c r="D25" s="1021" t="s">
        <v>62</v>
      </c>
      <c r="E25" s="1022">
        <v>28</v>
      </c>
      <c r="F25" s="1023">
        <v>888</v>
      </c>
      <c r="G25" s="1013">
        <v>355</v>
      </c>
      <c r="H25" s="1024">
        <v>56</v>
      </c>
      <c r="I25" s="1024">
        <v>782</v>
      </c>
      <c r="J25" s="1024">
        <v>370</v>
      </c>
      <c r="K25" s="1025" t="s">
        <v>491</v>
      </c>
      <c r="L25" s="621" t="s">
        <v>492</v>
      </c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>
      <c r="B26" s="783">
        <v>4</v>
      </c>
      <c r="C26" s="784" t="s">
        <v>64</v>
      </c>
      <c r="D26" s="784" t="s">
        <v>65</v>
      </c>
      <c r="E26" s="785">
        <v>32</v>
      </c>
      <c r="F26" s="786">
        <v>2346</v>
      </c>
      <c r="G26" s="787">
        <v>1384</v>
      </c>
      <c r="H26" s="787">
        <v>41</v>
      </c>
      <c r="I26" s="787">
        <v>733</v>
      </c>
      <c r="J26" s="787">
        <v>421</v>
      </c>
      <c r="K26" s="788" t="s">
        <v>489</v>
      </c>
      <c r="L26" s="621" t="s">
        <v>492</v>
      </c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>
      <c r="B27" s="772">
        <v>5</v>
      </c>
      <c r="C27" s="773" t="s">
        <v>69</v>
      </c>
      <c r="D27" s="773" t="s">
        <v>70</v>
      </c>
      <c r="E27" s="774">
        <v>28</v>
      </c>
      <c r="F27" s="775">
        <v>1419</v>
      </c>
      <c r="G27" s="776">
        <v>440</v>
      </c>
      <c r="H27" s="776">
        <v>69</v>
      </c>
      <c r="I27" s="776">
        <v>3311</v>
      </c>
      <c r="J27" s="776">
        <v>798</v>
      </c>
      <c r="K27" s="698" t="s">
        <v>489</v>
      </c>
      <c r="L27" s="621" t="s">
        <v>492</v>
      </c>
      <c r="M27" s="579">
        <f>23+24+11+4</f>
        <v>62</v>
      </c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>
      <c r="B28" s="783">
        <v>6</v>
      </c>
      <c r="C28" s="784" t="s">
        <v>71</v>
      </c>
      <c r="D28" s="784" t="s">
        <v>72</v>
      </c>
      <c r="E28" s="785">
        <v>32</v>
      </c>
      <c r="F28" s="786">
        <v>1087</v>
      </c>
      <c r="G28" s="787">
        <v>413</v>
      </c>
      <c r="H28" s="787">
        <v>62</v>
      </c>
      <c r="I28" s="787">
        <v>3311</v>
      </c>
      <c r="J28" s="787">
        <v>750</v>
      </c>
      <c r="K28" s="777" t="s">
        <v>489</v>
      </c>
      <c r="L28" s="621" t="s">
        <v>492</v>
      </c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33.6">
      <c r="B29" s="783">
        <v>7</v>
      </c>
      <c r="C29" s="784" t="s">
        <v>73</v>
      </c>
      <c r="D29" s="784" t="s">
        <v>72</v>
      </c>
      <c r="E29" s="785">
        <v>44</v>
      </c>
      <c r="F29" s="786">
        <v>818</v>
      </c>
      <c r="G29" s="787">
        <v>450</v>
      </c>
      <c r="H29" s="787">
        <v>45</v>
      </c>
      <c r="I29" s="787">
        <v>3278</v>
      </c>
      <c r="J29" s="787">
        <v>406</v>
      </c>
      <c r="K29" s="791" t="s">
        <v>493</v>
      </c>
      <c r="L29" s="621" t="s">
        <v>492</v>
      </c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>
      <c r="B30" s="831">
        <v>8</v>
      </c>
      <c r="C30" s="837" t="s">
        <v>74</v>
      </c>
      <c r="D30" s="837" t="s">
        <v>75</v>
      </c>
      <c r="E30" s="838">
        <v>36</v>
      </c>
      <c r="F30" s="834">
        <v>3076</v>
      </c>
      <c r="G30" s="787">
        <v>1384</v>
      </c>
      <c r="H30" s="835">
        <v>55</v>
      </c>
      <c r="I30" s="835">
        <v>1480</v>
      </c>
      <c r="J30" s="835">
        <v>840</v>
      </c>
      <c r="K30" s="836" t="s">
        <v>489</v>
      </c>
      <c r="L30" s="621" t="s">
        <v>492</v>
      </c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</row>
    <row r="31" spans="2:29">
      <c r="B31" s="772">
        <v>9</v>
      </c>
      <c r="C31" s="773" t="s">
        <v>76</v>
      </c>
      <c r="D31" s="773" t="s">
        <v>77</v>
      </c>
      <c r="E31" s="774">
        <v>20</v>
      </c>
      <c r="F31" s="775">
        <v>715</v>
      </c>
      <c r="G31" s="776">
        <v>250</v>
      </c>
      <c r="H31" s="776">
        <v>65</v>
      </c>
      <c r="I31" s="776">
        <v>478</v>
      </c>
      <c r="J31" s="776">
        <v>160</v>
      </c>
      <c r="K31" s="698" t="s">
        <v>494</v>
      </c>
      <c r="L31" s="621" t="s">
        <v>492</v>
      </c>
      <c r="M31" s="579"/>
      <c r="N31" s="646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</row>
    <row r="32" spans="2:29">
      <c r="B32" s="783">
        <v>10</v>
      </c>
      <c r="C32" s="784" t="s">
        <v>78</v>
      </c>
      <c r="D32" s="784" t="s">
        <v>79</v>
      </c>
      <c r="E32" s="785">
        <v>52</v>
      </c>
      <c r="F32" s="786">
        <v>1133</v>
      </c>
      <c r="G32" s="787">
        <v>1131</v>
      </c>
      <c r="H32" s="787">
        <v>0.2</v>
      </c>
      <c r="I32" s="787">
        <v>1085</v>
      </c>
      <c r="J32" s="787">
        <v>218</v>
      </c>
      <c r="K32" s="788" t="s">
        <v>495</v>
      </c>
      <c r="L32" s="621" t="s">
        <v>492</v>
      </c>
      <c r="M32" s="646"/>
      <c r="N32" s="579"/>
      <c r="O32" s="646"/>
      <c r="P32" s="646"/>
      <c r="Q32" s="646"/>
      <c r="R32" s="646"/>
      <c r="S32" s="646"/>
      <c r="T32" s="646"/>
      <c r="U32" s="579"/>
      <c r="V32" s="579"/>
      <c r="W32" s="579"/>
      <c r="X32" s="579"/>
      <c r="Y32" s="579"/>
      <c r="Z32" s="579"/>
      <c r="AA32" s="579"/>
      <c r="AB32" s="579"/>
      <c r="AC32" s="579"/>
    </row>
    <row r="33" spans="2:29" s="647" customFormat="1">
      <c r="B33" s="783">
        <v>11</v>
      </c>
      <c r="C33" s="784" t="s">
        <v>80</v>
      </c>
      <c r="D33" s="784" t="s">
        <v>81</v>
      </c>
      <c r="E33" s="785">
        <v>32</v>
      </c>
      <c r="F33" s="786">
        <v>2139</v>
      </c>
      <c r="G33" s="787">
        <v>492</v>
      </c>
      <c r="H33" s="787">
        <v>77</v>
      </c>
      <c r="I33" s="787">
        <v>1975</v>
      </c>
      <c r="J33" s="787">
        <v>667</v>
      </c>
      <c r="K33" s="788" t="s">
        <v>489</v>
      </c>
      <c r="L33" s="621" t="s">
        <v>492</v>
      </c>
      <c r="M33" s="579"/>
      <c r="N33" s="646"/>
      <c r="O33" s="579"/>
      <c r="P33" s="579"/>
      <c r="Q33" s="579"/>
      <c r="R33" s="579"/>
      <c r="S33" s="579"/>
      <c r="T33" s="579"/>
      <c r="U33" s="646"/>
      <c r="V33" s="646"/>
      <c r="W33" s="646"/>
      <c r="X33" s="646"/>
      <c r="Y33" s="646"/>
      <c r="Z33" s="646"/>
      <c r="AA33" s="646"/>
      <c r="AB33" s="646"/>
      <c r="AC33" s="646"/>
    </row>
    <row r="34" spans="2:29">
      <c r="B34" s="772">
        <v>12</v>
      </c>
      <c r="C34" s="773" t="s">
        <v>82</v>
      </c>
      <c r="D34" s="773" t="s">
        <v>65</v>
      </c>
      <c r="E34" s="774">
        <v>28</v>
      </c>
      <c r="F34" s="775">
        <v>1466</v>
      </c>
      <c r="G34" s="776">
        <v>1026</v>
      </c>
      <c r="H34" s="776">
        <v>30</v>
      </c>
      <c r="I34" s="776">
        <v>350</v>
      </c>
      <c r="J34" s="776">
        <v>360</v>
      </c>
      <c r="K34" s="698" t="s">
        <v>494</v>
      </c>
      <c r="L34" s="621" t="s">
        <v>492</v>
      </c>
      <c r="M34" s="646"/>
      <c r="N34" s="579"/>
      <c r="O34" s="646"/>
      <c r="P34" s="646"/>
      <c r="Q34" s="646"/>
      <c r="R34" s="646"/>
      <c r="S34" s="646"/>
      <c r="T34" s="646"/>
      <c r="U34" s="579"/>
      <c r="V34" s="579"/>
      <c r="W34" s="579"/>
      <c r="X34" s="579"/>
      <c r="Y34" s="579"/>
      <c r="Z34" s="579"/>
      <c r="AA34" s="579"/>
      <c r="AB34" s="579"/>
      <c r="AC34" s="579"/>
    </row>
    <row r="35" spans="2:29" s="647" customFormat="1">
      <c r="B35" s="1014">
        <v>13</v>
      </c>
      <c r="C35" s="1015" t="s">
        <v>379</v>
      </c>
      <c r="D35" s="1015" t="s">
        <v>380</v>
      </c>
      <c r="E35" s="1016">
        <v>20</v>
      </c>
      <c r="F35" s="1017">
        <v>758</v>
      </c>
      <c r="G35" s="1018">
        <v>286</v>
      </c>
      <c r="H35" s="1018">
        <v>63</v>
      </c>
      <c r="I35" s="1018">
        <v>2273</v>
      </c>
      <c r="J35" s="1018">
        <v>762</v>
      </c>
      <c r="K35" s="1019" t="s">
        <v>496</v>
      </c>
      <c r="L35" s="1034" t="s">
        <v>487</v>
      </c>
      <c r="M35" s="579"/>
      <c r="N35" s="646"/>
      <c r="O35" s="579"/>
      <c r="P35" s="579"/>
      <c r="Q35" s="579"/>
      <c r="R35" s="579"/>
      <c r="S35" s="579"/>
      <c r="T35" s="579"/>
      <c r="U35" s="646"/>
      <c r="V35" s="646"/>
      <c r="W35" s="646"/>
      <c r="X35" s="646"/>
      <c r="Y35" s="646"/>
      <c r="Z35" s="646"/>
      <c r="AA35" s="646"/>
      <c r="AB35" s="646"/>
      <c r="AC35" s="646"/>
    </row>
    <row r="36" spans="2:29">
      <c r="B36" s="1014">
        <v>14</v>
      </c>
      <c r="C36" s="1015" t="s">
        <v>351</v>
      </c>
      <c r="D36" s="1015" t="s">
        <v>352</v>
      </c>
      <c r="E36" s="1016">
        <v>24</v>
      </c>
      <c r="F36" s="1017">
        <v>750</v>
      </c>
      <c r="G36" s="1018">
        <v>300</v>
      </c>
      <c r="H36" s="1018">
        <v>60</v>
      </c>
      <c r="I36" s="1018" t="s">
        <v>164</v>
      </c>
      <c r="J36" s="1018">
        <v>1000</v>
      </c>
      <c r="K36" s="1019" t="s">
        <v>496</v>
      </c>
      <c r="L36" s="1034" t="s">
        <v>487</v>
      </c>
      <c r="M36" s="646"/>
      <c r="N36" s="579"/>
      <c r="O36" s="646"/>
      <c r="P36" s="646"/>
      <c r="Q36" s="646"/>
      <c r="R36" s="646"/>
      <c r="S36" s="646"/>
      <c r="T36" s="646"/>
      <c r="U36" s="579"/>
      <c r="V36" s="579"/>
      <c r="W36" s="579"/>
      <c r="X36" s="579"/>
      <c r="Y36" s="579"/>
      <c r="Z36" s="579"/>
      <c r="AA36" s="579"/>
      <c r="AB36" s="579"/>
      <c r="AC36" s="579"/>
    </row>
    <row r="37" spans="2:29" s="647" customFormat="1">
      <c r="B37" s="772">
        <v>15</v>
      </c>
      <c r="C37" s="773" t="s">
        <v>83</v>
      </c>
      <c r="D37" s="773" t="s">
        <v>84</v>
      </c>
      <c r="E37" s="774">
        <v>44</v>
      </c>
      <c r="F37" s="775">
        <v>3707</v>
      </c>
      <c r="G37" s="776">
        <v>1112</v>
      </c>
      <c r="H37" s="776">
        <v>70</v>
      </c>
      <c r="I37" s="776">
        <v>1735</v>
      </c>
      <c r="J37" s="776">
        <v>1068</v>
      </c>
      <c r="K37" s="698" t="s">
        <v>489</v>
      </c>
      <c r="L37" s="621" t="s">
        <v>492</v>
      </c>
      <c r="M37" s="579"/>
      <c r="N37" s="646"/>
      <c r="O37" s="579"/>
      <c r="P37" s="579"/>
      <c r="Q37" s="579"/>
      <c r="R37" s="579"/>
      <c r="S37" s="579"/>
      <c r="T37" s="579"/>
      <c r="U37" s="646"/>
      <c r="V37" s="646"/>
      <c r="W37" s="646"/>
      <c r="X37" s="646"/>
      <c r="Y37" s="646"/>
      <c r="Z37" s="646"/>
      <c r="AA37" s="646"/>
      <c r="AB37" s="646"/>
      <c r="AC37" s="646"/>
    </row>
    <row r="38" spans="2:29">
      <c r="B38" s="772">
        <v>16</v>
      </c>
      <c r="C38" s="773" t="s">
        <v>85</v>
      </c>
      <c r="D38" s="773" t="s">
        <v>72</v>
      </c>
      <c r="E38" s="774">
        <v>32</v>
      </c>
      <c r="F38" s="775">
        <v>1702</v>
      </c>
      <c r="G38" s="776">
        <v>1072</v>
      </c>
      <c r="H38" s="776">
        <v>37</v>
      </c>
      <c r="I38" s="776">
        <v>1724</v>
      </c>
      <c r="J38" s="776">
        <v>600</v>
      </c>
      <c r="K38" s="698" t="s">
        <v>494</v>
      </c>
      <c r="L38" s="621" t="s">
        <v>492</v>
      </c>
      <c r="M38" s="646"/>
      <c r="N38" s="579"/>
      <c r="O38" s="646"/>
      <c r="P38" s="646"/>
      <c r="Q38" s="646"/>
      <c r="R38" s="646"/>
      <c r="S38" s="646"/>
      <c r="T38" s="646"/>
      <c r="U38" s="579"/>
      <c r="V38" s="579"/>
      <c r="W38" s="579"/>
      <c r="X38" s="579"/>
      <c r="Y38" s="579"/>
      <c r="Z38" s="579"/>
      <c r="AA38" s="579"/>
      <c r="AB38" s="579"/>
      <c r="AC38" s="579"/>
    </row>
    <row r="39" spans="2:29" s="647" customFormat="1" ht="33.6">
      <c r="B39" s="831">
        <v>17</v>
      </c>
      <c r="C39" s="837" t="s">
        <v>86</v>
      </c>
      <c r="D39" s="837" t="s">
        <v>87</v>
      </c>
      <c r="E39" s="838">
        <v>28</v>
      </c>
      <c r="F39" s="834">
        <v>755</v>
      </c>
      <c r="G39" s="835">
        <v>332</v>
      </c>
      <c r="H39" s="835">
        <v>56</v>
      </c>
      <c r="I39" s="835">
        <v>6177</v>
      </c>
      <c r="J39" s="835">
        <v>1850</v>
      </c>
      <c r="K39" s="836" t="s">
        <v>497</v>
      </c>
      <c r="L39" s="621" t="s">
        <v>492</v>
      </c>
      <c r="M39" s="579"/>
      <c r="N39" s="646"/>
      <c r="O39" s="579"/>
      <c r="P39" s="579"/>
      <c r="Q39" s="579"/>
      <c r="R39" s="579"/>
      <c r="S39" s="579"/>
      <c r="T39" s="579"/>
      <c r="U39" s="646"/>
      <c r="V39" s="646"/>
      <c r="W39" s="646"/>
      <c r="X39" s="646"/>
      <c r="Y39" s="646"/>
      <c r="Z39" s="646"/>
      <c r="AA39" s="646"/>
      <c r="AB39" s="646"/>
      <c r="AC39" s="646"/>
    </row>
    <row r="40" spans="2:29">
      <c r="B40" s="783">
        <v>18</v>
      </c>
      <c r="C40" s="784" t="s">
        <v>88</v>
      </c>
      <c r="D40" s="784" t="s">
        <v>89</v>
      </c>
      <c r="E40" s="785">
        <v>28</v>
      </c>
      <c r="F40" s="786">
        <v>1108</v>
      </c>
      <c r="G40" s="787">
        <v>532</v>
      </c>
      <c r="H40" s="787">
        <v>52</v>
      </c>
      <c r="I40" s="787">
        <v>3495</v>
      </c>
      <c r="J40" s="787">
        <v>363</v>
      </c>
      <c r="K40" s="788" t="s">
        <v>489</v>
      </c>
      <c r="L40" s="621" t="s">
        <v>492</v>
      </c>
      <c r="M40" s="579"/>
      <c r="N40" s="579"/>
      <c r="O40" s="646"/>
      <c r="P40" s="646"/>
      <c r="Q40" s="646"/>
      <c r="R40" s="646"/>
      <c r="S40" s="646"/>
      <c r="T40" s="646"/>
      <c r="U40" s="579"/>
      <c r="V40" s="579"/>
      <c r="W40" s="579"/>
      <c r="X40" s="579"/>
      <c r="Y40" s="579"/>
      <c r="Z40" s="579"/>
      <c r="AA40" s="579"/>
      <c r="AB40" s="579"/>
      <c r="AC40" s="579"/>
    </row>
    <row r="41" spans="2:29" s="647" customFormat="1">
      <c r="B41" s="772">
        <v>19</v>
      </c>
      <c r="C41" s="773" t="s">
        <v>90</v>
      </c>
      <c r="D41" s="773" t="s">
        <v>84</v>
      </c>
      <c r="E41" s="774">
        <v>48</v>
      </c>
      <c r="F41" s="775">
        <v>776</v>
      </c>
      <c r="G41" s="776">
        <v>714</v>
      </c>
      <c r="H41" s="776">
        <v>8</v>
      </c>
      <c r="I41" s="776">
        <v>4911</v>
      </c>
      <c r="J41" s="776">
        <v>550</v>
      </c>
      <c r="K41" s="698" t="s">
        <v>494</v>
      </c>
      <c r="L41" s="621" t="s">
        <v>492</v>
      </c>
      <c r="M41" s="579"/>
      <c r="N41" s="646"/>
      <c r="O41" s="579"/>
      <c r="P41" s="579"/>
      <c r="Q41" s="579"/>
      <c r="R41" s="579"/>
      <c r="S41" s="579"/>
      <c r="T41" s="579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>
      <c r="B42" s="1026">
        <v>20</v>
      </c>
      <c r="C42" s="1027" t="s">
        <v>91</v>
      </c>
      <c r="D42" s="1027" t="s">
        <v>89</v>
      </c>
      <c r="E42" s="1028">
        <v>36</v>
      </c>
      <c r="F42" s="1029">
        <v>497</v>
      </c>
      <c r="G42" s="1013">
        <v>496</v>
      </c>
      <c r="H42" s="1013">
        <v>0</v>
      </c>
      <c r="I42" s="1013">
        <v>1297</v>
      </c>
      <c r="J42" s="1013">
        <v>200</v>
      </c>
      <c r="K42" s="1025" t="s">
        <v>491</v>
      </c>
      <c r="L42" s="1034" t="s">
        <v>487</v>
      </c>
      <c r="M42" s="579"/>
      <c r="N42" s="646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</row>
    <row r="43" spans="2:29">
      <c r="B43" s="1026">
        <v>21</v>
      </c>
      <c r="C43" s="1027" t="s">
        <v>92</v>
      </c>
      <c r="D43" s="1027" t="s">
        <v>93</v>
      </c>
      <c r="E43" s="1028">
        <v>24</v>
      </c>
      <c r="F43" s="1029">
        <v>651</v>
      </c>
      <c r="G43" s="1013">
        <v>378</v>
      </c>
      <c r="H43" s="1013">
        <v>38</v>
      </c>
      <c r="I43" s="1013">
        <v>373</v>
      </c>
      <c r="J43" s="1013">
        <v>180</v>
      </c>
      <c r="K43" s="1030" t="s">
        <v>490</v>
      </c>
      <c r="L43" s="1034" t="s">
        <v>487</v>
      </c>
      <c r="M43" s="579"/>
      <c r="N43" s="646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</row>
    <row r="44" spans="2:29" s="647" customFormat="1">
      <c r="B44" s="783">
        <v>22</v>
      </c>
      <c r="C44" s="784" t="s">
        <v>94</v>
      </c>
      <c r="D44" s="784" t="s">
        <v>67</v>
      </c>
      <c r="E44" s="785">
        <v>32</v>
      </c>
      <c r="F44" s="786">
        <v>1445</v>
      </c>
      <c r="G44" s="787">
        <v>708</v>
      </c>
      <c r="H44" s="787">
        <v>51</v>
      </c>
      <c r="I44" s="787">
        <v>678</v>
      </c>
      <c r="J44" s="787">
        <v>444</v>
      </c>
      <c r="K44" s="788" t="s">
        <v>489</v>
      </c>
      <c r="L44" s="621" t="s">
        <v>492</v>
      </c>
      <c r="M44" s="579"/>
      <c r="N44" s="579"/>
      <c r="O44" s="579"/>
      <c r="P44" s="579"/>
      <c r="Q44" s="579"/>
      <c r="R44" s="579"/>
      <c r="S44" s="579"/>
      <c r="T44" s="579"/>
      <c r="U44" s="646"/>
      <c r="V44" s="646"/>
      <c r="W44" s="646"/>
      <c r="X44" s="646"/>
      <c r="Y44" s="646"/>
      <c r="Z44" s="646"/>
      <c r="AA44" s="646"/>
      <c r="AB44" s="646"/>
      <c r="AC44" s="646"/>
    </row>
    <row r="45" spans="2:29">
      <c r="B45" s="772">
        <v>23</v>
      </c>
      <c r="C45" s="773" t="s">
        <v>95</v>
      </c>
      <c r="D45" s="773" t="s">
        <v>65</v>
      </c>
      <c r="E45" s="998">
        <v>20</v>
      </c>
      <c r="F45" s="775">
        <v>1053</v>
      </c>
      <c r="G45" s="776">
        <v>379</v>
      </c>
      <c r="H45" s="776">
        <v>64</v>
      </c>
      <c r="I45" s="776">
        <v>437</v>
      </c>
      <c r="J45" s="776">
        <v>305</v>
      </c>
      <c r="K45" s="698" t="s">
        <v>494</v>
      </c>
      <c r="L45" s="621" t="s">
        <v>492</v>
      </c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</row>
    <row r="46" spans="2:29">
      <c r="B46" s="756">
        <v>24</v>
      </c>
      <c r="C46" s="757" t="s">
        <v>96</v>
      </c>
      <c r="D46" s="757" t="s">
        <v>67</v>
      </c>
      <c r="E46" s="758">
        <v>36</v>
      </c>
      <c r="F46" s="759">
        <v>2231</v>
      </c>
      <c r="G46" s="760">
        <v>781</v>
      </c>
      <c r="H46" s="760">
        <v>65</v>
      </c>
      <c r="I46" s="760">
        <v>644</v>
      </c>
      <c r="J46" s="760">
        <v>435</v>
      </c>
      <c r="K46" s="788" t="s">
        <v>489</v>
      </c>
      <c r="L46" s="621" t="s">
        <v>492</v>
      </c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.75" customHeight="1">
      <c r="B47" s="839"/>
      <c r="C47" s="700"/>
      <c r="D47" s="701"/>
      <c r="E47" s="701"/>
      <c r="F47" s="224">
        <f>SUM(F24:F46)</f>
        <v>31723</v>
      </c>
      <c r="G47" s="224">
        <f>SUM(G23:G46)</f>
        <v>15213</v>
      </c>
      <c r="H47" s="840"/>
      <c r="I47" s="841"/>
      <c r="J47" s="840"/>
      <c r="K47" s="839"/>
      <c r="L47" s="621" t="s">
        <v>492</v>
      </c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" customHeight="1">
      <c r="B48" s="839"/>
      <c r="C48" s="1343"/>
      <c r="D48" s="1343"/>
      <c r="E48" s="1343"/>
      <c r="F48" s="842"/>
      <c r="G48" s="208">
        <f>ROUNDUP(G47,-1)</f>
        <v>15220</v>
      </c>
      <c r="H48" s="842"/>
      <c r="I48" s="843"/>
      <c r="J48" s="839"/>
      <c r="K48" s="839"/>
      <c r="L48" s="621" t="s">
        <v>492</v>
      </c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8.75" customHeight="1">
      <c r="B49" s="839"/>
      <c r="C49" s="839"/>
      <c r="D49" s="842"/>
      <c r="E49" s="842"/>
      <c r="F49" s="842"/>
      <c r="G49"/>
      <c r="H49" s="842"/>
      <c r="I49" s="842"/>
      <c r="J49" s="839"/>
      <c r="K49" s="83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5" customHeight="1">
      <c r="B50" s="844"/>
      <c r="C50" s="844"/>
      <c r="D50" s="844"/>
      <c r="E50" s="844"/>
      <c r="F50" s="844"/>
      <c r="G50" s="844"/>
      <c r="H50" s="844"/>
      <c r="I50" s="844"/>
      <c r="J50" s="844"/>
      <c r="K50" s="845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>
      <c r="B51" s="844"/>
      <c r="C51" s="844"/>
      <c r="D51" s="844"/>
      <c r="E51" s="844"/>
      <c r="F51" s="844"/>
      <c r="G51" s="844"/>
      <c r="H51" s="844"/>
      <c r="I51" s="844"/>
      <c r="J51" s="844"/>
      <c r="K51" s="845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25.9" customHeight="1">
      <c r="B52" s="844"/>
      <c r="C52" s="1252" t="s">
        <v>498</v>
      </c>
      <c r="D52" s="1291"/>
      <c r="E52" s="1291"/>
      <c r="F52" s="1291"/>
      <c r="G52" s="1291"/>
      <c r="H52" s="1291"/>
      <c r="I52" s="1291"/>
      <c r="J52" s="1291"/>
      <c r="K52" s="1292"/>
      <c r="L52" s="579"/>
      <c r="M52" s="621"/>
      <c r="N52" s="621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39.6">
      <c r="B53" s="179" t="s">
        <v>156</v>
      </c>
      <c r="C53" s="179" t="s">
        <v>31</v>
      </c>
      <c r="D53" s="180" t="s">
        <v>32</v>
      </c>
      <c r="E53" s="180" t="s">
        <v>33</v>
      </c>
      <c r="F53" s="180" t="s">
        <v>34</v>
      </c>
      <c r="G53" s="180" t="s">
        <v>35</v>
      </c>
      <c r="H53" s="180" t="s">
        <v>37</v>
      </c>
      <c r="I53" s="182" t="s">
        <v>38</v>
      </c>
      <c r="J53" s="182" t="s">
        <v>39</v>
      </c>
      <c r="K53" s="183" t="s">
        <v>40</v>
      </c>
      <c r="L53" s="579"/>
      <c r="O53" s="621"/>
      <c r="P53" s="621"/>
      <c r="Q53" s="621"/>
      <c r="R53" s="621"/>
      <c r="S53" s="621"/>
      <c r="T53" s="621"/>
      <c r="U53" s="579"/>
      <c r="V53" s="579"/>
      <c r="W53" s="579"/>
      <c r="X53" s="579"/>
      <c r="Y53" s="579"/>
      <c r="Z53" s="579"/>
      <c r="AA53" s="579"/>
      <c r="AB53" s="579"/>
      <c r="AC53" s="579"/>
    </row>
    <row r="54" spans="2:29">
      <c r="B54" s="263">
        <v>1</v>
      </c>
      <c r="C54" s="253" t="s">
        <v>98</v>
      </c>
      <c r="D54" s="254" t="s">
        <v>99</v>
      </c>
      <c r="E54" s="255">
        <v>36</v>
      </c>
      <c r="F54" s="197">
        <v>1717</v>
      </c>
      <c r="G54" s="197">
        <v>996</v>
      </c>
      <c r="H54" s="197">
        <v>42</v>
      </c>
      <c r="I54" s="255">
        <v>533</v>
      </c>
      <c r="J54" s="255">
        <v>300</v>
      </c>
      <c r="K54" s="788"/>
      <c r="L54" s="621" t="s">
        <v>492</v>
      </c>
      <c r="M54" s="602"/>
      <c r="N54" s="602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8.75" customHeight="1">
      <c r="B55" s="210">
        <v>2</v>
      </c>
      <c r="C55" s="216" t="s">
        <v>100</v>
      </c>
      <c r="D55" s="192" t="s">
        <v>101</v>
      </c>
      <c r="E55" s="193">
        <v>36</v>
      </c>
      <c r="F55" s="194">
        <v>814</v>
      </c>
      <c r="G55" s="194">
        <v>812</v>
      </c>
      <c r="H55" s="194">
        <v>0</v>
      </c>
      <c r="I55" s="193">
        <v>379</v>
      </c>
      <c r="J55" s="193">
        <v>181</v>
      </c>
      <c r="K55" s="846"/>
      <c r="L55" s="621" t="s">
        <v>492</v>
      </c>
      <c r="M55" s="621"/>
      <c r="N55" s="621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 ht="15" customHeight="1">
      <c r="B56" s="210">
        <v>3</v>
      </c>
      <c r="C56" s="216" t="s">
        <v>104</v>
      </c>
      <c r="D56" s="192" t="s">
        <v>99</v>
      </c>
      <c r="E56" s="193">
        <v>24</v>
      </c>
      <c r="F56" s="194">
        <v>857</v>
      </c>
      <c r="G56" s="194">
        <v>317</v>
      </c>
      <c r="H56" s="194">
        <v>63</v>
      </c>
      <c r="I56" s="193">
        <v>362</v>
      </c>
      <c r="J56" s="193">
        <v>252</v>
      </c>
      <c r="K56" s="846"/>
      <c r="L56" s="621" t="s">
        <v>492</v>
      </c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>
      <c r="B57" s="210">
        <v>4</v>
      </c>
      <c r="C57" s="216" t="s">
        <v>106</v>
      </c>
      <c r="D57" s="192" t="s">
        <v>103</v>
      </c>
      <c r="E57" s="193">
        <v>28</v>
      </c>
      <c r="F57" s="194">
        <v>764</v>
      </c>
      <c r="G57" s="194">
        <v>565</v>
      </c>
      <c r="H57" s="194">
        <v>26</v>
      </c>
      <c r="I57" s="193">
        <v>991</v>
      </c>
      <c r="J57" s="193">
        <v>348</v>
      </c>
      <c r="K57" s="782"/>
      <c r="L57" s="621" t="s">
        <v>492</v>
      </c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>
      <c r="B58" s="210">
        <v>5</v>
      </c>
      <c r="C58" s="216" t="s">
        <v>107</v>
      </c>
      <c r="D58" s="192" t="s">
        <v>103</v>
      </c>
      <c r="E58" s="193">
        <v>28</v>
      </c>
      <c r="F58" s="194">
        <v>880</v>
      </c>
      <c r="G58" s="194">
        <v>260</v>
      </c>
      <c r="H58" s="194">
        <v>70</v>
      </c>
      <c r="I58" s="193">
        <v>292</v>
      </c>
      <c r="J58" s="193">
        <v>140</v>
      </c>
      <c r="K58" s="1035"/>
      <c r="L58" s="621" t="s">
        <v>492</v>
      </c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 ht="15" customHeight="1">
      <c r="B59" s="210">
        <v>6</v>
      </c>
      <c r="C59" s="216" t="s">
        <v>109</v>
      </c>
      <c r="D59" s="192" t="s">
        <v>110</v>
      </c>
      <c r="E59" s="193">
        <v>28</v>
      </c>
      <c r="F59" s="194">
        <v>1209</v>
      </c>
      <c r="G59" s="194">
        <v>568</v>
      </c>
      <c r="H59" s="194">
        <v>53</v>
      </c>
      <c r="I59" s="193">
        <v>433</v>
      </c>
      <c r="J59" s="193">
        <v>220</v>
      </c>
      <c r="K59" s="846"/>
      <c r="L59" s="621" t="s">
        <v>492</v>
      </c>
      <c r="M59" s="621"/>
      <c r="N59" s="621"/>
      <c r="O59" s="621"/>
      <c r="P59" s="621"/>
      <c r="Q59" s="621"/>
      <c r="R59" s="621"/>
      <c r="S59" s="621"/>
      <c r="T59" s="62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>
      <c r="B60" s="210">
        <v>7</v>
      </c>
      <c r="C60" s="216" t="s">
        <v>111</v>
      </c>
      <c r="D60" s="192" t="s">
        <v>99</v>
      </c>
      <c r="E60" s="193">
        <v>36</v>
      </c>
      <c r="F60" s="194">
        <v>2807</v>
      </c>
      <c r="G60" s="194">
        <v>1263</v>
      </c>
      <c r="H60" s="194">
        <v>55</v>
      </c>
      <c r="I60" s="193">
        <v>415</v>
      </c>
      <c r="J60" s="193">
        <v>348</v>
      </c>
      <c r="K60" s="846"/>
      <c r="L60" s="621" t="s">
        <v>492</v>
      </c>
      <c r="M60" s="621"/>
      <c r="N60" s="871"/>
      <c r="O60" s="871"/>
      <c r="P60" s="871"/>
      <c r="Q60" s="871"/>
      <c r="R60" s="871"/>
      <c r="S60" s="871"/>
      <c r="T60" s="871"/>
      <c r="U60" s="621"/>
      <c r="V60" s="621"/>
      <c r="W60" s="621"/>
      <c r="X60" s="621"/>
      <c r="Y60" s="621"/>
      <c r="Z60" s="621"/>
      <c r="AA60" s="621"/>
      <c r="AB60" s="621"/>
      <c r="AC60" s="621"/>
    </row>
    <row r="61" spans="2:29">
      <c r="B61" s="210">
        <v>8</v>
      </c>
      <c r="C61" s="216" t="s">
        <v>112</v>
      </c>
      <c r="D61" s="192" t="s">
        <v>103</v>
      </c>
      <c r="E61" s="193">
        <v>56</v>
      </c>
      <c r="F61" s="194">
        <v>6056</v>
      </c>
      <c r="G61" s="194">
        <v>5814</v>
      </c>
      <c r="H61" s="194">
        <v>4</v>
      </c>
      <c r="I61" s="193">
        <v>421</v>
      </c>
      <c r="J61" s="193">
        <v>580</v>
      </c>
      <c r="K61" s="846"/>
      <c r="L61" s="621" t="s">
        <v>492</v>
      </c>
      <c r="M61" s="621"/>
      <c r="N61" s="873"/>
      <c r="O61" s="873"/>
      <c r="P61" s="873"/>
      <c r="Q61" s="873"/>
      <c r="R61" s="873"/>
      <c r="S61" s="873"/>
      <c r="T61" s="873"/>
      <c r="U61" s="871"/>
      <c r="V61" s="871"/>
      <c r="W61" s="871"/>
      <c r="X61" s="871"/>
      <c r="Y61" s="871"/>
      <c r="Z61" s="871"/>
      <c r="AA61" s="871"/>
      <c r="AB61" s="621"/>
      <c r="AC61" s="621"/>
    </row>
    <row r="62" spans="2:29">
      <c r="B62" s="210">
        <v>9</v>
      </c>
      <c r="C62" s="216" t="s">
        <v>113</v>
      </c>
      <c r="D62" s="192" t="s">
        <v>103</v>
      </c>
      <c r="E62" s="193">
        <v>36</v>
      </c>
      <c r="F62" s="194">
        <v>1960</v>
      </c>
      <c r="G62" s="194">
        <v>1647</v>
      </c>
      <c r="H62" s="194">
        <v>16</v>
      </c>
      <c r="I62" s="193">
        <v>511</v>
      </c>
      <c r="J62" s="193">
        <v>363</v>
      </c>
      <c r="K62" s="846"/>
      <c r="L62" s="621" t="s">
        <v>492</v>
      </c>
      <c r="M62" s="621"/>
      <c r="N62" s="872"/>
      <c r="O62" s="872"/>
      <c r="P62" s="872"/>
      <c r="Q62" s="872"/>
      <c r="R62" s="872"/>
      <c r="S62" s="872"/>
      <c r="T62" s="872"/>
      <c r="U62" s="873"/>
      <c r="V62" s="873"/>
      <c r="W62" s="873"/>
      <c r="X62" s="873"/>
      <c r="Y62" s="873"/>
      <c r="Z62" s="873"/>
      <c r="AA62" s="873"/>
      <c r="AB62" s="870"/>
      <c r="AC62" s="621"/>
    </row>
    <row r="63" spans="2:29">
      <c r="B63" s="263">
        <v>10</v>
      </c>
      <c r="C63" s="216" t="s">
        <v>114</v>
      </c>
      <c r="D63" s="192" t="s">
        <v>99</v>
      </c>
      <c r="E63" s="193">
        <v>20</v>
      </c>
      <c r="F63" s="194">
        <v>848</v>
      </c>
      <c r="G63" s="194">
        <v>756</v>
      </c>
      <c r="H63" s="194">
        <v>11</v>
      </c>
      <c r="I63" s="193">
        <v>359</v>
      </c>
      <c r="J63" s="193">
        <v>560</v>
      </c>
      <c r="K63" s="846"/>
      <c r="L63" s="621" t="s">
        <v>492</v>
      </c>
      <c r="M63" s="621"/>
      <c r="N63" s="621"/>
      <c r="O63" s="621"/>
      <c r="P63" s="621"/>
      <c r="Q63" s="621"/>
      <c r="R63" s="621"/>
      <c r="S63" s="621"/>
      <c r="T63" s="621"/>
      <c r="U63" s="872"/>
      <c r="V63" s="872"/>
      <c r="W63" s="872"/>
      <c r="X63" s="872"/>
      <c r="Y63" s="872"/>
      <c r="Z63" s="872"/>
      <c r="AA63" s="872"/>
      <c r="AB63" s="621"/>
      <c r="AC63" s="621"/>
    </row>
    <row r="64" spans="2:29">
      <c r="B64" s="210">
        <v>11</v>
      </c>
      <c r="C64" s="216" t="s">
        <v>115</v>
      </c>
      <c r="D64" s="192" t="s">
        <v>105</v>
      </c>
      <c r="E64" s="193">
        <v>40</v>
      </c>
      <c r="F64" s="194">
        <v>2319</v>
      </c>
      <c r="G64" s="194">
        <v>1320</v>
      </c>
      <c r="H64" s="194">
        <v>43</v>
      </c>
      <c r="I64" s="193">
        <v>515</v>
      </c>
      <c r="J64" s="193">
        <v>300</v>
      </c>
      <c r="K64" s="846"/>
      <c r="L64" s="621" t="s">
        <v>492</v>
      </c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>
      <c r="B65" s="210">
        <v>12</v>
      </c>
      <c r="C65" s="253" t="s">
        <v>116</v>
      </c>
      <c r="D65" s="254" t="s">
        <v>117</v>
      </c>
      <c r="E65" s="255">
        <v>24</v>
      </c>
      <c r="F65" s="197">
        <v>1146</v>
      </c>
      <c r="G65" s="197">
        <v>550</v>
      </c>
      <c r="H65" s="197">
        <v>52</v>
      </c>
      <c r="I65" s="255">
        <v>633</v>
      </c>
      <c r="J65" s="255">
        <v>261</v>
      </c>
      <c r="K65" s="990"/>
      <c r="L65" s="621" t="s">
        <v>492</v>
      </c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>
      <c r="B66" s="210">
        <v>13</v>
      </c>
      <c r="C66" s="216" t="s">
        <v>119</v>
      </c>
      <c r="D66" s="192" t="s">
        <v>103</v>
      </c>
      <c r="E66" s="193">
        <v>28</v>
      </c>
      <c r="F66" s="194">
        <v>745</v>
      </c>
      <c r="G66" s="194">
        <v>454</v>
      </c>
      <c r="H66" s="194">
        <v>39</v>
      </c>
      <c r="I66" s="193">
        <v>355</v>
      </c>
      <c r="J66" s="193">
        <v>203</v>
      </c>
      <c r="K66" s="846"/>
      <c r="L66" s="621" t="s">
        <v>492</v>
      </c>
      <c r="M66" s="621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>
      <c r="B67" s="210">
        <v>14</v>
      </c>
      <c r="C67" s="216" t="s">
        <v>120</v>
      </c>
      <c r="D67" s="192" t="s">
        <v>101</v>
      </c>
      <c r="E67" s="193">
        <v>20</v>
      </c>
      <c r="F67" s="194">
        <v>400</v>
      </c>
      <c r="G67" s="194">
        <v>188</v>
      </c>
      <c r="H67" s="194">
        <v>53</v>
      </c>
      <c r="I67" s="193">
        <v>527</v>
      </c>
      <c r="J67" s="193">
        <v>104</v>
      </c>
      <c r="K67" s="846"/>
      <c r="L67" s="621" t="s">
        <v>492</v>
      </c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>
      <c r="B68" s="210">
        <v>15</v>
      </c>
      <c r="C68" s="216" t="s">
        <v>121</v>
      </c>
      <c r="D68" s="192" t="s">
        <v>105</v>
      </c>
      <c r="E68" s="193">
        <v>24</v>
      </c>
      <c r="F68" s="194">
        <v>233</v>
      </c>
      <c r="G68" s="194">
        <v>192</v>
      </c>
      <c r="H68" s="194">
        <v>18</v>
      </c>
      <c r="I68" s="193">
        <v>292</v>
      </c>
      <c r="J68" s="193">
        <v>130</v>
      </c>
      <c r="K68" s="846"/>
      <c r="L68" s="621" t="s">
        <v>492</v>
      </c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>
      <c r="B69" s="210">
        <v>16</v>
      </c>
      <c r="C69" s="253" t="s">
        <v>122</v>
      </c>
      <c r="D69" s="254" t="s">
        <v>110</v>
      </c>
      <c r="E69" s="255">
        <v>24</v>
      </c>
      <c r="F69" s="197">
        <v>1144</v>
      </c>
      <c r="G69" s="197">
        <v>1036</v>
      </c>
      <c r="H69" s="197">
        <v>9</v>
      </c>
      <c r="I69" s="255">
        <v>583</v>
      </c>
      <c r="J69" s="255">
        <v>530</v>
      </c>
      <c r="K69" s="779"/>
      <c r="L69" s="621" t="s">
        <v>492</v>
      </c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>
      <c r="B70" s="210">
        <v>17</v>
      </c>
      <c r="C70" s="216" t="s">
        <v>123</v>
      </c>
      <c r="D70" s="192" t="s">
        <v>124</v>
      </c>
      <c r="E70" s="193">
        <v>24</v>
      </c>
      <c r="F70" s="194">
        <v>948</v>
      </c>
      <c r="G70" s="194">
        <v>313</v>
      </c>
      <c r="H70" s="194">
        <v>67</v>
      </c>
      <c r="I70" s="193">
        <v>975</v>
      </c>
      <c r="J70" s="193">
        <v>304</v>
      </c>
      <c r="K70" s="846"/>
      <c r="L70" s="621" t="s">
        <v>492</v>
      </c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 ht="15" customHeight="1">
      <c r="B71" s="222">
        <v>18</v>
      </c>
      <c r="C71" s="218" t="s">
        <v>127</v>
      </c>
      <c r="D71" s="219" t="s">
        <v>101</v>
      </c>
      <c r="E71" s="220">
        <v>36</v>
      </c>
      <c r="F71" s="221">
        <v>3083</v>
      </c>
      <c r="G71" s="221">
        <v>894</v>
      </c>
      <c r="H71" s="221">
        <v>71</v>
      </c>
      <c r="I71" s="220">
        <v>360</v>
      </c>
      <c r="J71" s="220">
        <v>220</v>
      </c>
      <c r="K71" s="847" t="s">
        <v>235</v>
      </c>
      <c r="L71" s="1036" t="s">
        <v>487</v>
      </c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>
      <c r="B72" s="210">
        <v>19</v>
      </c>
      <c r="C72" s="216" t="s">
        <v>128</v>
      </c>
      <c r="D72" s="192" t="s">
        <v>105</v>
      </c>
      <c r="E72" s="193">
        <v>24</v>
      </c>
      <c r="F72" s="194">
        <v>743</v>
      </c>
      <c r="G72" s="194">
        <v>358</v>
      </c>
      <c r="H72" s="194">
        <v>52</v>
      </c>
      <c r="I72" s="193">
        <v>303</v>
      </c>
      <c r="J72" s="193">
        <v>190</v>
      </c>
      <c r="K72" s="846"/>
      <c r="L72" s="621" t="s">
        <v>492</v>
      </c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 ht="16.5" customHeight="1">
      <c r="B73" s="222">
        <v>20</v>
      </c>
      <c r="C73" s="218" t="s">
        <v>129</v>
      </c>
      <c r="D73" s="219" t="s">
        <v>99</v>
      </c>
      <c r="E73" s="220">
        <v>20</v>
      </c>
      <c r="F73" s="221">
        <v>700</v>
      </c>
      <c r="G73" s="221"/>
      <c r="H73" s="221">
        <v>39</v>
      </c>
      <c r="I73" s="220">
        <v>345</v>
      </c>
      <c r="J73" s="220">
        <v>100</v>
      </c>
      <c r="K73" s="848" t="s">
        <v>68</v>
      </c>
      <c r="L73" s="1036" t="s">
        <v>68</v>
      </c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15" customHeight="1">
      <c r="B74" s="222">
        <v>21</v>
      </c>
      <c r="C74" s="218" t="s">
        <v>130</v>
      </c>
      <c r="D74" s="219" t="s">
        <v>105</v>
      </c>
      <c r="E74" s="220">
        <v>16</v>
      </c>
      <c r="F74" s="221">
        <v>791</v>
      </c>
      <c r="G74" s="220"/>
      <c r="H74" s="221">
        <v>57</v>
      </c>
      <c r="I74" s="220">
        <v>309</v>
      </c>
      <c r="J74" s="220">
        <v>182</v>
      </c>
      <c r="K74" s="848" t="s">
        <v>68</v>
      </c>
      <c r="L74" s="1036" t="s">
        <v>68</v>
      </c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18" customHeight="1">
      <c r="B75" s="222">
        <v>22</v>
      </c>
      <c r="C75" s="218" t="s">
        <v>131</v>
      </c>
      <c r="D75" s="219" t="s">
        <v>110</v>
      </c>
      <c r="E75" s="220">
        <v>24</v>
      </c>
      <c r="F75" s="221">
        <v>878</v>
      </c>
      <c r="G75" s="220"/>
      <c r="H75" s="221">
        <v>51</v>
      </c>
      <c r="I75" s="220">
        <v>486</v>
      </c>
      <c r="J75" s="220">
        <v>377</v>
      </c>
      <c r="K75" s="848" t="s">
        <v>68</v>
      </c>
      <c r="L75" s="1036" t="s">
        <v>68</v>
      </c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6.45">
      <c r="B76" s="210">
        <v>23</v>
      </c>
      <c r="C76" s="216" t="s">
        <v>132</v>
      </c>
      <c r="D76" s="192" t="s">
        <v>133</v>
      </c>
      <c r="E76" s="193">
        <v>24</v>
      </c>
      <c r="F76" s="194">
        <v>530</v>
      </c>
      <c r="G76" s="194">
        <v>297</v>
      </c>
      <c r="H76" s="194">
        <v>44</v>
      </c>
      <c r="I76" s="193">
        <v>299</v>
      </c>
      <c r="J76" s="193">
        <v>145</v>
      </c>
      <c r="K76" s="846"/>
      <c r="L76" s="621" t="s">
        <v>492</v>
      </c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21" customHeight="1">
      <c r="B77" s="210">
        <v>24</v>
      </c>
      <c r="C77" s="216" t="s">
        <v>134</v>
      </c>
      <c r="D77" s="192" t="s">
        <v>135</v>
      </c>
      <c r="E77" s="193">
        <v>20</v>
      </c>
      <c r="F77" s="194">
        <v>410</v>
      </c>
      <c r="G77" s="194">
        <v>197</v>
      </c>
      <c r="H77" s="194">
        <v>52</v>
      </c>
      <c r="I77" s="193">
        <v>1272</v>
      </c>
      <c r="J77" s="193">
        <v>493</v>
      </c>
      <c r="K77" s="848"/>
      <c r="L77" s="621" t="s">
        <v>492</v>
      </c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18.75" customHeight="1">
      <c r="B78" s="263">
        <v>25</v>
      </c>
      <c r="C78" s="253" t="s">
        <v>136</v>
      </c>
      <c r="D78" s="254" t="s">
        <v>105</v>
      </c>
      <c r="E78" s="255">
        <v>40</v>
      </c>
      <c r="F78" s="197">
        <v>2484</v>
      </c>
      <c r="G78" s="197">
        <v>1195</v>
      </c>
      <c r="H78" s="197">
        <v>52</v>
      </c>
      <c r="I78" s="197">
        <v>329</v>
      </c>
      <c r="J78" s="197">
        <v>340</v>
      </c>
      <c r="K78" s="779"/>
      <c r="L78" s="621" t="s">
        <v>492</v>
      </c>
      <c r="M78" s="579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" customHeight="1">
      <c r="B79" s="263">
        <v>26</v>
      </c>
      <c r="C79" s="253" t="s">
        <v>137</v>
      </c>
      <c r="D79" s="254" t="s">
        <v>110</v>
      </c>
      <c r="E79" s="255">
        <v>40</v>
      </c>
      <c r="F79" s="867">
        <v>2664</v>
      </c>
      <c r="G79" s="867">
        <v>1039</v>
      </c>
      <c r="H79" s="197">
        <v>61</v>
      </c>
      <c r="I79" s="255">
        <v>347</v>
      </c>
      <c r="J79" s="255">
        <v>260</v>
      </c>
      <c r="K79" s="779"/>
      <c r="L79" s="621" t="s">
        <v>492</v>
      </c>
      <c r="M79" s="579"/>
      <c r="N79" s="579"/>
      <c r="O79" s="579"/>
      <c r="P79" s="579"/>
      <c r="Q79" s="579"/>
      <c r="R79" s="579"/>
      <c r="S79" s="579"/>
      <c r="T79" s="579"/>
      <c r="U79" s="621"/>
      <c r="V79" s="621"/>
      <c r="W79" s="621"/>
      <c r="X79" s="621"/>
      <c r="Y79" s="621"/>
      <c r="Z79" s="621"/>
      <c r="AA79" s="621"/>
      <c r="AB79" s="621"/>
      <c r="AC79" s="621"/>
    </row>
    <row r="80" spans="2:29" ht="21.75" customHeight="1">
      <c r="B80"/>
      <c r="C80" s="1344"/>
      <c r="D80" s="1344"/>
      <c r="E80" s="1344"/>
      <c r="F80" s="850">
        <f>SUM(F54:F79)</f>
        <v>37130</v>
      </c>
      <c r="G80" s="851">
        <f>SUM(G54:G79)</f>
        <v>21031</v>
      </c>
      <c r="H80" s="225"/>
      <c r="I80" s="408"/>
      <c r="J80" s="225"/>
      <c r="K80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>
      <c r="B81"/>
      <c r="C81"/>
      <c r="D81"/>
      <c r="E81"/>
      <c r="F81" s="1"/>
      <c r="G81" s="852">
        <f>ROUNDUP(G80,-1)</f>
        <v>21040</v>
      </c>
      <c r="H81" s="1"/>
      <c r="I81"/>
      <c r="J81" s="225"/>
      <c r="K81"/>
      <c r="L81" s="579"/>
      <c r="M81" s="579"/>
      <c r="N81" s="660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21" customHeight="1">
      <c r="B82"/>
      <c r="C82"/>
      <c r="D82" s="1"/>
      <c r="E82" s="1"/>
      <c r="F82" s="1"/>
      <c r="G82" s="1"/>
      <c r="H82" s="1"/>
      <c r="I82" s="1"/>
      <c r="J82" s="1"/>
      <c r="K82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18.95" customHeight="1">
      <c r="B83"/>
      <c r="C83" s="1252" t="s">
        <v>499</v>
      </c>
      <c r="D83" s="1291"/>
      <c r="E83" s="1291"/>
      <c r="F83" s="1291"/>
      <c r="G83" s="1291"/>
      <c r="H83" s="1291"/>
      <c r="I83" s="1291"/>
      <c r="J83" s="1291"/>
      <c r="K83" s="1292"/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28.9" customHeight="1">
      <c r="B84" s="179" t="s">
        <v>156</v>
      </c>
      <c r="C84" s="803" t="s">
        <v>31</v>
      </c>
      <c r="D84" s="804" t="s">
        <v>32</v>
      </c>
      <c r="E84" s="804" t="s">
        <v>33</v>
      </c>
      <c r="F84" s="795" t="s">
        <v>34</v>
      </c>
      <c r="G84" s="795" t="s">
        <v>35</v>
      </c>
      <c r="H84" s="804" t="s">
        <v>37</v>
      </c>
      <c r="I84" s="806" t="s">
        <v>38</v>
      </c>
      <c r="J84" s="806" t="s">
        <v>39</v>
      </c>
      <c r="K84" s="226" t="s">
        <v>40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29.45">
      <c r="B85" s="766">
        <v>1</v>
      </c>
      <c r="C85" s="767" t="s">
        <v>139</v>
      </c>
      <c r="D85" s="768" t="s">
        <v>140</v>
      </c>
      <c r="E85" s="769">
        <v>20</v>
      </c>
      <c r="F85" s="770">
        <v>406</v>
      </c>
      <c r="G85" s="770">
        <v>130</v>
      </c>
      <c r="H85" s="769">
        <v>68</v>
      </c>
      <c r="I85" s="771">
        <v>308</v>
      </c>
      <c r="J85" s="769">
        <v>180</v>
      </c>
      <c r="K85" s="294" t="s">
        <v>500</v>
      </c>
      <c r="L85" s="579" t="s">
        <v>492</v>
      </c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>
      <c r="B86" s="853">
        <v>2</v>
      </c>
      <c r="C86" s="229" t="s">
        <v>142</v>
      </c>
      <c r="D86" s="230" t="s">
        <v>143</v>
      </c>
      <c r="E86" s="193">
        <v>24</v>
      </c>
      <c r="F86" s="188">
        <v>432</v>
      </c>
      <c r="G86" s="188">
        <v>417</v>
      </c>
      <c r="H86" s="193">
        <v>4</v>
      </c>
      <c r="I86" s="432">
        <v>609</v>
      </c>
      <c r="J86" s="187">
        <v>270</v>
      </c>
      <c r="K86" s="238" t="s">
        <v>489</v>
      </c>
      <c r="L86" s="579" t="s">
        <v>492</v>
      </c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>
      <c r="B87" s="853">
        <v>3</v>
      </c>
      <c r="C87" s="229" t="s">
        <v>144</v>
      </c>
      <c r="D87" s="230" t="s">
        <v>140</v>
      </c>
      <c r="E87" s="193">
        <v>28</v>
      </c>
      <c r="F87" s="194">
        <v>1391</v>
      </c>
      <c r="G87" s="194">
        <v>1043</v>
      </c>
      <c r="H87" s="193">
        <v>25</v>
      </c>
      <c r="I87" s="432">
        <v>1028</v>
      </c>
      <c r="J87" s="187">
        <v>990</v>
      </c>
      <c r="K87" s="238" t="s">
        <v>489</v>
      </c>
      <c r="L87" s="579" t="s">
        <v>492</v>
      </c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>
      <c r="B88" s="702">
        <v>4</v>
      </c>
      <c r="C88" s="703" t="s">
        <v>145</v>
      </c>
      <c r="D88" s="704" t="s">
        <v>146</v>
      </c>
      <c r="E88" s="705">
        <v>40</v>
      </c>
      <c r="F88" s="706">
        <v>2208</v>
      </c>
      <c r="G88" s="706">
        <v>1987</v>
      </c>
      <c r="H88" s="407">
        <v>10</v>
      </c>
      <c r="I88" s="707">
        <v>388</v>
      </c>
      <c r="J88" s="708">
        <v>420</v>
      </c>
      <c r="K88" s="203" t="s">
        <v>489</v>
      </c>
      <c r="L88" s="579" t="s">
        <v>492</v>
      </c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>
      <c r="B89"/>
      <c r="C89" s="204"/>
      <c r="D89" s="205"/>
      <c r="E89" s="205"/>
      <c r="F89" s="850">
        <v>4893.8756749777749</v>
      </c>
      <c r="G89" s="851">
        <f>SUM(G85:G88)</f>
        <v>3577</v>
      </c>
      <c r="H89" s="207"/>
      <c r="I89" s="207"/>
      <c r="J89" s="207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>
      <c r="B90"/>
      <c r="C90" s="1342"/>
      <c r="D90" s="1342"/>
      <c r="E90" s="1342"/>
      <c r="F90" s="1"/>
      <c r="G90" s="852">
        <f>ROUNDUP(G89,-1)</f>
        <v>3580</v>
      </c>
      <c r="H90" s="1"/>
      <c r="I90"/>
      <c r="J90" s="1"/>
      <c r="K90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5" customHeigh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>
      <c r="B95" s="579"/>
      <c r="C95" s="579"/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>
      <c r="B96" s="579"/>
      <c r="C96" s="579"/>
      <c r="D96" s="579"/>
      <c r="E96" s="579"/>
      <c r="F96" s="579"/>
      <c r="G96" s="660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  <row r="1000" spans="2:29">
      <c r="B1000" s="579"/>
      <c r="C1000" s="579"/>
      <c r="D1000" s="579"/>
      <c r="E1000" s="579"/>
      <c r="F1000" s="579"/>
      <c r="G1000" s="579"/>
      <c r="H1000" s="579"/>
      <c r="I1000" s="579"/>
      <c r="J1000" s="579"/>
      <c r="K1000" s="579"/>
      <c r="L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</row>
  </sheetData>
  <mergeCells count="9">
    <mergeCell ref="C80:E80"/>
    <mergeCell ref="C83:K83"/>
    <mergeCell ref="C90:E90"/>
    <mergeCell ref="C1:K1"/>
    <mergeCell ref="C3:K3"/>
    <mergeCell ref="D18:E18"/>
    <mergeCell ref="C21:K21"/>
    <mergeCell ref="C48:E48"/>
    <mergeCell ref="C52:K52"/>
  </mergeCells>
  <pageMargins left="0.7" right="0.7" top="0.75" bottom="0.75" header="0.3" footer="0.3"/>
  <pageSetup paperSize="9"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B81E7-7C5F-44E1-BE2F-9EEF7192DFA0}">
  <dimension ref="B1:AC1000"/>
  <sheetViews>
    <sheetView topLeftCell="B2" zoomScale="90" zoomScaleNormal="90" workbookViewId="0">
      <selection activeCell="K61" sqref="K61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8.88671875" style="580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4.44140625" style="580" customWidth="1"/>
    <col min="12" max="12" width="17.6640625" style="580" customWidth="1"/>
    <col min="13" max="13" width="8.88671875" style="580"/>
    <col min="14" max="14" width="10.109375" style="580" bestFit="1" customWidth="1"/>
    <col min="15" max="19" width="8.88671875" style="580"/>
    <col min="20" max="20" width="22.109375" style="580" customWidth="1"/>
    <col min="21" max="16384" width="9.21875" style="580"/>
  </cols>
  <sheetData>
    <row r="1" spans="2:29" ht="22.15">
      <c r="B1"/>
      <c r="C1" s="1226" t="s">
        <v>501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24.75" customHeight="1">
      <c r="B3"/>
      <c r="C3" s="1367" t="s">
        <v>502</v>
      </c>
      <c r="D3" s="1368"/>
      <c r="E3" s="1368"/>
      <c r="F3" s="1368"/>
      <c r="G3" s="1368"/>
      <c r="H3" s="1368"/>
      <c r="I3" s="1368"/>
      <c r="J3" s="1368"/>
      <c r="K3" s="136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39.6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866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>
      <c r="B5" s="1101">
        <v>1</v>
      </c>
      <c r="C5" s="818" t="s">
        <v>46</v>
      </c>
      <c r="D5" s="192" t="s">
        <v>47</v>
      </c>
      <c r="E5" s="193">
        <v>40</v>
      </c>
      <c r="F5" s="194">
        <v>1753</v>
      </c>
      <c r="G5" s="188">
        <v>1161</v>
      </c>
      <c r="H5" s="194">
        <v>34</v>
      </c>
      <c r="I5" s="194">
        <v>323</v>
      </c>
      <c r="J5" s="1099">
        <v>129</v>
      </c>
      <c r="K5" s="1109" t="s">
        <v>489</v>
      </c>
      <c r="L5" s="1100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>
      <c r="B6" s="1101">
        <v>2</v>
      </c>
      <c r="C6" s="818" t="s">
        <v>48</v>
      </c>
      <c r="D6" s="192" t="s">
        <v>47</v>
      </c>
      <c r="E6" s="193" t="s">
        <v>49</v>
      </c>
      <c r="F6" s="194">
        <v>1538</v>
      </c>
      <c r="G6" s="188">
        <v>998</v>
      </c>
      <c r="H6" s="194">
        <v>35</v>
      </c>
      <c r="I6" s="194">
        <v>310</v>
      </c>
      <c r="J6" s="194">
        <v>163</v>
      </c>
      <c r="K6" s="1110" t="s">
        <v>489</v>
      </c>
      <c r="L6" s="1100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>
      <c r="B7" s="1102">
        <v>3</v>
      </c>
      <c r="C7" s="864" t="s">
        <v>45</v>
      </c>
      <c r="D7" s="254" t="s">
        <v>44</v>
      </c>
      <c r="E7" s="255">
        <v>32</v>
      </c>
      <c r="F7" s="197">
        <v>2221</v>
      </c>
      <c r="G7" s="295">
        <v>1044</v>
      </c>
      <c r="H7" s="197">
        <v>53</v>
      </c>
      <c r="I7" s="197">
        <v>669</v>
      </c>
      <c r="J7" s="197">
        <v>249</v>
      </c>
      <c r="K7" s="1111" t="s">
        <v>489</v>
      </c>
      <c r="L7" s="1100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>
      <c r="B8" s="1101">
        <v>4</v>
      </c>
      <c r="C8" s="818" t="s">
        <v>56</v>
      </c>
      <c r="D8" s="192" t="s">
        <v>47</v>
      </c>
      <c r="E8" s="193">
        <v>44</v>
      </c>
      <c r="F8" s="194">
        <v>3857</v>
      </c>
      <c r="G8" s="188">
        <v>1662</v>
      </c>
      <c r="H8" s="194">
        <v>58</v>
      </c>
      <c r="I8" s="194">
        <v>329</v>
      </c>
      <c r="J8" s="194">
        <v>352</v>
      </c>
      <c r="K8" s="1110" t="s">
        <v>489</v>
      </c>
      <c r="L8" s="1100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>
      <c r="B9" s="1112">
        <v>5</v>
      </c>
      <c r="C9" s="1113" t="s">
        <v>57</v>
      </c>
      <c r="D9" s="199" t="s">
        <v>47</v>
      </c>
      <c r="E9" s="200">
        <v>28</v>
      </c>
      <c r="F9" s="201">
        <v>1706</v>
      </c>
      <c r="G9" s="1114">
        <v>277</v>
      </c>
      <c r="H9" s="201">
        <v>84</v>
      </c>
      <c r="I9" s="201">
        <v>377</v>
      </c>
      <c r="J9" s="201">
        <v>305</v>
      </c>
      <c r="K9" s="1115" t="s">
        <v>489</v>
      </c>
      <c r="L9" s="1100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>
      <c r="B10" s="1116">
        <v>6</v>
      </c>
      <c r="C10" s="1117" t="s">
        <v>41</v>
      </c>
      <c r="D10" s="283" t="s">
        <v>42</v>
      </c>
      <c r="E10" s="284">
        <v>28</v>
      </c>
      <c r="F10" s="278">
        <v>1706</v>
      </c>
      <c r="G10" s="278">
        <v>580</v>
      </c>
      <c r="H10" s="278">
        <v>66</v>
      </c>
      <c r="I10" s="278">
        <v>995</v>
      </c>
      <c r="J10" s="278">
        <v>494</v>
      </c>
      <c r="K10" s="445" t="s">
        <v>235</v>
      </c>
      <c r="L10" s="1100" t="s">
        <v>503</v>
      </c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>
      <c r="B11" s="1101">
        <v>7</v>
      </c>
      <c r="C11" s="815" t="s">
        <v>43</v>
      </c>
      <c r="D11" s="219" t="s">
        <v>44</v>
      </c>
      <c r="E11" s="220">
        <v>28</v>
      </c>
      <c r="F11" s="221">
        <v>1132</v>
      </c>
      <c r="G11" s="278">
        <v>566</v>
      </c>
      <c r="H11" s="221">
        <v>50</v>
      </c>
      <c r="I11" s="221">
        <v>607</v>
      </c>
      <c r="J11" s="221">
        <v>147</v>
      </c>
      <c r="K11" s="445" t="s">
        <v>235</v>
      </c>
      <c r="L11" s="1100" t="s">
        <v>503</v>
      </c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>
      <c r="B12" s="1101">
        <v>8</v>
      </c>
      <c r="C12" s="815" t="s">
        <v>373</v>
      </c>
      <c r="D12" s="219" t="s">
        <v>47</v>
      </c>
      <c r="E12" s="220">
        <v>24</v>
      </c>
      <c r="F12" s="221">
        <v>1643</v>
      </c>
      <c r="G12" s="278">
        <v>690</v>
      </c>
      <c r="H12" s="221">
        <v>58</v>
      </c>
      <c r="I12" s="221">
        <v>300</v>
      </c>
      <c r="J12" s="221">
        <v>287</v>
      </c>
      <c r="K12" s="445" t="s">
        <v>68</v>
      </c>
      <c r="L12" s="1100" t="s">
        <v>503</v>
      </c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>
      <c r="B13" s="1102">
        <v>9</v>
      </c>
      <c r="C13" s="815" t="s">
        <v>50</v>
      </c>
      <c r="D13" s="219" t="s">
        <v>47</v>
      </c>
      <c r="E13" s="220" t="s">
        <v>51</v>
      </c>
      <c r="F13" s="221">
        <v>1480</v>
      </c>
      <c r="G13" s="278">
        <v>444</v>
      </c>
      <c r="H13" s="221">
        <v>70</v>
      </c>
      <c r="I13" s="221">
        <v>762</v>
      </c>
      <c r="J13" s="221">
        <v>173</v>
      </c>
      <c r="K13" s="445" t="s">
        <v>235</v>
      </c>
      <c r="L13" s="1100" t="s">
        <v>503</v>
      </c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>
      <c r="B14" s="1101">
        <v>10</v>
      </c>
      <c r="C14" s="815" t="s">
        <v>52</v>
      </c>
      <c r="D14" s="219" t="s">
        <v>47</v>
      </c>
      <c r="E14" s="220">
        <v>40</v>
      </c>
      <c r="F14" s="221">
        <v>1652</v>
      </c>
      <c r="G14" s="278">
        <v>760</v>
      </c>
      <c r="H14" s="221">
        <v>54</v>
      </c>
      <c r="I14" s="221">
        <v>447</v>
      </c>
      <c r="J14" s="221">
        <v>159</v>
      </c>
      <c r="K14" s="445" t="s">
        <v>235</v>
      </c>
      <c r="L14" s="1100" t="s">
        <v>503</v>
      </c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21" customHeight="1">
      <c r="B15" s="1101">
        <v>11</v>
      </c>
      <c r="C15" s="815" t="s">
        <v>53</v>
      </c>
      <c r="D15" s="219" t="s">
        <v>47</v>
      </c>
      <c r="E15" s="220">
        <v>28</v>
      </c>
      <c r="F15" s="221">
        <v>1410</v>
      </c>
      <c r="G15" s="278">
        <v>663</v>
      </c>
      <c r="H15" s="221">
        <v>53.33</v>
      </c>
      <c r="I15" s="221">
        <v>430</v>
      </c>
      <c r="J15" s="221">
        <v>342</v>
      </c>
      <c r="K15" s="1103" t="s">
        <v>235</v>
      </c>
      <c r="L15" s="1118" t="s">
        <v>504</v>
      </c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>
      <c r="B16" s="1104">
        <v>12</v>
      </c>
      <c r="C16" s="1105" t="s">
        <v>54</v>
      </c>
      <c r="D16" s="258" t="s">
        <v>47</v>
      </c>
      <c r="E16" s="259" t="s">
        <v>55</v>
      </c>
      <c r="F16" s="260">
        <v>1633</v>
      </c>
      <c r="G16" s="1106">
        <v>780</v>
      </c>
      <c r="H16" s="260">
        <v>52</v>
      </c>
      <c r="I16" s="260">
        <v>492</v>
      </c>
      <c r="J16" s="260">
        <v>377</v>
      </c>
      <c r="K16" s="1107"/>
      <c r="L16" s="1108" t="s">
        <v>504</v>
      </c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>
      <c r="F17" s="224">
        <f>SUM(F5:F9)</f>
        <v>11075</v>
      </c>
      <c r="G17" s="224">
        <f>SUM(G5:G9)</f>
        <v>5142</v>
      </c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>
      <c r="F18" s="1"/>
      <c r="G18" s="208">
        <f>ROUNDUP(G17,-1)</f>
        <v>5150</v>
      </c>
      <c r="K18" s="1098"/>
      <c r="L18" s="1098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>
      <c r="B19"/>
      <c r="C19"/>
      <c r="D19" s="1"/>
      <c r="E19" s="1"/>
      <c r="F19" s="1"/>
      <c r="G19" s="1"/>
      <c r="H19" s="1"/>
      <c r="I19" s="1"/>
      <c r="J19" s="1"/>
      <c r="K1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26.25" customHeight="1">
      <c r="B20" s="303"/>
      <c r="C20" s="1252" t="s">
        <v>505</v>
      </c>
      <c r="D20" s="1291"/>
      <c r="E20" s="1291"/>
      <c r="F20" s="1291"/>
      <c r="G20" s="1291"/>
      <c r="H20" s="1291"/>
      <c r="I20" s="1291"/>
      <c r="J20" s="1291"/>
      <c r="K20" s="1292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39.6">
      <c r="B21" s="829" t="s">
        <v>156</v>
      </c>
      <c r="C21" s="830" t="s">
        <v>31</v>
      </c>
      <c r="D21" s="803" t="s">
        <v>32</v>
      </c>
      <c r="E21" s="803" t="s">
        <v>33</v>
      </c>
      <c r="F21" s="803" t="s">
        <v>34</v>
      </c>
      <c r="G21" s="803" t="s">
        <v>35</v>
      </c>
      <c r="H21" s="803" t="s">
        <v>37</v>
      </c>
      <c r="I21" s="803" t="s">
        <v>38</v>
      </c>
      <c r="J21" s="803" t="s">
        <v>39</v>
      </c>
      <c r="K21" s="868" t="s">
        <v>40</v>
      </c>
      <c r="L21" s="866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s="647" customFormat="1">
      <c r="B22" s="991">
        <v>1</v>
      </c>
      <c r="C22" s="992" t="s">
        <v>417</v>
      </c>
      <c r="D22" s="992" t="s">
        <v>418</v>
      </c>
      <c r="E22" s="993">
        <v>24</v>
      </c>
      <c r="F22" s="994">
        <v>1072</v>
      </c>
      <c r="G22" s="995">
        <v>386</v>
      </c>
      <c r="H22" s="995">
        <v>64</v>
      </c>
      <c r="I22" s="995">
        <v>521</v>
      </c>
      <c r="J22" s="995">
        <v>928</v>
      </c>
      <c r="K22" s="1130" t="s">
        <v>489</v>
      </c>
      <c r="L22" s="1034"/>
      <c r="M22" s="995">
        <v>386</v>
      </c>
      <c r="N22" s="646"/>
      <c r="O22" s="646"/>
      <c r="P22" s="646"/>
      <c r="Q22" s="646"/>
      <c r="R22" s="646"/>
      <c r="S22" s="646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</row>
    <row r="23" spans="2:29">
      <c r="B23" s="783">
        <v>2</v>
      </c>
      <c r="C23" s="784" t="s">
        <v>376</v>
      </c>
      <c r="D23" s="784" t="s">
        <v>89</v>
      </c>
      <c r="E23" s="785">
        <v>24</v>
      </c>
      <c r="F23" s="786">
        <v>1203</v>
      </c>
      <c r="G23" s="787">
        <v>412</v>
      </c>
      <c r="H23" s="787">
        <v>56</v>
      </c>
      <c r="I23" s="787">
        <v>340</v>
      </c>
      <c r="J23" s="787">
        <v>600</v>
      </c>
      <c r="K23" s="788" t="s">
        <v>489</v>
      </c>
      <c r="L23" s="1034"/>
      <c r="M23" s="787">
        <v>412</v>
      </c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>
      <c r="B24" s="783">
        <v>3</v>
      </c>
      <c r="C24" s="784" t="s">
        <v>61</v>
      </c>
      <c r="D24" s="784" t="s">
        <v>62</v>
      </c>
      <c r="E24" s="785">
        <v>28</v>
      </c>
      <c r="F24" s="786">
        <v>888</v>
      </c>
      <c r="G24" s="787">
        <v>355</v>
      </c>
      <c r="H24" s="787">
        <v>56</v>
      </c>
      <c r="I24" s="787">
        <v>782</v>
      </c>
      <c r="J24" s="787">
        <v>370</v>
      </c>
      <c r="K24" s="791" t="s">
        <v>489</v>
      </c>
      <c r="L24" s="1034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>
      <c r="B25" s="783">
        <v>4</v>
      </c>
      <c r="C25" s="784" t="s">
        <v>64</v>
      </c>
      <c r="D25" s="784" t="s">
        <v>65</v>
      </c>
      <c r="E25" s="785">
        <v>32</v>
      </c>
      <c r="F25" s="786">
        <v>2346</v>
      </c>
      <c r="G25" s="787">
        <v>1384</v>
      </c>
      <c r="H25" s="787">
        <v>41</v>
      </c>
      <c r="I25" s="787">
        <v>733</v>
      </c>
      <c r="J25" s="787">
        <v>421</v>
      </c>
      <c r="K25" s="788" t="s">
        <v>489</v>
      </c>
      <c r="L25" s="1034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>
      <c r="B26" s="783">
        <v>5</v>
      </c>
      <c r="C26" s="784" t="s">
        <v>69</v>
      </c>
      <c r="D26" s="784" t="s">
        <v>70</v>
      </c>
      <c r="E26" s="785">
        <v>28</v>
      </c>
      <c r="F26" s="786">
        <v>1419</v>
      </c>
      <c r="G26" s="787">
        <v>440</v>
      </c>
      <c r="H26" s="787">
        <v>69</v>
      </c>
      <c r="I26" s="787">
        <v>3311</v>
      </c>
      <c r="J26" s="787">
        <v>798</v>
      </c>
      <c r="K26" s="788" t="s">
        <v>489</v>
      </c>
      <c r="L26" s="1034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>
      <c r="B27" s="783">
        <v>6</v>
      </c>
      <c r="C27" s="784" t="s">
        <v>71</v>
      </c>
      <c r="D27" s="784" t="s">
        <v>72</v>
      </c>
      <c r="E27" s="785">
        <v>32</v>
      </c>
      <c r="F27" s="786">
        <v>1087</v>
      </c>
      <c r="G27" s="787">
        <v>413</v>
      </c>
      <c r="H27" s="787">
        <v>62</v>
      </c>
      <c r="I27" s="787">
        <v>3311</v>
      </c>
      <c r="J27" s="787">
        <v>750</v>
      </c>
      <c r="K27" s="791" t="s">
        <v>489</v>
      </c>
      <c r="L27" s="1034"/>
      <c r="M27" s="579"/>
      <c r="N27" s="1177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33.6">
      <c r="B28" s="991">
        <v>7</v>
      </c>
      <c r="C28" s="784" t="s">
        <v>73</v>
      </c>
      <c r="D28" s="784" t="s">
        <v>72</v>
      </c>
      <c r="E28" s="785">
        <v>44</v>
      </c>
      <c r="F28" s="786">
        <v>818</v>
      </c>
      <c r="G28" s="787">
        <v>450</v>
      </c>
      <c r="H28" s="787">
        <v>45</v>
      </c>
      <c r="I28" s="787">
        <v>3278</v>
      </c>
      <c r="J28" s="787">
        <v>406</v>
      </c>
      <c r="K28" s="791" t="s">
        <v>493</v>
      </c>
      <c r="L28" s="1034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>
      <c r="B29" s="783">
        <v>8</v>
      </c>
      <c r="C29" s="837" t="s">
        <v>74</v>
      </c>
      <c r="D29" s="837" t="s">
        <v>75</v>
      </c>
      <c r="E29" s="838">
        <v>36</v>
      </c>
      <c r="F29" s="834">
        <v>3076</v>
      </c>
      <c r="G29" s="787">
        <v>1384</v>
      </c>
      <c r="H29" s="835">
        <v>55</v>
      </c>
      <c r="I29" s="835">
        <v>1480</v>
      </c>
      <c r="J29" s="835">
        <v>840</v>
      </c>
      <c r="K29" s="836" t="s">
        <v>489</v>
      </c>
      <c r="L29" s="1034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s="1078" customFormat="1">
      <c r="B30" s="783">
        <v>9</v>
      </c>
      <c r="C30" s="837" t="s">
        <v>76</v>
      </c>
      <c r="D30" s="837" t="s">
        <v>77</v>
      </c>
      <c r="E30" s="838">
        <v>20</v>
      </c>
      <c r="F30" s="834">
        <v>715</v>
      </c>
      <c r="G30" s="835">
        <v>250</v>
      </c>
      <c r="H30" s="835">
        <v>65</v>
      </c>
      <c r="I30" s="835">
        <v>478</v>
      </c>
      <c r="J30" s="835">
        <v>160</v>
      </c>
      <c r="K30" s="819" t="s">
        <v>489</v>
      </c>
      <c r="L30" s="1034"/>
      <c r="M30" s="1095"/>
      <c r="N30" s="1095"/>
      <c r="O30" s="1095"/>
      <c r="P30" s="1095"/>
      <c r="Q30" s="1095"/>
      <c r="R30" s="1095"/>
      <c r="S30" s="1095"/>
      <c r="T30" s="1095"/>
      <c r="U30" s="1095"/>
      <c r="V30" s="1095"/>
      <c r="W30" s="1095"/>
      <c r="X30" s="1095"/>
      <c r="Y30" s="1095"/>
      <c r="Z30" s="1095"/>
      <c r="AA30" s="1095"/>
      <c r="AB30" s="1095"/>
      <c r="AC30" s="1095"/>
    </row>
    <row r="31" spans="2:29" s="1078" customFormat="1">
      <c r="B31" s="783">
        <v>10</v>
      </c>
      <c r="C31" s="837" t="s">
        <v>78</v>
      </c>
      <c r="D31" s="837" t="s">
        <v>79</v>
      </c>
      <c r="E31" s="838">
        <v>52</v>
      </c>
      <c r="F31" s="834">
        <v>1133</v>
      </c>
      <c r="G31" s="835">
        <v>1131</v>
      </c>
      <c r="H31" s="835">
        <v>0.2</v>
      </c>
      <c r="I31" s="835">
        <v>1085</v>
      </c>
      <c r="J31" s="835">
        <v>218</v>
      </c>
      <c r="K31" s="1096" t="s">
        <v>495</v>
      </c>
      <c r="L31" s="1034"/>
      <c r="M31" s="1095"/>
      <c r="N31" s="1095"/>
      <c r="O31" s="1095"/>
      <c r="P31" s="1095"/>
      <c r="Q31" s="1095"/>
      <c r="R31" s="1095"/>
      <c r="S31" s="1095"/>
      <c r="T31" s="1095"/>
      <c r="U31" s="1095"/>
      <c r="V31" s="1095"/>
      <c r="W31" s="1095"/>
      <c r="X31" s="1095"/>
      <c r="Y31" s="1095"/>
      <c r="Z31" s="1095"/>
      <c r="AA31" s="1095"/>
      <c r="AB31" s="1095"/>
      <c r="AC31" s="1095"/>
    </row>
    <row r="32" spans="2:29" s="1078" customFormat="1">
      <c r="B32" s="783">
        <v>11</v>
      </c>
      <c r="C32" s="837" t="s">
        <v>80</v>
      </c>
      <c r="D32" s="837" t="s">
        <v>81</v>
      </c>
      <c r="E32" s="838">
        <v>32</v>
      </c>
      <c r="F32" s="834">
        <v>2139</v>
      </c>
      <c r="G32" s="835">
        <v>492</v>
      </c>
      <c r="H32" s="835">
        <v>77</v>
      </c>
      <c r="I32" s="835">
        <v>1975</v>
      </c>
      <c r="J32" s="835">
        <v>667</v>
      </c>
      <c r="K32" s="1096" t="s">
        <v>489</v>
      </c>
      <c r="L32" s="1034"/>
      <c r="M32" s="1095"/>
      <c r="N32" s="1095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5"/>
      <c r="Z32" s="1095"/>
      <c r="AA32" s="1095"/>
      <c r="AB32" s="1095"/>
      <c r="AC32" s="1095"/>
    </row>
    <row r="33" spans="2:29" s="1078" customFormat="1">
      <c r="B33" s="783">
        <v>12</v>
      </c>
      <c r="C33" s="784" t="s">
        <v>82</v>
      </c>
      <c r="D33" s="784" t="s">
        <v>65</v>
      </c>
      <c r="E33" s="785">
        <v>28</v>
      </c>
      <c r="F33" s="786">
        <v>1466</v>
      </c>
      <c r="G33" s="787">
        <v>1026</v>
      </c>
      <c r="H33" s="787">
        <v>30</v>
      </c>
      <c r="I33" s="787">
        <v>350</v>
      </c>
      <c r="J33" s="787">
        <v>360</v>
      </c>
      <c r="K33" s="791" t="s">
        <v>489</v>
      </c>
      <c r="L33" s="1034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</row>
    <row r="34" spans="2:29" s="647" customFormat="1">
      <c r="B34" s="991">
        <v>13</v>
      </c>
      <c r="C34" s="773" t="s">
        <v>379</v>
      </c>
      <c r="D34" s="773" t="s">
        <v>380</v>
      </c>
      <c r="E34" s="774">
        <v>20</v>
      </c>
      <c r="F34" s="775">
        <v>758</v>
      </c>
      <c r="G34" s="776">
        <v>286</v>
      </c>
      <c r="H34" s="776">
        <v>63</v>
      </c>
      <c r="I34" s="776">
        <v>2273</v>
      </c>
      <c r="J34" s="776">
        <v>762</v>
      </c>
      <c r="K34" s="782" t="s">
        <v>506</v>
      </c>
      <c r="L34" s="1034"/>
      <c r="M34" s="776">
        <v>286</v>
      </c>
      <c r="N34" s="579"/>
      <c r="O34" s="579"/>
      <c r="P34" s="579"/>
      <c r="Q34" s="579"/>
      <c r="R34" s="579"/>
      <c r="S34" s="579"/>
      <c r="T34" s="579"/>
      <c r="U34" s="646"/>
      <c r="V34" s="646"/>
      <c r="W34" s="646"/>
      <c r="X34" s="646"/>
      <c r="Y34" s="646"/>
      <c r="Z34" s="646"/>
      <c r="AA34" s="646"/>
      <c r="AB34" s="646"/>
      <c r="AC34" s="646"/>
    </row>
    <row r="35" spans="2:29" s="647" customFormat="1">
      <c r="B35" s="783">
        <v>14</v>
      </c>
      <c r="C35" s="773" t="s">
        <v>351</v>
      </c>
      <c r="D35" s="773" t="s">
        <v>352</v>
      </c>
      <c r="E35" s="774">
        <v>24</v>
      </c>
      <c r="F35" s="775">
        <v>750</v>
      </c>
      <c r="G35" s="776">
        <v>300</v>
      </c>
      <c r="H35" s="776">
        <v>60</v>
      </c>
      <c r="I35" s="776" t="s">
        <v>164</v>
      </c>
      <c r="J35" s="776">
        <v>1000</v>
      </c>
      <c r="K35" s="698" t="s">
        <v>235</v>
      </c>
      <c r="L35" s="1034"/>
      <c r="M35" s="776">
        <v>300</v>
      </c>
      <c r="N35" s="579"/>
      <c r="O35" s="579"/>
      <c r="P35" s="579"/>
      <c r="Q35" s="579"/>
      <c r="R35" s="579"/>
      <c r="S35" s="579"/>
      <c r="T35" s="579"/>
      <c r="U35" s="646"/>
      <c r="V35" s="646"/>
      <c r="W35" s="646"/>
      <c r="X35" s="646"/>
      <c r="Y35" s="646"/>
      <c r="Z35" s="646"/>
      <c r="AA35" s="646"/>
      <c r="AB35" s="646"/>
      <c r="AC35" s="646"/>
    </row>
    <row r="36" spans="2:29" s="647" customFormat="1">
      <c r="B36" s="783">
        <v>15</v>
      </c>
      <c r="C36" s="784" t="s">
        <v>83</v>
      </c>
      <c r="D36" s="784" t="s">
        <v>84</v>
      </c>
      <c r="E36" s="785">
        <v>44</v>
      </c>
      <c r="F36" s="786">
        <v>3707</v>
      </c>
      <c r="G36" s="787">
        <v>1112</v>
      </c>
      <c r="H36" s="787">
        <v>70</v>
      </c>
      <c r="I36" s="787">
        <v>1735</v>
      </c>
      <c r="J36" s="787">
        <v>1068</v>
      </c>
      <c r="K36" s="791" t="s">
        <v>489</v>
      </c>
      <c r="L36" s="1034"/>
      <c r="M36" s="646"/>
      <c r="N36" s="1176"/>
      <c r="O36" s="646"/>
      <c r="P36" s="646"/>
      <c r="Q36" s="646"/>
      <c r="R36" s="646"/>
      <c r="S36" s="646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</row>
    <row r="37" spans="2:29" s="1078" customFormat="1">
      <c r="B37" s="783">
        <v>16</v>
      </c>
      <c r="C37" s="837" t="s">
        <v>85</v>
      </c>
      <c r="D37" s="837" t="s">
        <v>72</v>
      </c>
      <c r="E37" s="838">
        <v>32</v>
      </c>
      <c r="F37" s="834">
        <v>1702</v>
      </c>
      <c r="G37" s="835">
        <v>1072</v>
      </c>
      <c r="H37" s="835">
        <v>37</v>
      </c>
      <c r="I37" s="835">
        <v>1724</v>
      </c>
      <c r="J37" s="835">
        <v>600</v>
      </c>
      <c r="K37" s="819" t="s">
        <v>489</v>
      </c>
      <c r="L37" s="1034"/>
      <c r="M37" s="1095"/>
      <c r="N37" s="1095"/>
      <c r="O37" s="1095"/>
      <c r="P37" s="1095"/>
      <c r="Q37" s="1095"/>
      <c r="R37" s="1095"/>
      <c r="S37" s="1095"/>
      <c r="T37" s="1095"/>
      <c r="U37" s="1095"/>
      <c r="V37" s="1095"/>
      <c r="W37" s="1095"/>
      <c r="X37" s="1095"/>
      <c r="Y37" s="1095"/>
      <c r="Z37" s="1095"/>
      <c r="AA37" s="1095"/>
      <c r="AB37" s="1095"/>
      <c r="AC37" s="1095"/>
    </row>
    <row r="38" spans="2:29" s="1078" customFormat="1" ht="33.6">
      <c r="B38" s="783">
        <v>17</v>
      </c>
      <c r="C38" s="837" t="s">
        <v>86</v>
      </c>
      <c r="D38" s="837" t="s">
        <v>87</v>
      </c>
      <c r="E38" s="838">
        <v>28</v>
      </c>
      <c r="F38" s="834">
        <v>755</v>
      </c>
      <c r="G38" s="835">
        <v>332</v>
      </c>
      <c r="H38" s="835">
        <v>56</v>
      </c>
      <c r="I38" s="835">
        <v>6177</v>
      </c>
      <c r="J38" s="835">
        <v>1850</v>
      </c>
      <c r="K38" s="1097" t="s">
        <v>497</v>
      </c>
      <c r="L38" s="1034"/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</row>
    <row r="39" spans="2:29" s="1078" customFormat="1">
      <c r="B39" s="783">
        <v>18</v>
      </c>
      <c r="C39" s="837" t="s">
        <v>88</v>
      </c>
      <c r="D39" s="837" t="s">
        <v>89</v>
      </c>
      <c r="E39" s="838">
        <v>28</v>
      </c>
      <c r="F39" s="834">
        <v>1108</v>
      </c>
      <c r="G39" s="835">
        <v>532</v>
      </c>
      <c r="H39" s="835">
        <v>52</v>
      </c>
      <c r="I39" s="835">
        <v>3495</v>
      </c>
      <c r="J39" s="835">
        <v>363</v>
      </c>
      <c r="K39" s="1096" t="s">
        <v>489</v>
      </c>
      <c r="L39" s="1034"/>
      <c r="M39" s="1095"/>
      <c r="N39" s="1095"/>
      <c r="O39" s="1095"/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  <c r="AA39" s="1095"/>
      <c r="AB39" s="1095"/>
      <c r="AC39" s="1095"/>
    </row>
    <row r="40" spans="2:29" s="647" customFormat="1">
      <c r="B40" s="991">
        <v>19</v>
      </c>
      <c r="C40" s="784" t="s">
        <v>90</v>
      </c>
      <c r="D40" s="784" t="s">
        <v>84</v>
      </c>
      <c r="E40" s="785">
        <v>48</v>
      </c>
      <c r="F40" s="786">
        <v>776</v>
      </c>
      <c r="G40" s="787">
        <v>714</v>
      </c>
      <c r="H40" s="787">
        <v>8</v>
      </c>
      <c r="I40" s="787">
        <v>4911</v>
      </c>
      <c r="J40" s="787">
        <v>550</v>
      </c>
      <c r="K40" s="791" t="s">
        <v>489</v>
      </c>
      <c r="L40" s="1034"/>
      <c r="M40" s="1176"/>
      <c r="N40" s="646"/>
      <c r="O40" s="646"/>
      <c r="P40" s="646"/>
      <c r="Q40" s="646"/>
      <c r="R40" s="646"/>
      <c r="S40" s="646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</row>
    <row r="41" spans="2:29" s="647" customFormat="1">
      <c r="B41" s="783">
        <v>20</v>
      </c>
      <c r="C41" s="784" t="s">
        <v>91</v>
      </c>
      <c r="D41" s="784" t="s">
        <v>89</v>
      </c>
      <c r="E41" s="785">
        <v>36</v>
      </c>
      <c r="F41" s="786">
        <v>497</v>
      </c>
      <c r="G41" s="787">
        <v>496</v>
      </c>
      <c r="H41" s="787">
        <v>0</v>
      </c>
      <c r="I41" s="787">
        <v>1297</v>
      </c>
      <c r="J41" s="787">
        <v>200</v>
      </c>
      <c r="K41" s="788" t="s">
        <v>489</v>
      </c>
      <c r="L41" s="1034"/>
      <c r="M41" s="117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s="647" customFormat="1">
      <c r="B42" s="783">
        <v>21</v>
      </c>
      <c r="C42" s="784" t="s">
        <v>92</v>
      </c>
      <c r="D42" s="784" t="s">
        <v>93</v>
      </c>
      <c r="E42" s="785">
        <v>24</v>
      </c>
      <c r="F42" s="786">
        <v>651</v>
      </c>
      <c r="G42" s="787">
        <v>378</v>
      </c>
      <c r="H42" s="787">
        <v>38</v>
      </c>
      <c r="I42" s="787">
        <v>373</v>
      </c>
      <c r="J42" s="787">
        <v>180</v>
      </c>
      <c r="K42" s="788" t="s">
        <v>489</v>
      </c>
      <c r="L42" s="1034"/>
      <c r="M42" s="646"/>
      <c r="N42" s="646"/>
      <c r="O42" s="646"/>
      <c r="P42" s="646"/>
      <c r="Q42" s="646"/>
      <c r="R42" s="646"/>
      <c r="S42" s="646"/>
      <c r="T42" s="646"/>
      <c r="U42" s="646"/>
      <c r="V42" s="646"/>
      <c r="W42" s="646"/>
      <c r="X42" s="646"/>
      <c r="Y42" s="646"/>
      <c r="Z42" s="646"/>
      <c r="AA42" s="646"/>
      <c r="AB42" s="646"/>
      <c r="AC42" s="646"/>
    </row>
    <row r="43" spans="2:29" s="647" customFormat="1">
      <c r="B43" s="783">
        <v>22</v>
      </c>
      <c r="C43" s="784" t="s">
        <v>94</v>
      </c>
      <c r="D43" s="784" t="s">
        <v>67</v>
      </c>
      <c r="E43" s="785">
        <v>32</v>
      </c>
      <c r="F43" s="786">
        <v>1445</v>
      </c>
      <c r="G43" s="787">
        <v>708</v>
      </c>
      <c r="H43" s="787">
        <v>51</v>
      </c>
      <c r="I43" s="787">
        <v>678</v>
      </c>
      <c r="J43" s="787">
        <v>444</v>
      </c>
      <c r="K43" s="788" t="s">
        <v>489</v>
      </c>
      <c r="L43" s="1034"/>
      <c r="M43" s="646"/>
      <c r="N43" s="646"/>
      <c r="O43" s="646"/>
      <c r="P43" s="646"/>
      <c r="Q43" s="646"/>
      <c r="R43" s="646"/>
      <c r="S43" s="646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</row>
    <row r="44" spans="2:29" s="647" customFormat="1">
      <c r="B44" s="783">
        <v>23</v>
      </c>
      <c r="C44" s="784" t="s">
        <v>95</v>
      </c>
      <c r="D44" s="784" t="s">
        <v>65</v>
      </c>
      <c r="E44" s="792">
        <v>20</v>
      </c>
      <c r="F44" s="786">
        <v>1053</v>
      </c>
      <c r="G44" s="787">
        <v>379</v>
      </c>
      <c r="H44" s="787">
        <v>64</v>
      </c>
      <c r="I44" s="787">
        <v>437</v>
      </c>
      <c r="J44" s="787">
        <v>305</v>
      </c>
      <c r="K44" s="788" t="s">
        <v>489</v>
      </c>
      <c r="L44" s="1034"/>
      <c r="M44" s="646"/>
      <c r="N44" s="646"/>
      <c r="O44" s="646"/>
      <c r="P44" s="646"/>
      <c r="Q44" s="646"/>
      <c r="R44" s="646"/>
      <c r="S44" s="646"/>
      <c r="T44" s="646"/>
      <c r="U44" s="646"/>
      <c r="V44" s="646"/>
      <c r="W44" s="646"/>
      <c r="X44" s="646"/>
      <c r="Y44" s="646"/>
      <c r="Z44" s="646"/>
      <c r="AA44" s="646"/>
      <c r="AB44" s="646"/>
      <c r="AC44" s="646"/>
    </row>
    <row r="45" spans="2:29" s="647" customFormat="1">
      <c r="B45" s="756">
        <v>24</v>
      </c>
      <c r="C45" s="757" t="s">
        <v>96</v>
      </c>
      <c r="D45" s="757" t="s">
        <v>67</v>
      </c>
      <c r="E45" s="758">
        <v>36</v>
      </c>
      <c r="F45" s="759">
        <v>2231</v>
      </c>
      <c r="G45" s="760">
        <v>781</v>
      </c>
      <c r="H45" s="760">
        <v>65</v>
      </c>
      <c r="I45" s="760">
        <v>644</v>
      </c>
      <c r="J45" s="760">
        <v>435</v>
      </c>
      <c r="K45" s="788" t="s">
        <v>489</v>
      </c>
      <c r="L45" s="1034"/>
      <c r="M45" s="646"/>
      <c r="N45" s="646"/>
      <c r="O45" s="646"/>
      <c r="P45" s="646"/>
      <c r="Q45" s="646"/>
      <c r="R45" s="646"/>
      <c r="S45" s="646"/>
      <c r="T45" s="646"/>
      <c r="U45" s="646"/>
      <c r="V45" s="646"/>
      <c r="W45" s="646"/>
      <c r="X45" s="646"/>
      <c r="Y45" s="646"/>
      <c r="Z45" s="646"/>
      <c r="AA45" s="646"/>
      <c r="AB45" s="646"/>
      <c r="AC45" s="646"/>
    </row>
    <row r="46" spans="2:29" ht="18.75" customHeight="1">
      <c r="B46" s="839"/>
      <c r="C46" s="700"/>
      <c r="D46" s="701"/>
      <c r="E46" s="701"/>
      <c r="F46" s="224">
        <f>SUM(F23:F45)</f>
        <v>31723</v>
      </c>
      <c r="G46" s="224">
        <f>SUM(G22:G45)</f>
        <v>15213</v>
      </c>
      <c r="H46" s="840"/>
      <c r="I46" s="841"/>
      <c r="J46" s="840"/>
      <c r="K46" s="839"/>
      <c r="L46" s="621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" customHeight="1">
      <c r="B47" s="839"/>
      <c r="C47" s="1343"/>
      <c r="D47" s="1343"/>
      <c r="E47" s="1343"/>
      <c r="F47" s="842"/>
      <c r="G47" s="208">
        <f>ROUNDUP(G46,-1)</f>
        <v>15220</v>
      </c>
      <c r="H47" s="842"/>
      <c r="I47" s="843"/>
      <c r="J47" s="839"/>
      <c r="K47" s="839"/>
      <c r="L47" s="621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.75" customHeight="1">
      <c r="B48" s="839"/>
      <c r="C48" s="839"/>
      <c r="D48" s="842"/>
      <c r="E48" s="842"/>
      <c r="F48" s="842"/>
      <c r="G48"/>
      <c r="H48" s="842"/>
      <c r="I48" s="842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5" customHeight="1">
      <c r="B49" s="844"/>
      <c r="C49" s="844"/>
      <c r="D49" s="844"/>
      <c r="E49" s="844"/>
      <c r="F49" s="844"/>
      <c r="G49" s="844"/>
      <c r="H49" s="844"/>
      <c r="I49" s="844"/>
      <c r="J49" s="844"/>
      <c r="K49" s="845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>
      <c r="B50" s="844"/>
      <c r="C50" s="844"/>
      <c r="D50" s="844"/>
      <c r="E50" s="844"/>
      <c r="F50" s="844"/>
      <c r="G50" s="844"/>
      <c r="H50" s="844"/>
      <c r="I50" s="844"/>
      <c r="J50" s="844"/>
      <c r="K50" s="845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25.9" customHeight="1">
      <c r="B51" s="844"/>
      <c r="C51" s="1252" t="s">
        <v>507</v>
      </c>
      <c r="D51" s="1291"/>
      <c r="E51" s="1291"/>
      <c r="F51" s="1291"/>
      <c r="G51" s="1291"/>
      <c r="H51" s="1291"/>
      <c r="I51" s="1291"/>
      <c r="J51" s="1291"/>
      <c r="K51" s="1292"/>
      <c r="L51" s="579"/>
      <c r="M51" s="621"/>
      <c r="N51" s="621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39.6">
      <c r="B52" s="179" t="s">
        <v>156</v>
      </c>
      <c r="C52" s="179" t="s">
        <v>31</v>
      </c>
      <c r="D52" s="180" t="s">
        <v>32</v>
      </c>
      <c r="E52" s="180" t="s">
        <v>33</v>
      </c>
      <c r="F52" s="180" t="s">
        <v>34</v>
      </c>
      <c r="G52" s="180" t="s">
        <v>35</v>
      </c>
      <c r="H52" s="180" t="s">
        <v>37</v>
      </c>
      <c r="I52" s="182" t="s">
        <v>38</v>
      </c>
      <c r="J52" s="182" t="s">
        <v>39</v>
      </c>
      <c r="K52" s="183" t="s">
        <v>40</v>
      </c>
      <c r="L52" s="579"/>
      <c r="O52" s="621"/>
      <c r="P52" s="621"/>
      <c r="Q52" s="621"/>
      <c r="R52" s="621"/>
      <c r="S52" s="621"/>
      <c r="T52" s="621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>
      <c r="B53" s="263">
        <v>1</v>
      </c>
      <c r="C53" s="253" t="s">
        <v>98</v>
      </c>
      <c r="D53" s="254" t="s">
        <v>99</v>
      </c>
      <c r="E53" s="255">
        <v>36</v>
      </c>
      <c r="F53" s="197">
        <v>1717</v>
      </c>
      <c r="G53" s="197">
        <v>996</v>
      </c>
      <c r="H53" s="197">
        <v>42</v>
      </c>
      <c r="I53" s="255">
        <v>533</v>
      </c>
      <c r="J53" s="255">
        <v>300</v>
      </c>
      <c r="K53" s="1130"/>
      <c r="L53" s="1134"/>
      <c r="M53" s="1139"/>
      <c r="N53" s="602"/>
      <c r="O53" s="621"/>
      <c r="P53" s="621"/>
      <c r="Q53" s="621"/>
      <c r="R53" s="621"/>
      <c r="S53" s="621"/>
      <c r="T53" s="621"/>
      <c r="U53" s="621"/>
      <c r="V53" s="621"/>
      <c r="W53" s="621"/>
      <c r="X53" s="621"/>
      <c r="Y53" s="621"/>
      <c r="Z53" s="621"/>
      <c r="AA53" s="621"/>
      <c r="AB53" s="621"/>
      <c r="AC53" s="621"/>
    </row>
    <row r="54" spans="2:29" ht="18.75" customHeight="1">
      <c r="B54" s="263">
        <v>2</v>
      </c>
      <c r="C54" s="253" t="s">
        <v>100</v>
      </c>
      <c r="D54" s="254" t="s">
        <v>101</v>
      </c>
      <c r="E54" s="255">
        <v>36</v>
      </c>
      <c r="F54" s="197">
        <v>814</v>
      </c>
      <c r="G54" s="197">
        <v>812</v>
      </c>
      <c r="H54" s="197">
        <v>0</v>
      </c>
      <c r="I54" s="255">
        <v>379</v>
      </c>
      <c r="J54" s="255">
        <v>181</v>
      </c>
      <c r="K54" s="1130"/>
      <c r="L54" s="1134"/>
      <c r="M54" s="1138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5" customHeight="1">
      <c r="B55" s="210">
        <v>3</v>
      </c>
      <c r="C55" s="216" t="s">
        <v>104</v>
      </c>
      <c r="D55" s="192" t="s">
        <v>99</v>
      </c>
      <c r="E55" s="193">
        <v>24</v>
      </c>
      <c r="F55" s="194">
        <v>857</v>
      </c>
      <c r="G55" s="194">
        <v>317</v>
      </c>
      <c r="H55" s="194">
        <v>63</v>
      </c>
      <c r="I55" s="193">
        <v>362</v>
      </c>
      <c r="J55" s="193">
        <v>252</v>
      </c>
      <c r="K55" s="846"/>
      <c r="L55" s="1134"/>
      <c r="M55" s="1138"/>
      <c r="N55" s="621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>
      <c r="B56" s="222">
        <v>4</v>
      </c>
      <c r="C56" s="218" t="s">
        <v>106</v>
      </c>
      <c r="D56" s="219" t="s">
        <v>103</v>
      </c>
      <c r="E56" s="220">
        <v>28</v>
      </c>
      <c r="F56" s="221">
        <v>764</v>
      </c>
      <c r="G56" s="221">
        <v>565</v>
      </c>
      <c r="H56" s="221">
        <v>26</v>
      </c>
      <c r="I56" s="220">
        <v>991</v>
      </c>
      <c r="J56" s="220">
        <v>348</v>
      </c>
      <c r="K56" s="782" t="s">
        <v>508</v>
      </c>
      <c r="L56" s="1134"/>
      <c r="M56" s="1138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>
      <c r="B57" s="222">
        <v>5</v>
      </c>
      <c r="C57" s="218" t="s">
        <v>107</v>
      </c>
      <c r="D57" s="219" t="s">
        <v>103</v>
      </c>
      <c r="E57" s="220">
        <v>28</v>
      </c>
      <c r="F57" s="221">
        <v>880</v>
      </c>
      <c r="G57" s="221">
        <v>260</v>
      </c>
      <c r="H57" s="221">
        <v>70</v>
      </c>
      <c r="I57" s="220">
        <v>292</v>
      </c>
      <c r="J57" s="220">
        <v>140</v>
      </c>
      <c r="K57" s="847" t="s">
        <v>260</v>
      </c>
      <c r="L57" s="1134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5" customHeight="1">
      <c r="B58" s="210">
        <v>6</v>
      </c>
      <c r="C58" s="216" t="s">
        <v>109</v>
      </c>
      <c r="D58" s="192" t="s">
        <v>110</v>
      </c>
      <c r="E58" s="193">
        <v>28</v>
      </c>
      <c r="F58" s="194">
        <v>1209</v>
      </c>
      <c r="G58" s="194">
        <v>568</v>
      </c>
      <c r="H58" s="194">
        <v>53</v>
      </c>
      <c r="I58" s="193">
        <v>433</v>
      </c>
      <c r="J58" s="193">
        <v>220</v>
      </c>
      <c r="K58" s="846"/>
      <c r="L58" s="1134"/>
      <c r="M58" s="1138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>
      <c r="B59" s="210">
        <v>7</v>
      </c>
      <c r="C59" s="216" t="s">
        <v>111</v>
      </c>
      <c r="D59" s="192" t="s">
        <v>99</v>
      </c>
      <c r="E59" s="193">
        <v>36</v>
      </c>
      <c r="F59" s="194">
        <v>2807</v>
      </c>
      <c r="G59" s="194">
        <v>1263</v>
      </c>
      <c r="H59" s="194">
        <v>55</v>
      </c>
      <c r="I59" s="193">
        <v>415</v>
      </c>
      <c r="J59" s="193">
        <v>348</v>
      </c>
      <c r="K59" s="846"/>
      <c r="L59" s="1134"/>
      <c r="M59" s="1136"/>
      <c r="N59" s="1136"/>
      <c r="O59" s="1136"/>
      <c r="P59" s="871"/>
      <c r="Q59" s="871"/>
      <c r="R59" s="871"/>
      <c r="S59" s="871"/>
      <c r="T59" s="87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>
      <c r="B60" s="263">
        <v>8</v>
      </c>
      <c r="C60" s="253" t="s">
        <v>112</v>
      </c>
      <c r="D60" s="254" t="s">
        <v>103</v>
      </c>
      <c r="E60" s="255">
        <v>56</v>
      </c>
      <c r="F60" s="197">
        <v>6056</v>
      </c>
      <c r="G60" s="197">
        <v>5251</v>
      </c>
      <c r="H60" s="197">
        <v>13</v>
      </c>
      <c r="I60" s="255">
        <v>421</v>
      </c>
      <c r="J60" s="255">
        <v>580</v>
      </c>
      <c r="K60" s="1140"/>
      <c r="L60" s="1134"/>
      <c r="M60" s="1136"/>
      <c r="N60" s="1136"/>
      <c r="O60" s="1136"/>
      <c r="P60" s="873"/>
      <c r="Q60" s="873"/>
      <c r="R60" s="873"/>
      <c r="S60" s="873"/>
      <c r="T60" s="873"/>
      <c r="U60" s="871"/>
      <c r="V60" s="871"/>
      <c r="W60" s="871"/>
      <c r="X60" s="871"/>
      <c r="Y60" s="871"/>
      <c r="Z60" s="871"/>
      <c r="AA60" s="871"/>
      <c r="AB60" s="621"/>
      <c r="AC60" s="621"/>
    </row>
    <row r="61" spans="2:29">
      <c r="B61" s="263">
        <v>9</v>
      </c>
      <c r="C61" s="216" t="s">
        <v>113</v>
      </c>
      <c r="D61" s="192" t="s">
        <v>103</v>
      </c>
      <c r="E61" s="193">
        <v>36</v>
      </c>
      <c r="F61" s="194">
        <v>1960</v>
      </c>
      <c r="G61" s="194">
        <v>1647</v>
      </c>
      <c r="H61" s="194">
        <v>16</v>
      </c>
      <c r="I61" s="193">
        <v>511</v>
      </c>
      <c r="J61" s="193">
        <v>363</v>
      </c>
      <c r="K61" s="846"/>
      <c r="L61" s="1134"/>
      <c r="M61" s="1136"/>
      <c r="N61" s="1136"/>
      <c r="O61" s="1136"/>
      <c r="P61" s="872"/>
      <c r="Q61" s="872"/>
      <c r="R61" s="872"/>
      <c r="S61" s="872"/>
      <c r="T61" s="872"/>
      <c r="U61" s="873"/>
      <c r="V61" s="873"/>
      <c r="W61" s="873"/>
      <c r="X61" s="873"/>
      <c r="Y61" s="873"/>
      <c r="Z61" s="873"/>
      <c r="AA61" s="873"/>
      <c r="AB61" s="870"/>
      <c r="AC61" s="621"/>
    </row>
    <row r="62" spans="2:29">
      <c r="B62" s="210">
        <v>10</v>
      </c>
      <c r="C62" s="216" t="s">
        <v>114</v>
      </c>
      <c r="D62" s="192" t="s">
        <v>99</v>
      </c>
      <c r="E62" s="193">
        <v>20</v>
      </c>
      <c r="F62" s="194">
        <v>848</v>
      </c>
      <c r="G62" s="194">
        <v>756</v>
      </c>
      <c r="H62" s="194">
        <v>11</v>
      </c>
      <c r="I62" s="193">
        <v>359</v>
      </c>
      <c r="J62" s="193">
        <v>560</v>
      </c>
      <c r="K62" s="846"/>
      <c r="L62" s="1134"/>
      <c r="M62" s="1136"/>
      <c r="N62" s="621"/>
      <c r="O62" s="621"/>
      <c r="P62" s="621"/>
      <c r="Q62" s="621"/>
      <c r="R62" s="621"/>
      <c r="S62" s="621"/>
      <c r="T62" s="621"/>
      <c r="U62" s="872"/>
      <c r="V62" s="872"/>
      <c r="W62" s="872"/>
      <c r="X62" s="872"/>
      <c r="Y62" s="872"/>
      <c r="Z62" s="872"/>
      <c r="AA62" s="872"/>
      <c r="AB62" s="621"/>
      <c r="AC62" s="621"/>
    </row>
    <row r="63" spans="2:29">
      <c r="B63" s="210">
        <v>11</v>
      </c>
      <c r="C63" s="216" t="s">
        <v>115</v>
      </c>
      <c r="D63" s="192" t="s">
        <v>105</v>
      </c>
      <c r="E63" s="193">
        <v>40</v>
      </c>
      <c r="F63" s="194">
        <v>2319</v>
      </c>
      <c r="G63" s="194">
        <v>1320</v>
      </c>
      <c r="H63" s="194">
        <v>43</v>
      </c>
      <c r="I63" s="193">
        <v>515</v>
      </c>
      <c r="J63" s="193">
        <v>300</v>
      </c>
      <c r="K63" s="846"/>
      <c r="L63" s="1134"/>
      <c r="M63" s="1136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>
      <c r="B64" s="210">
        <v>12</v>
      </c>
      <c r="C64" s="253" t="s">
        <v>116</v>
      </c>
      <c r="D64" s="254" t="s">
        <v>117</v>
      </c>
      <c r="E64" s="255">
        <v>24</v>
      </c>
      <c r="F64" s="197">
        <v>1146</v>
      </c>
      <c r="G64" s="197">
        <v>550</v>
      </c>
      <c r="H64" s="197">
        <v>52</v>
      </c>
      <c r="I64" s="255">
        <v>633</v>
      </c>
      <c r="J64" s="255">
        <v>261</v>
      </c>
      <c r="K64" s="990"/>
      <c r="L64" s="1134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>
      <c r="B65" s="263">
        <v>13</v>
      </c>
      <c r="C65" s="253" t="s">
        <v>119</v>
      </c>
      <c r="D65" s="254" t="s">
        <v>103</v>
      </c>
      <c r="E65" s="255">
        <v>28</v>
      </c>
      <c r="F65" s="197">
        <v>745</v>
      </c>
      <c r="G65" s="197">
        <v>454</v>
      </c>
      <c r="H65" s="197">
        <v>39</v>
      </c>
      <c r="I65" s="255">
        <v>355</v>
      </c>
      <c r="J65" s="255">
        <v>203</v>
      </c>
      <c r="K65" s="779"/>
      <c r="L65" s="1135"/>
      <c r="M65" s="1136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>
      <c r="B66" s="263">
        <v>14</v>
      </c>
      <c r="C66" s="216" t="s">
        <v>120</v>
      </c>
      <c r="D66" s="192" t="s">
        <v>101</v>
      </c>
      <c r="E66" s="193">
        <v>20</v>
      </c>
      <c r="F66" s="194">
        <v>400</v>
      </c>
      <c r="G66" s="194">
        <v>188</v>
      </c>
      <c r="H66" s="194">
        <v>53</v>
      </c>
      <c r="I66" s="193">
        <v>527</v>
      </c>
      <c r="J66" s="193">
        <v>104</v>
      </c>
      <c r="K66" s="846"/>
      <c r="L66" s="1134"/>
      <c r="M66" s="1136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>
      <c r="B67" s="222">
        <v>15</v>
      </c>
      <c r="C67" s="218" t="s">
        <v>121</v>
      </c>
      <c r="D67" s="219" t="s">
        <v>105</v>
      </c>
      <c r="E67" s="220">
        <v>24</v>
      </c>
      <c r="F67" s="221">
        <v>233</v>
      </c>
      <c r="G67" s="221">
        <v>192</v>
      </c>
      <c r="H67" s="221">
        <v>18</v>
      </c>
      <c r="I67" s="220">
        <v>292</v>
      </c>
      <c r="J67" s="220">
        <v>130</v>
      </c>
      <c r="K67" s="848" t="s">
        <v>260</v>
      </c>
      <c r="L67" s="1134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>
      <c r="B68" s="263">
        <v>16</v>
      </c>
      <c r="C68" s="253" t="s">
        <v>122</v>
      </c>
      <c r="D68" s="254" t="s">
        <v>110</v>
      </c>
      <c r="E68" s="255">
        <v>24</v>
      </c>
      <c r="F68" s="197">
        <v>1144</v>
      </c>
      <c r="G68" s="197">
        <v>1036</v>
      </c>
      <c r="H68" s="197">
        <v>9</v>
      </c>
      <c r="I68" s="255">
        <v>583</v>
      </c>
      <c r="J68" s="255">
        <v>530</v>
      </c>
      <c r="K68" s="779"/>
      <c r="L68" s="1134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>
      <c r="B69" s="210">
        <v>17</v>
      </c>
      <c r="C69" s="253" t="s">
        <v>123</v>
      </c>
      <c r="D69" s="254" t="s">
        <v>124</v>
      </c>
      <c r="E69" s="255">
        <v>24</v>
      </c>
      <c r="F69" s="197">
        <v>948</v>
      </c>
      <c r="G69" s="197">
        <v>313</v>
      </c>
      <c r="H69" s="197">
        <v>67</v>
      </c>
      <c r="I69" s="255">
        <v>975</v>
      </c>
      <c r="J69" s="255">
        <v>304</v>
      </c>
      <c r="K69" s="779"/>
      <c r="L69" s="1134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>
      <c r="B70" s="222">
        <v>18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8" t="s">
        <v>235</v>
      </c>
      <c r="L70" s="1134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>
      <c r="B71" s="222">
        <v>19</v>
      </c>
      <c r="C71" s="218" t="s">
        <v>128</v>
      </c>
      <c r="D71" s="219" t="s">
        <v>105</v>
      </c>
      <c r="E71" s="220">
        <v>24</v>
      </c>
      <c r="F71" s="221">
        <v>743</v>
      </c>
      <c r="G71" s="221">
        <v>358</v>
      </c>
      <c r="H71" s="221">
        <v>52</v>
      </c>
      <c r="I71" s="220">
        <v>303</v>
      </c>
      <c r="J71" s="220">
        <v>190</v>
      </c>
      <c r="K71" s="847" t="s">
        <v>235</v>
      </c>
      <c r="L71" s="1134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26.45">
      <c r="B72" s="210">
        <v>20</v>
      </c>
      <c r="C72" s="253" t="s">
        <v>132</v>
      </c>
      <c r="D72" s="254" t="s">
        <v>133</v>
      </c>
      <c r="E72" s="255">
        <v>24</v>
      </c>
      <c r="F72" s="197">
        <v>530</v>
      </c>
      <c r="G72" s="197">
        <v>297</v>
      </c>
      <c r="H72" s="197">
        <v>44</v>
      </c>
      <c r="I72" s="255">
        <v>299</v>
      </c>
      <c r="J72" s="255">
        <v>145</v>
      </c>
      <c r="K72" s="779"/>
      <c r="L72" s="1134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>
      <c r="B73" s="210">
        <v>21</v>
      </c>
      <c r="C73" s="216" t="s">
        <v>134</v>
      </c>
      <c r="D73" s="192" t="s">
        <v>135</v>
      </c>
      <c r="E73" s="193">
        <v>20</v>
      </c>
      <c r="F73" s="194">
        <v>410</v>
      </c>
      <c r="G73" s="194">
        <v>197</v>
      </c>
      <c r="H73" s="194">
        <v>52</v>
      </c>
      <c r="I73" s="193">
        <v>1272</v>
      </c>
      <c r="J73" s="193">
        <v>493</v>
      </c>
      <c r="K73" s="846"/>
      <c r="L73" s="1134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21" customHeight="1">
      <c r="B74" s="210">
        <v>22</v>
      </c>
      <c r="C74" s="216" t="s">
        <v>136</v>
      </c>
      <c r="D74" s="192" t="s">
        <v>105</v>
      </c>
      <c r="E74" s="193">
        <v>40</v>
      </c>
      <c r="F74" s="194">
        <v>2484</v>
      </c>
      <c r="G74" s="194">
        <v>1195</v>
      </c>
      <c r="H74" s="194">
        <v>52</v>
      </c>
      <c r="I74" s="193">
        <v>329</v>
      </c>
      <c r="J74" s="193">
        <v>340</v>
      </c>
      <c r="K74" s="848"/>
      <c r="L74" s="1134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18.75" customHeight="1">
      <c r="B75" s="263">
        <v>23</v>
      </c>
      <c r="C75" s="253" t="s">
        <v>137</v>
      </c>
      <c r="D75" s="254" t="s">
        <v>110</v>
      </c>
      <c r="E75" s="255">
        <v>40</v>
      </c>
      <c r="F75" s="197">
        <v>2664</v>
      </c>
      <c r="G75" s="197">
        <v>1039</v>
      </c>
      <c r="H75" s="197">
        <v>61</v>
      </c>
      <c r="I75" s="197">
        <v>347</v>
      </c>
      <c r="J75" s="197">
        <v>260</v>
      </c>
      <c r="K75" s="779"/>
      <c r="L75" s="1134"/>
      <c r="M75" s="1136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0.45" customHeight="1">
      <c r="B76" s="222">
        <v>24</v>
      </c>
      <c r="C76" s="218" t="s">
        <v>118</v>
      </c>
      <c r="D76" s="219" t="s">
        <v>99</v>
      </c>
      <c r="E76" s="220">
        <v>24</v>
      </c>
      <c r="F76" s="849">
        <v>797</v>
      </c>
      <c r="G76" s="849">
        <v>390</v>
      </c>
      <c r="H76" s="221">
        <v>51</v>
      </c>
      <c r="I76" s="220">
        <v>450</v>
      </c>
      <c r="J76" s="220">
        <v>315</v>
      </c>
      <c r="K76" s="847" t="s">
        <v>260</v>
      </c>
      <c r="L76" s="1135"/>
      <c r="M76" s="579"/>
      <c r="N76" s="579"/>
      <c r="O76" s="579"/>
      <c r="P76" s="579"/>
      <c r="Q76" s="579"/>
      <c r="R76" s="579"/>
      <c r="S76" s="579"/>
      <c r="T76" s="579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21" customHeight="1">
      <c r="B77" s="222">
        <v>25</v>
      </c>
      <c r="C77" s="218" t="s">
        <v>129</v>
      </c>
      <c r="D77" s="219" t="s">
        <v>99</v>
      </c>
      <c r="E77" s="220">
        <v>20</v>
      </c>
      <c r="F77" s="221">
        <v>700</v>
      </c>
      <c r="G77" s="221">
        <v>427</v>
      </c>
      <c r="H77" s="221">
        <v>39</v>
      </c>
      <c r="I77" s="220">
        <v>345</v>
      </c>
      <c r="J77" s="220">
        <v>100</v>
      </c>
      <c r="K77" s="848" t="s">
        <v>68</v>
      </c>
      <c r="L77" s="1135"/>
      <c r="M77" s="579"/>
      <c r="N77" s="579"/>
      <c r="O77" s="579"/>
      <c r="P77" s="579"/>
      <c r="Q77" s="579"/>
      <c r="R77" s="579"/>
      <c r="S77" s="579"/>
      <c r="T77" s="579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21" customHeight="1" thickBot="1">
      <c r="B78" s="222">
        <v>26</v>
      </c>
      <c r="C78" s="218" t="s">
        <v>130</v>
      </c>
      <c r="D78" s="219" t="s">
        <v>105</v>
      </c>
      <c r="E78" s="220">
        <v>16</v>
      </c>
      <c r="F78" s="221">
        <v>791</v>
      </c>
      <c r="G78" s="220">
        <v>340</v>
      </c>
      <c r="H78" s="221">
        <v>57</v>
      </c>
      <c r="I78" s="220">
        <v>309</v>
      </c>
      <c r="J78" s="220">
        <v>182</v>
      </c>
      <c r="K78" s="848" t="s">
        <v>68</v>
      </c>
      <c r="L78" s="1135"/>
      <c r="M78" s="579"/>
      <c r="N78" s="579"/>
      <c r="O78" s="579"/>
      <c r="P78" s="579"/>
      <c r="Q78" s="579"/>
      <c r="R78" s="579"/>
      <c r="S78" s="579"/>
      <c r="T78" s="579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" customHeight="1" thickBot="1">
      <c r="B79" s="222">
        <v>27</v>
      </c>
      <c r="C79" s="218" t="s">
        <v>131</v>
      </c>
      <c r="D79" s="219" t="s">
        <v>110</v>
      </c>
      <c r="E79" s="220">
        <v>24</v>
      </c>
      <c r="F79" s="221">
        <v>878</v>
      </c>
      <c r="G79" s="220">
        <v>430</v>
      </c>
      <c r="H79" s="221">
        <v>51</v>
      </c>
      <c r="I79" s="220">
        <v>486</v>
      </c>
      <c r="J79" s="220">
        <v>377</v>
      </c>
      <c r="K79" s="848" t="s">
        <v>68</v>
      </c>
      <c r="L79" s="1135"/>
      <c r="M79" s="621"/>
      <c r="N79" s="621"/>
      <c r="O79" s="579"/>
      <c r="P79" s="579"/>
      <c r="Q79" s="579"/>
      <c r="R79" s="579"/>
      <c r="S79" s="579"/>
      <c r="T79" s="579"/>
      <c r="U79" s="621"/>
      <c r="V79" s="621"/>
      <c r="W79" s="621"/>
      <c r="X79" s="621"/>
      <c r="Y79" s="621"/>
      <c r="Z79" s="621"/>
      <c r="AA79" s="621"/>
      <c r="AB79" s="621"/>
      <c r="AC79" s="621"/>
    </row>
    <row r="80" spans="2:29" ht="21.75" customHeight="1" thickBot="1">
      <c r="B80"/>
      <c r="C80" s="1344"/>
      <c r="D80" s="1344"/>
      <c r="E80" s="1344"/>
      <c r="F80" s="850">
        <f>SUM(F53:F75)</f>
        <v>34761</v>
      </c>
      <c r="G80" s="850">
        <f>SUM(G53:G75)</f>
        <v>20468</v>
      </c>
      <c r="H80" s="225"/>
      <c r="I80" s="408"/>
      <c r="J80" s="225"/>
      <c r="K80"/>
      <c r="L80" s="579"/>
      <c r="M80" s="621"/>
      <c r="N80" s="621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 thickBot="1">
      <c r="B81"/>
      <c r="C81"/>
      <c r="D81"/>
      <c r="E81"/>
      <c r="F81" s="1"/>
      <c r="G81" s="852">
        <f>ROUNDUP(G80,-1)</f>
        <v>20470</v>
      </c>
      <c r="H81" s="1"/>
      <c r="I81"/>
      <c r="J81" s="225"/>
      <c r="K81"/>
      <c r="L81" s="579"/>
      <c r="M81" s="621"/>
      <c r="N81" s="621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21" customHeight="1" thickBot="1">
      <c r="B82"/>
      <c r="C82"/>
      <c r="D82" s="1"/>
      <c r="E82" s="1"/>
      <c r="F82" s="1"/>
      <c r="G82" s="1"/>
      <c r="H82" s="1"/>
      <c r="I82" s="1"/>
      <c r="J82" s="1"/>
      <c r="K82"/>
      <c r="L82" s="579"/>
      <c r="M82" s="621"/>
      <c r="N82" s="621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18.95" customHeight="1" thickBot="1">
      <c r="B83"/>
      <c r="C83" s="1252" t="s">
        <v>509</v>
      </c>
      <c r="D83" s="1291"/>
      <c r="E83" s="1291"/>
      <c r="F83" s="1291"/>
      <c r="G83" s="1291"/>
      <c r="H83" s="1291"/>
      <c r="I83" s="1291"/>
      <c r="J83" s="1291"/>
      <c r="K83" s="1292"/>
      <c r="L83" s="579"/>
      <c r="M83" s="579"/>
      <c r="N83" s="621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40.15" thickBot="1">
      <c r="B84" s="179" t="s">
        <v>156</v>
      </c>
      <c r="C84" s="803" t="s">
        <v>31</v>
      </c>
      <c r="D84" s="804" t="s">
        <v>32</v>
      </c>
      <c r="E84" s="804" t="s">
        <v>33</v>
      </c>
      <c r="F84" s="795" t="s">
        <v>34</v>
      </c>
      <c r="G84" s="795" t="s">
        <v>35</v>
      </c>
      <c r="H84" s="804" t="s">
        <v>37</v>
      </c>
      <c r="I84" s="806" t="s">
        <v>38</v>
      </c>
      <c r="J84" s="806" t="s">
        <v>39</v>
      </c>
      <c r="K84" s="226" t="s">
        <v>40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30" thickBot="1">
      <c r="B85" s="766">
        <v>1</v>
      </c>
      <c r="C85" s="767" t="s">
        <v>139</v>
      </c>
      <c r="D85" s="768" t="s">
        <v>140</v>
      </c>
      <c r="E85" s="769">
        <v>20</v>
      </c>
      <c r="F85" s="770">
        <v>406</v>
      </c>
      <c r="G85" s="770">
        <v>130</v>
      </c>
      <c r="H85" s="769">
        <v>68</v>
      </c>
      <c r="I85" s="771">
        <v>308</v>
      </c>
      <c r="J85" s="769">
        <v>180</v>
      </c>
      <c r="K85" s="294" t="s">
        <v>510</v>
      </c>
      <c r="L85" s="1034"/>
      <c r="M85" s="621"/>
      <c r="N85" s="621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 ht="19.899999999999999" thickBot="1">
      <c r="B86" s="853">
        <v>2</v>
      </c>
      <c r="C86" s="229" t="s">
        <v>142</v>
      </c>
      <c r="D86" s="230" t="s">
        <v>143</v>
      </c>
      <c r="E86" s="193">
        <v>24</v>
      </c>
      <c r="F86" s="188">
        <v>432</v>
      </c>
      <c r="G86" s="188">
        <v>417</v>
      </c>
      <c r="H86" s="193">
        <v>4</v>
      </c>
      <c r="I86" s="432">
        <v>609</v>
      </c>
      <c r="J86" s="187">
        <v>270</v>
      </c>
      <c r="K86" s="238" t="s">
        <v>489</v>
      </c>
      <c r="L86" s="1034"/>
      <c r="M86" s="621"/>
      <c r="N86" s="621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 ht="19.899999999999999" thickBot="1">
      <c r="B87" s="1141">
        <v>3</v>
      </c>
      <c r="C87" s="334" t="s">
        <v>144</v>
      </c>
      <c r="D87" s="335" t="s">
        <v>140</v>
      </c>
      <c r="E87" s="220">
        <v>28</v>
      </c>
      <c r="F87" s="221">
        <v>1391</v>
      </c>
      <c r="G87" s="221">
        <v>1043</v>
      </c>
      <c r="H87" s="220">
        <v>25</v>
      </c>
      <c r="I87" s="336">
        <v>1028</v>
      </c>
      <c r="J87" s="284">
        <v>990</v>
      </c>
      <c r="K87" s="237" t="s">
        <v>511</v>
      </c>
      <c r="L87" s="1034"/>
      <c r="M87" s="579"/>
      <c r="N87" s="621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 ht="19.899999999999999" thickBot="1">
      <c r="B88" s="702">
        <v>4</v>
      </c>
      <c r="C88" s="703" t="s">
        <v>145</v>
      </c>
      <c r="D88" s="704" t="s">
        <v>146</v>
      </c>
      <c r="E88" s="705">
        <v>40</v>
      </c>
      <c r="F88" s="706">
        <v>2208</v>
      </c>
      <c r="G88" s="706">
        <v>1987</v>
      </c>
      <c r="H88" s="407">
        <v>10</v>
      </c>
      <c r="I88" s="707">
        <v>388</v>
      </c>
      <c r="J88" s="708">
        <v>420</v>
      </c>
      <c r="K88" s="203" t="s">
        <v>489</v>
      </c>
      <c r="L88" s="1034"/>
      <c r="M88" s="1119"/>
      <c r="N88" s="111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>
      <c r="B89"/>
      <c r="C89" s="204"/>
      <c r="D89" s="205"/>
      <c r="E89" s="205"/>
      <c r="F89" s="850">
        <v>4893.8756749777749</v>
      </c>
      <c r="G89" s="851">
        <f>SUM(G85:G88)</f>
        <v>3577</v>
      </c>
      <c r="H89" s="207"/>
      <c r="I89" s="207"/>
      <c r="J89" s="207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>
      <c r="B90"/>
      <c r="C90" s="1342"/>
      <c r="D90" s="1342"/>
      <c r="E90" s="1342"/>
      <c r="F90" s="1"/>
      <c r="G90" s="852">
        <f>ROUNDUP(G89,-1)</f>
        <v>3580</v>
      </c>
      <c r="H90" s="1"/>
      <c r="I90"/>
      <c r="J90" s="1"/>
      <c r="K90"/>
      <c r="L90" s="579"/>
      <c r="M90" s="1133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5" customHeigh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>
      <c r="B95" s="579"/>
      <c r="C95" s="579"/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>
      <c r="B96" s="579"/>
      <c r="C96" s="579"/>
      <c r="D96" s="579"/>
      <c r="E96" s="579"/>
      <c r="F96" s="579"/>
      <c r="G96" s="660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  <row r="1000" spans="2:29">
      <c r="B1000" s="579"/>
      <c r="C1000" s="579"/>
      <c r="D1000" s="579"/>
      <c r="E1000" s="579"/>
      <c r="F1000" s="579"/>
      <c r="G1000" s="579"/>
      <c r="H1000" s="579"/>
      <c r="I1000" s="579"/>
      <c r="J1000" s="579"/>
      <c r="K1000" s="579"/>
      <c r="L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</row>
  </sheetData>
  <mergeCells count="8">
    <mergeCell ref="C80:E80"/>
    <mergeCell ref="C83:K83"/>
    <mergeCell ref="C90:E90"/>
    <mergeCell ref="C1:K1"/>
    <mergeCell ref="C3:K3"/>
    <mergeCell ref="C20:K20"/>
    <mergeCell ref="C47:E47"/>
    <mergeCell ref="C51:K51"/>
  </mergeCells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3EBA-E2CE-4A07-8E17-F7E7C463AC4F}">
  <dimension ref="B1:AO52"/>
  <sheetViews>
    <sheetView showGridLines="0" topLeftCell="A3" zoomScale="72" zoomScaleNormal="72" workbookViewId="0">
      <pane xSplit="2" ySplit="2" topLeftCell="C20" activePane="bottomRight" state="frozen"/>
      <selection pane="bottomRight" activeCell="B39" sqref="B39:AG39"/>
      <selection pane="bottomLeft"/>
      <selection pane="topRight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0.6640625" style="580" customWidth="1"/>
    <col min="4" max="4" width="9.3320312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9.33203125" style="727" customWidth="1"/>
    <col min="19" max="19" width="8.44140625" style="727" customWidth="1"/>
    <col min="20" max="20" width="8.77734375" style="727" customWidth="1"/>
    <col min="21" max="21" width="9" style="727" customWidth="1"/>
    <col min="22" max="22" width="9.21875" style="727" customWidth="1"/>
    <col min="23" max="23" width="10.21875" style="727" customWidth="1"/>
    <col min="24" max="24" width="9.5546875" style="727" customWidth="1"/>
    <col min="25" max="25" width="9.77734375" style="727" customWidth="1"/>
    <col min="26" max="26" width="12.33203125" style="727" bestFit="1" customWidth="1"/>
    <col min="27" max="27" width="9.5546875" style="727" customWidth="1"/>
    <col min="28" max="30" width="10.6640625" style="727" customWidth="1"/>
    <col min="31" max="32" width="11.77734375" style="727" customWidth="1"/>
    <col min="33" max="33" width="11.109375" style="727" bestFit="1" customWidth="1"/>
    <col min="34" max="34" width="11.109375" style="580" customWidth="1"/>
    <col min="35" max="35" width="17.44140625" style="580" customWidth="1"/>
    <col min="36" max="36" width="14.6640625" style="580" customWidth="1"/>
    <col min="37" max="41" width="12.6640625" style="580" customWidth="1"/>
    <col min="42" max="42" width="15.109375" style="580" customWidth="1"/>
    <col min="43" max="43" width="11.5546875" style="580" customWidth="1"/>
    <col min="44" max="16384" width="9.21875" style="580"/>
  </cols>
  <sheetData>
    <row r="1" spans="2:41" hidden="1"/>
    <row r="2" spans="2:41" hidden="1"/>
    <row r="3" spans="2:41" ht="19.899999999999999" thickBot="1"/>
    <row r="4" spans="2:41" ht="77.45" thickBot="1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512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1057" t="s">
        <v>432</v>
      </c>
      <c r="O4" s="1058" t="s">
        <v>433</v>
      </c>
      <c r="P4" s="1059" t="s">
        <v>434</v>
      </c>
      <c r="Q4" s="1060" t="s">
        <v>435</v>
      </c>
      <c r="R4" s="744" t="s">
        <v>436</v>
      </c>
      <c r="S4" s="713" t="s">
        <v>437</v>
      </c>
      <c r="T4" s="710" t="s">
        <v>438</v>
      </c>
      <c r="U4" s="789" t="s">
        <v>439</v>
      </c>
      <c r="V4" s="1121" t="s">
        <v>440</v>
      </c>
      <c r="W4" s="710" t="s">
        <v>441</v>
      </c>
      <c r="X4" s="710" t="s">
        <v>442</v>
      </c>
      <c r="Y4" s="711" t="s">
        <v>443</v>
      </c>
      <c r="Z4" s="712" t="s">
        <v>390</v>
      </c>
      <c r="AA4" s="710" t="s">
        <v>391</v>
      </c>
      <c r="AB4" s="710" t="s">
        <v>392</v>
      </c>
      <c r="AC4" s="789" t="s">
        <v>393</v>
      </c>
      <c r="AD4" s="1121" t="s">
        <v>444</v>
      </c>
      <c r="AE4" s="710" t="s">
        <v>445</v>
      </c>
      <c r="AF4" s="710" t="s">
        <v>446</v>
      </c>
      <c r="AG4" s="789" t="s">
        <v>394</v>
      </c>
      <c r="AH4" s="728"/>
    </row>
    <row r="5" spans="2:41" ht="21.6">
      <c r="B5" s="716">
        <v>44559</v>
      </c>
      <c r="C5" s="749">
        <v>21.04</v>
      </c>
      <c r="D5" s="750">
        <v>15.2</v>
      </c>
      <c r="E5" s="751">
        <v>8.9</v>
      </c>
      <c r="F5" s="749">
        <v>3.58</v>
      </c>
      <c r="G5" s="1042">
        <f>SUM(Table25234678910111012131214121516151718192021[[#This Row],[Jones Creek Target (Mbopd)]:[Egwa Target (Mbopd)]])</f>
        <v>48.719999999999992</v>
      </c>
      <c r="H5" s="1067">
        <v>18.207999999999998</v>
      </c>
      <c r="I5" s="1068">
        <v>11.504</v>
      </c>
      <c r="J5" s="1069">
        <v>0</v>
      </c>
      <c r="K5" s="1070">
        <v>2.355</v>
      </c>
      <c r="L5" s="1070">
        <f t="shared" ref="L5" si="0">H5+I5+J5+K5</f>
        <v>32.066999999999993</v>
      </c>
      <c r="M5" s="1123">
        <v>4.1040000000000001</v>
      </c>
      <c r="N5" s="1065">
        <f>Table2523467891011101213121412151615171819202122[[#This Row],[Jones Creek Target (Mbopd)]]-Table2523467891011101213121412151615171819202122[[#This Row],[Jones Creek (Mbopd)]]</f>
        <v>3.102999999999998</v>
      </c>
      <c r="O5" s="1044">
        <f>Table2523467891011101213121412151615171819202122[[#This Row],[Odidi Target (Mbopd)]]-Table2523467891011101213121412151615171819202122[[#This Row],[Odidi (Mbopd)]]</f>
        <v>15.2</v>
      </c>
      <c r="P5" s="1044">
        <f>Table2523467891011101213121412151615171819202122[[#This Row],[Batan Target (Mbopd)]]-Table2523467891011101213121412151615171819202122[[#This Row],[Batan (Mbopd)]]</f>
        <v>4.1859999999999999</v>
      </c>
      <c r="Q5" s="1066">
        <f>Table2523467891011101213121412151615171819202122[[#This Row],[Egwa Target (Mbopd)]]-Table2523467891011101213121412151615171819202122[[#This Row],[Egwa (Mbopd)]]</f>
        <v>1.2330000000000001</v>
      </c>
      <c r="R5" s="1043">
        <v>7.02</v>
      </c>
      <c r="S5" s="1044">
        <v>17.559999999999999</v>
      </c>
      <c r="T5" s="1044">
        <v>0</v>
      </c>
      <c r="U5" s="1045">
        <v>2.48</v>
      </c>
      <c r="V5" s="1046">
        <v>0.84</v>
      </c>
      <c r="W5" s="1044">
        <v>0</v>
      </c>
      <c r="X5" s="1044">
        <v>0</v>
      </c>
      <c r="Y5" s="1045">
        <v>0</v>
      </c>
      <c r="Z5" s="1046">
        <f>+Table25234678910111012131214121516151718192021[[#This Row],[J/C Prod gas (MMscf)]]-Table25234678910111012131214121516151718192021[[#This Row],[J/C Utilised gas (MMscf)]]</f>
        <v>6.18</v>
      </c>
      <c r="AA5" s="1044">
        <f>+Table2523467891011101213121412151615171819202122[[#This Row],[Odid Prod gas (MMscf)]]-Table2523467891011101213121412151615171819202122[[#This Row],[Gas Export (MMscf/d)]]</f>
        <v>0</v>
      </c>
      <c r="AB5" s="1044">
        <f>+Table2523467891011101213121412151615171819202122[[#This Row],[Batn Prod gas (MMscf)]]-Table2523467891011101213121412151615171819202122[[#This Row],[Batn Utilised gas (MMscf)]]</f>
        <v>0.84000000000000008</v>
      </c>
      <c r="AC5" s="1045">
        <f>+Table25234678910111012131214121516151718192021[[#This Row],[Egwa Prod gas (MMscf)]]-Table25234678910111012131214121516151718192021[[#This Row],[Egwa Utilised gas (MMscf)]]</f>
        <v>2.48</v>
      </c>
      <c r="AD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14.21</v>
      </c>
      <c r="AE5" s="1044">
        <f>+Table2523467891011101213121412151615171819202122[[#This Row],[Gas Export (MMscf/d)]]</f>
        <v>0</v>
      </c>
      <c r="AF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12.370000000000001</v>
      </c>
      <c r="AH5" s="142"/>
    </row>
    <row r="6" spans="2:41" ht="21.6">
      <c r="B6" s="716">
        <v>44560</v>
      </c>
      <c r="C6" s="749">
        <v>21.04</v>
      </c>
      <c r="D6" s="750">
        <v>15.2</v>
      </c>
      <c r="E6" s="751">
        <v>8.9</v>
      </c>
      <c r="F6" s="749">
        <v>3.58</v>
      </c>
      <c r="G6" s="1042">
        <f>SUM(Table25234678910111012131214121516151718192021[[#This Row],[Jones Creek Target (Mbopd)]:[Egwa Target (Mbopd)]])</f>
        <v>48.719999999999992</v>
      </c>
      <c r="H6" s="1067">
        <v>18.356000000000002</v>
      </c>
      <c r="I6" s="1068">
        <v>10.332000000000001</v>
      </c>
      <c r="J6" s="1069">
        <v>2.9470000000000001</v>
      </c>
      <c r="K6" s="1070">
        <v>2.3919999999999999</v>
      </c>
      <c r="L6" s="1070">
        <f>H6+I6+J6+K6</f>
        <v>34.027000000000001</v>
      </c>
      <c r="M6" s="1123">
        <v>6.8460000000000001</v>
      </c>
      <c r="N6" s="1065">
        <f>Table2523467891011101213121412151615171819202122[[#This Row],[Jones Creek Target (Mbopd)]]-Table2523467891011101213121412151615171819202122[[#This Row],[Jones Creek (Mbopd)]]</f>
        <v>2.6419999999999995</v>
      </c>
      <c r="O6" s="1044">
        <f>Table2523467891011101213121412151615171819202122[[#This Row],[Odidi Target (Mbopd)]]-Table2523467891011101213121412151615171819202122[[#This Row],[Odidi (Mbopd)]]</f>
        <v>11.45</v>
      </c>
      <c r="P6" s="1044">
        <f>Table2523467891011101213121412151615171819202122[[#This Row],[Batan Target (Mbopd)]]-Table2523467891011101213121412151615171819202122[[#This Row],[Batan (Mbopd)]]</f>
        <v>4.2990000000000004</v>
      </c>
      <c r="Q6" s="1066">
        <f>Table2523467891011101213121412151615171819202122[[#This Row],[Egwa Target (Mbopd)]]-Table2523467891011101213121412151615171819202122[[#This Row],[Egwa (Mbopd)]]</f>
        <v>1.234</v>
      </c>
      <c r="R6" s="1043">
        <v>7.02</v>
      </c>
      <c r="S6" s="1044">
        <v>23.48</v>
      </c>
      <c r="T6" s="1044">
        <v>1.8</v>
      </c>
      <c r="U6" s="1045">
        <v>2.5</v>
      </c>
      <c r="V6" s="1046">
        <v>0.84</v>
      </c>
      <c r="W6" s="1044">
        <v>0</v>
      </c>
      <c r="X6" s="1044">
        <v>1.5</v>
      </c>
      <c r="Y6" s="1045">
        <v>0</v>
      </c>
      <c r="Z6" s="1046">
        <f>+Table25234678910111012131214121516151718192021[[#This Row],[J/C Prod gas (MMscf)]]-Table25234678910111012131214121516151718192021[[#This Row],[J/C Utilised gas (MMscf)]]</f>
        <v>6.18</v>
      </c>
      <c r="AA6" s="1044">
        <f>+Table2523467891011101213121412151615171819202122[[#This Row],[Odid Prod gas (MMscf)]]-Table2523467891011101213121412151615171819202122[[#This Row],[Gas Export (MMscf/d)]]</f>
        <v>7.38</v>
      </c>
      <c r="AB6" s="1044">
        <f>+Table2523467891011101213121412151615171819202122[[#This Row],[Batn Prod gas (MMscf)]]-Table2523467891011101213121412151615171819202122[[#This Row],[Batn Utilised gas (MMscf)]]</f>
        <v>1.5</v>
      </c>
      <c r="AC6" s="1045">
        <f>+Table25234678910111012131214121516151718192021[[#This Row],[Egwa Prod gas (MMscf)]]-Table25234678910111012131214121516151718192021[[#This Row],[Egwa Utilised gas (MMscf)]]</f>
        <v>2.5</v>
      </c>
      <c r="AD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22.52</v>
      </c>
      <c r="AE6" s="1044">
        <f>+Table2523467891011101213121412151615171819202122[[#This Row],[Gas Export (MMscf/d)]]</f>
        <v>0</v>
      </c>
      <c r="AF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20.68</v>
      </c>
      <c r="AH6" s="142"/>
    </row>
    <row r="7" spans="2:41" ht="21.6">
      <c r="B7" s="716">
        <v>44561</v>
      </c>
      <c r="C7" s="749">
        <v>21.04</v>
      </c>
      <c r="D7" s="750">
        <v>15.2</v>
      </c>
      <c r="E7" s="751">
        <v>8.9</v>
      </c>
      <c r="F7" s="749">
        <v>3.58</v>
      </c>
      <c r="G7" s="1042">
        <f>SUM(Table25234678910111012131214121516151718192021[[#This Row],[Jones Creek Target (Mbopd)]:[Egwa Target (Mbopd)]])</f>
        <v>48.719999999999992</v>
      </c>
      <c r="H7" s="1067">
        <v>18.146000000000001</v>
      </c>
      <c r="I7" s="1068">
        <v>6.726</v>
      </c>
      <c r="J7" s="1069">
        <v>4.9989999999999997</v>
      </c>
      <c r="K7" s="1070">
        <v>2.3039999999999998</v>
      </c>
      <c r="L7" s="1070">
        <f>H7+I7+J7+K7</f>
        <v>32.174999999999997</v>
      </c>
      <c r="M7" s="1123">
        <v>1.7789999999999999</v>
      </c>
      <c r="N7" s="1065">
        <f>Table2523467891011101213121412151615171819202122[[#This Row],[Jones Creek Target (Mbopd)]]-Table2523467891011101213121412151615171819202122[[#This Row],[Jones Creek (Mbopd)]]</f>
        <v>2.5790000000000006</v>
      </c>
      <c r="O7" s="1044">
        <f>Table2523467891011101213121412151615171819202122[[#This Row],[Odidi Target (Mbopd)]]-Table2523467891011101213121412151615171819202122[[#This Row],[Odidi (Mbopd)]]</f>
        <v>10.904999999999999</v>
      </c>
      <c r="P7" s="1044">
        <f>Table2523467891011101213121412151615171819202122[[#This Row],[Batan Target (Mbopd)]]-Table2523467891011101213121412151615171819202122[[#This Row],[Batan (Mbopd)]]</f>
        <v>4.3940000000000001</v>
      </c>
      <c r="Q7" s="1066">
        <f>Table2523467891011101213121412151615171819202122[[#This Row],[Egwa Target (Mbopd)]]-Table2523467891011101213121412151615171819202122[[#This Row],[Egwa (Mbopd)]]</f>
        <v>1.2040000000000002</v>
      </c>
      <c r="R7" s="1043">
        <v>7.02</v>
      </c>
      <c r="S7" s="1044">
        <v>10.56</v>
      </c>
      <c r="T7" s="1044">
        <v>1.84</v>
      </c>
      <c r="U7" s="1045">
        <v>2.5099999999999998</v>
      </c>
      <c r="V7" s="1046">
        <v>0.84</v>
      </c>
      <c r="W7" s="1044">
        <v>0</v>
      </c>
      <c r="X7" s="1044">
        <v>1</v>
      </c>
      <c r="Y7" s="1045">
        <v>0</v>
      </c>
      <c r="Z7" s="1046">
        <f>+Table25234678910111012131214121516151718192021[[#This Row],[J/C Prod gas (MMscf)]]-Table25234678910111012131214121516151718192021[[#This Row],[J/C Utilised gas (MMscf)]]</f>
        <v>6.18</v>
      </c>
      <c r="AA7" s="1044">
        <f>+Table2523467891011101213121412151615171819202122[[#This Row],[Odid Prod gas (MMscf)]]-Table2523467891011101213121412151615171819202122[[#This Row],[Gas Export (MMscf/d)]]</f>
        <v>11.66</v>
      </c>
      <c r="AB7" s="1044">
        <f>+Table2523467891011101213121412151615171819202122[[#This Row],[Batn Prod gas (MMscf)]]-Table2523467891011101213121412151615171819202122[[#This Row],[Batn Utilised gas (MMscf)]]</f>
        <v>1.5</v>
      </c>
      <c r="AC7" s="1045">
        <f>+Table25234678910111012131214121516151718192021[[#This Row],[Egwa Prod gas (MMscf)]]-Table25234678910111012131214121516151718192021[[#This Row],[Egwa Utilised gas (MMscf)]]</f>
        <v>2.5099999999999998</v>
      </c>
      <c r="AD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26.35</v>
      </c>
      <c r="AE7" s="1044">
        <f>+Table2523467891011101213121412151615171819202122[[#This Row],[Gas Export (MMscf/d)]]</f>
        <v>0</v>
      </c>
      <c r="AF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24.509999999999998</v>
      </c>
      <c r="AH7" s="142"/>
    </row>
    <row r="8" spans="2:41" ht="24.6">
      <c r="B8" s="716">
        <v>44561</v>
      </c>
      <c r="C8" s="749">
        <v>20.47</v>
      </c>
      <c r="D8" s="750">
        <v>15.22</v>
      </c>
      <c r="E8" s="750">
        <v>5.15</v>
      </c>
      <c r="F8" s="749">
        <v>3.58</v>
      </c>
      <c r="G8" s="1042">
        <f>SUM(Table25234678910111012131214121516151718192021[[#This Row],[Jones Creek Target (Mbopd)]:[Egwa Target (Mbopd)]])</f>
        <v>44.419999999999995</v>
      </c>
      <c r="H8" s="1067">
        <v>18.329000000000001</v>
      </c>
      <c r="I8" s="1068">
        <v>9.7520000000000007</v>
      </c>
      <c r="J8" s="1069">
        <v>4.7919999999999998</v>
      </c>
      <c r="K8" s="1070">
        <v>2.2869999999999999</v>
      </c>
      <c r="L8" s="1070">
        <f t="shared" ref="L8:L11" si="1">H8+I8+J8+K8</f>
        <v>35.160000000000004</v>
      </c>
      <c r="M8" s="1123">
        <v>2.4</v>
      </c>
      <c r="N8" s="1065">
        <f>Table2523467891011101213121412151615171819202122[[#This Row],[Jones Creek Target (Mbopd)]]-Table2523467891011101213121412151615171819202122[[#This Row],[Jones Creek (Mbopd)]]</f>
        <v>2.3039999999999985</v>
      </c>
      <c r="O8" s="1044">
        <f>Table2523467891011101213121412151615171819202122[[#This Row],[Odidi Target (Mbopd)]]-Table2523467891011101213121412151615171819202122[[#This Row],[Odidi (Mbopd)]]</f>
        <v>6.7439999999999998</v>
      </c>
      <c r="P8" s="1044">
        <f>Table2523467891011101213121412151615171819202122[[#This Row],[Batan Target (Mbopd)]]-Table2523467891011101213121412151615171819202122[[#This Row],[Batan (Mbopd)]]</f>
        <v>0.57900000000000063</v>
      </c>
      <c r="Q8" s="1066">
        <f>Table2523467891011101213121412151615171819202122[[#This Row],[Egwa Target (Mbopd)]]-Table2523467891011101213121412151615171819202122[[#This Row],[Egwa (Mbopd)]]</f>
        <v>1.2170000000000001</v>
      </c>
      <c r="R8" s="1043">
        <v>7.02</v>
      </c>
      <c r="S8" s="1077">
        <v>29.21</v>
      </c>
      <c r="T8" s="1044">
        <v>1.84</v>
      </c>
      <c r="U8" s="1045">
        <v>2.5099999999999998</v>
      </c>
      <c r="V8" s="1046">
        <v>0.84</v>
      </c>
      <c r="W8" s="1044">
        <v>0</v>
      </c>
      <c r="X8" s="1044">
        <v>1</v>
      </c>
      <c r="Y8" s="1045">
        <v>0</v>
      </c>
      <c r="Z8" s="1046">
        <f>+Table25234678910111012131214121516151718192021[[#This Row],[J/C Prod gas (MMscf)]]-Table25234678910111012131214121516151718192021[[#This Row],[J/C Utilised gas (MMscf)]]</f>
        <v>6.18</v>
      </c>
      <c r="AA8" s="1044">
        <f>+Table2523467891011101213121412151615171819202122[[#This Row],[Odid Prod gas (MMscf)]]-Table2523467891011101213121412151615171819202122[[#This Row],[Gas Export (MMscf/d)]]</f>
        <v>20.61</v>
      </c>
      <c r="AB8" s="1044">
        <f>+Table2523467891011101213121412151615171819202122[[#This Row],[Batn Prod gas (MMscf)]]-Table2523467891011101213121412151615171819202122[[#This Row],[Batn Utilised gas (MMscf)]]</f>
        <v>1.5</v>
      </c>
      <c r="AC8" s="1045">
        <f>+Table25234678910111012131214121516151718192021[[#This Row],[Egwa Prod gas (MMscf)]]-Table25234678910111012131214121516151718192021[[#This Row],[Egwa Utilised gas (MMscf)]]</f>
        <v>2.5099999999999998</v>
      </c>
      <c r="AD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35.229999999999997</v>
      </c>
      <c r="AE8" s="1044">
        <f>+Table2523467891011101213121412151615171819202122[[#This Row],[Gas Export (MMscf/d)]]</f>
        <v>0</v>
      </c>
      <c r="AF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33.39</v>
      </c>
      <c r="AH8" s="142"/>
      <c r="AI8" s="142"/>
      <c r="AJ8" s="1351" t="s">
        <v>0</v>
      </c>
      <c r="AK8" s="1351"/>
      <c r="AL8" s="1351"/>
      <c r="AM8" s="1351"/>
      <c r="AN8" s="1351"/>
      <c r="AO8" s="1351"/>
    </row>
    <row r="9" spans="2:41" ht="43.15">
      <c r="B9" s="716">
        <v>44562</v>
      </c>
      <c r="C9" s="749">
        <v>20.47</v>
      </c>
      <c r="D9" s="750">
        <v>15.22</v>
      </c>
      <c r="E9" s="750">
        <v>5.15</v>
      </c>
      <c r="F9" s="749">
        <v>3.58</v>
      </c>
      <c r="G9" s="1042">
        <f>SUM(Table25234678910111012131214121516151718192021[[#This Row],[Jones Creek Target (Mbopd)]:[Egwa Target (Mbopd)]])</f>
        <v>44.419999999999995</v>
      </c>
      <c r="H9" s="1067">
        <v>18.873000000000001</v>
      </c>
      <c r="I9" s="1068">
        <v>12.808999999999999</v>
      </c>
      <c r="J9" s="1069">
        <v>4.2939999999999996</v>
      </c>
      <c r="K9" s="1070">
        <v>2.2799999999999998</v>
      </c>
      <c r="L9" s="1070">
        <f t="shared" si="1"/>
        <v>38.256</v>
      </c>
      <c r="M9" s="753">
        <v>1.1599999999999999</v>
      </c>
      <c r="N9" s="1065">
        <f>Table2523467891011101213121412151615171819202122[[#This Row],[Jones Creek Target (Mbopd)]]-Table2523467891011101213121412151615171819202122[[#This Row],[Jones Creek (Mbopd)]]</f>
        <v>2.9059999999999988</v>
      </c>
      <c r="O9" s="1044">
        <f>Table2523467891011101213121412151615171819202122[[#This Row],[Odidi Target (Mbopd)]]-Table2523467891011101213121412151615171819202122[[#This Row],[Odidi (Mbopd)]]</f>
        <v>7.4940000000000007</v>
      </c>
      <c r="P9" s="1044">
        <f>Table2523467891011101213121412151615171819202122[[#This Row],[Batan Target (Mbopd)]]-Table2523467891011101213121412151615171819202122[[#This Row],[Batan (Mbopd)]]</f>
        <v>0.58700000000000063</v>
      </c>
      <c r="Q9" s="1066">
        <f>Table2523467891011101213121412151615171819202122[[#This Row],[Egwa Target (Mbopd)]]-Table2523467891011101213121412151615171819202122[[#This Row],[Egwa (Mbopd)]]</f>
        <v>1.2629999999999999</v>
      </c>
      <c r="R9" s="1043">
        <v>7.02</v>
      </c>
      <c r="S9" s="1044">
        <v>39.020000000000003</v>
      </c>
      <c r="T9" s="1044">
        <v>1.61</v>
      </c>
      <c r="U9" s="1045">
        <v>2.4900000000000002</v>
      </c>
      <c r="V9" s="1046">
        <v>0.84</v>
      </c>
      <c r="W9" s="1044">
        <v>0</v>
      </c>
      <c r="X9" s="1044">
        <v>1</v>
      </c>
      <c r="Y9" s="1045">
        <v>0</v>
      </c>
      <c r="Z9" s="1046">
        <f>+Table25234678910111012131214121516151718192021[[#This Row],[J/C Prod gas (MMscf)]]-Table25234678910111012131214121516151718192021[[#This Row],[J/C Utilised gas (MMscf)]]</f>
        <v>6.18</v>
      </c>
      <c r="AA9" s="1044">
        <f>+Table2523467891011101213121412151615171819202122[[#This Row],[Odid Prod gas (MMscf)]]-Table2523467891011101213121412151615171819202122[[#This Row],[Gas Export (MMscf/d)]]</f>
        <v>17.440000000000001</v>
      </c>
      <c r="AB9" s="1044">
        <f>+Table2523467891011101213121412151615171819202122[[#This Row],[Batn Prod gas (MMscf)]]-Table2523467891011101213121412151615171819202122[[#This Row],[Batn Utilised gas (MMscf)]]</f>
        <v>1.5</v>
      </c>
      <c r="AC9" s="1045">
        <f>+Table25234678910111012131214121516151718192021[[#This Row],[Egwa Prod gas (MMscf)]]-Table25234678910111012131214121516151718192021[[#This Row],[Egwa Utilised gas (MMscf)]]</f>
        <v>2.4900000000000002</v>
      </c>
      <c r="AD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32.050000000000004</v>
      </c>
      <c r="AE9" s="1044">
        <f>+Table2523467891011101213121412151615171819202122[[#This Row],[Gas Export (MMscf/d)]]</f>
        <v>0</v>
      </c>
      <c r="AF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30.21</v>
      </c>
      <c r="AH9" s="142"/>
      <c r="AI9" s="142"/>
      <c r="AJ9" s="1038" t="s">
        <v>14</v>
      </c>
      <c r="AK9" s="1038" t="s">
        <v>147</v>
      </c>
      <c r="AL9" s="1038" t="s">
        <v>147</v>
      </c>
      <c r="AM9" s="1038" t="s">
        <v>147</v>
      </c>
      <c r="AN9" s="1038" t="s">
        <v>147</v>
      </c>
      <c r="AO9" s="1038" t="s">
        <v>147</v>
      </c>
    </row>
    <row r="10" spans="2:41" ht="43.15">
      <c r="B10" s="716">
        <v>44563</v>
      </c>
      <c r="C10" s="749">
        <v>20.47</v>
      </c>
      <c r="D10" s="750">
        <v>15.22</v>
      </c>
      <c r="E10" s="750">
        <v>5.15</v>
      </c>
      <c r="F10" s="749">
        <v>3.58</v>
      </c>
      <c r="G10" s="1042">
        <f>SUM(Table25234678910111012131214121516151718192021[[#This Row],[Jones Creek Target (Mbopd)]:[Egwa Target (Mbopd)]])</f>
        <v>44.419999999999995</v>
      </c>
      <c r="H10" s="1067">
        <v>18.710999999999999</v>
      </c>
      <c r="I10" s="1068">
        <v>12.151</v>
      </c>
      <c r="J10" s="1069">
        <v>4.8920000000000003</v>
      </c>
      <c r="K10" s="1070">
        <v>2.278</v>
      </c>
      <c r="L10" s="1070">
        <f t="shared" si="1"/>
        <v>38.031999999999996</v>
      </c>
      <c r="M10" s="1123">
        <v>0</v>
      </c>
      <c r="N10" s="1065">
        <f>Table2523467891011101213121412151615171819202122[[#This Row],[Jones Creek Target (Mbopd)]]-Table2523467891011101213121412151615171819202122[[#This Row],[Jones Creek (Mbopd)]]</f>
        <v>2.907</v>
      </c>
      <c r="O10" s="1044">
        <f>Table2523467891011101213121412151615171819202122[[#This Row],[Odidi Target (Mbopd)]]-Table2523467891011101213121412151615171819202122[[#This Row],[Odidi (Mbopd)]]</f>
        <v>12.420000000000002</v>
      </c>
      <c r="P10" s="1044">
        <f>Table2523467891011101213121412151615171819202122[[#This Row],[Batan Target (Mbopd)]]-Table2523467891011101213121412151615171819202122[[#This Row],[Batan (Mbopd)]]</f>
        <v>0.55700000000000038</v>
      </c>
      <c r="Q10" s="1066">
        <f>Table2523467891011101213121412151615171819202122[[#This Row],[Egwa Target (Mbopd)]]-Table2523467891011101213121412151615171819202122[[#This Row],[Egwa (Mbopd)]]</f>
        <v>1.254</v>
      </c>
      <c r="R10" s="1043">
        <v>7.09</v>
      </c>
      <c r="S10" s="1044">
        <v>39.020000000000003</v>
      </c>
      <c r="T10" s="1044">
        <v>1.84</v>
      </c>
      <c r="U10" s="1045">
        <v>2.5299999999999998</v>
      </c>
      <c r="V10" s="1046">
        <v>0.84</v>
      </c>
      <c r="W10" s="1044">
        <v>0</v>
      </c>
      <c r="X10" s="1044">
        <v>1</v>
      </c>
      <c r="Y10" s="1045">
        <v>0</v>
      </c>
      <c r="Z10" s="1046">
        <f>+Table25234678910111012131214121516151718192021[[#This Row],[J/C Prod gas (MMscf)]]-Table25234678910111012131214121516151718192021[[#This Row],[J/C Utilised gas (MMscf)]]</f>
        <v>6.25</v>
      </c>
      <c r="AA10" s="1044">
        <f>+Table2523467891011101213121412151615171819202122[[#This Row],[Odid Prod gas (MMscf)]]-Table2523467891011101213121412151615171819202122[[#This Row],[Gas Export (MMscf/d)]]</f>
        <v>5.01</v>
      </c>
      <c r="AB10" s="1044">
        <f>+Table2523467891011101213121412151615171819202122[[#This Row],[Batn Prod gas (MMscf)]]-Table2523467891011101213121412151615171819202122[[#This Row],[Batn Utilised gas (MMscf)]]</f>
        <v>1.5</v>
      </c>
      <c r="AC10" s="1045">
        <f>+Table25234678910111012131214121516151718192021[[#This Row],[Egwa Prod gas (MMscf)]]-Table25234678910111012131214121516151718192021[[#This Row],[Egwa Utilised gas (MMscf)]]</f>
        <v>2.5299999999999998</v>
      </c>
      <c r="AD10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19.63</v>
      </c>
      <c r="AE10" s="1044">
        <f>+Table2523467891011101213121412151615171819202122[[#This Row],[Gas Export (MMscf/d)]]</f>
        <v>0</v>
      </c>
      <c r="AF10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0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17.79</v>
      </c>
      <c r="AH10" s="142"/>
      <c r="AI10" s="1037"/>
      <c r="AJ10" s="1081" t="s">
        <v>148</v>
      </c>
      <c r="AK10" s="1082">
        <f>B34</f>
        <v>44587</v>
      </c>
      <c r="AL10" s="1082">
        <f t="shared" ref="AL10:AN10" si="2">AK10+1</f>
        <v>44588</v>
      </c>
      <c r="AM10" s="1082">
        <f t="shared" si="2"/>
        <v>44589</v>
      </c>
      <c r="AN10" s="1082">
        <f t="shared" si="2"/>
        <v>44590</v>
      </c>
      <c r="AO10" s="1082">
        <f>AN10+1</f>
        <v>44591</v>
      </c>
    </row>
    <row r="11" spans="2:41" ht="21.6">
      <c r="B11" s="716">
        <v>44564</v>
      </c>
      <c r="C11" s="749">
        <v>20.47</v>
      </c>
      <c r="D11" s="750">
        <v>15.22</v>
      </c>
      <c r="E11" s="750">
        <v>5.15</v>
      </c>
      <c r="F11" s="749">
        <v>3.58</v>
      </c>
      <c r="G11" s="1042">
        <f>SUM(Table25234678910111012131214121516151718192021[[#This Row],[Jones Creek Target (Mbopd)]:[Egwa Target (Mbopd)]])</f>
        <v>44.419999999999995</v>
      </c>
      <c r="H11" s="752">
        <v>18.268000000000001</v>
      </c>
      <c r="I11" s="752">
        <v>12.265000000000001</v>
      </c>
      <c r="J11" s="1062">
        <v>4.657</v>
      </c>
      <c r="K11" s="1061">
        <v>2.262</v>
      </c>
      <c r="L11" s="1070">
        <f t="shared" si="1"/>
        <v>37.451999999999998</v>
      </c>
      <c r="M11" s="753">
        <v>5.6509999999999998</v>
      </c>
      <c r="N11" s="1065">
        <f>Table2523467891011101213121412151615171819202122[[#This Row],[Jones Creek Target (Mbopd)]]-Table2523467891011101213121412151615171819202122[[#This Row],[Jones Creek (Mbopd)]]</f>
        <v>3.1529999999999987</v>
      </c>
      <c r="O11" s="1044">
        <f>Table2523467891011101213121412151615171819202122[[#This Row],[Odidi Target (Mbopd)]]-Table2523467891011101213121412151615171819202122[[#This Row],[Odidi (Mbopd)]]</f>
        <v>15.22</v>
      </c>
      <c r="P11" s="1044">
        <f>Table2523467891011101213121412151615171819202122[[#This Row],[Batan Target (Mbopd)]]-Table2523467891011101213121412151615171819202122[[#This Row],[Batan (Mbopd)]]</f>
        <v>0.56600000000000072</v>
      </c>
      <c r="Q11" s="1066">
        <f>Table2523467891011101213121412151615171819202122[[#This Row],[Egwa Target (Mbopd)]]-Table2523467891011101213121412151615171819202122[[#This Row],[Egwa (Mbopd)]]</f>
        <v>1.2040000000000002</v>
      </c>
      <c r="R11" s="745">
        <v>7.09</v>
      </c>
      <c r="S11" s="723">
        <v>39.020000000000003</v>
      </c>
      <c r="T11" s="723">
        <v>1.84</v>
      </c>
      <c r="U11" s="747">
        <v>2.5299999999999998</v>
      </c>
      <c r="V11" s="1046">
        <v>0.84</v>
      </c>
      <c r="W11" s="1044">
        <v>0</v>
      </c>
      <c r="X11" s="1044">
        <v>1</v>
      </c>
      <c r="Y11" s="1045">
        <v>0</v>
      </c>
      <c r="Z11" s="1046">
        <f>+Table25234678910111012131214121516151718192021[[#This Row],[J/C Prod gas (MMscf)]]-Table25234678910111012131214121516151718192021[[#This Row],[J/C Utilised gas (MMscf)]]</f>
        <v>6.25</v>
      </c>
      <c r="AA11" s="1044">
        <f>+Table2523467891011101213121412151615171819202122[[#This Row],[Odid Prod gas (MMscf)]]-Table2523467891011101213121412151615171819202122[[#This Row],[Gas Export (MMscf/d)]]</f>
        <v>0</v>
      </c>
      <c r="AB11" s="1044">
        <f>+Table2523467891011101213121412151615171819202122[[#This Row],[Batn Prod gas (MMscf)]]-Table2523467891011101213121412151615171819202122[[#This Row],[Batn Utilised gas (MMscf)]]</f>
        <v>1.5</v>
      </c>
      <c r="AC11" s="1045">
        <f>+Table25234678910111012131214121516151718192021[[#This Row],[Egwa Prod gas (MMscf)]]-Table25234678910111012131214121516151718192021[[#This Row],[Egwa Utilised gas (MMscf)]]</f>
        <v>2.5299999999999998</v>
      </c>
      <c r="AD11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14.65</v>
      </c>
      <c r="AE11" s="1044">
        <f>+Table2523467891011101213121412151615171819202122[[#This Row],[Gas Export (MMscf/d)]]</f>
        <v>0</v>
      </c>
      <c r="AF11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1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12.81</v>
      </c>
      <c r="AH11" s="142"/>
      <c r="AI11" s="1080" t="s">
        <v>17</v>
      </c>
      <c r="AJ11" s="1125">
        <v>20.47</v>
      </c>
      <c r="AK11" s="1044">
        <v>18.459</v>
      </c>
      <c r="AL11" s="1129">
        <v>17.937000000000001</v>
      </c>
      <c r="AM11" s="1044">
        <v>18.398</v>
      </c>
      <c r="AN11" s="1143">
        <v>18.460999999999999</v>
      </c>
      <c r="AO11" s="1044">
        <v>18.166</v>
      </c>
    </row>
    <row r="12" spans="2:41" ht="21.6">
      <c r="B12" s="716">
        <v>44565</v>
      </c>
      <c r="C12" s="749">
        <v>20.47</v>
      </c>
      <c r="D12" s="750">
        <v>15.22</v>
      </c>
      <c r="E12" s="750">
        <v>5.15</v>
      </c>
      <c r="F12" s="749">
        <v>3.58</v>
      </c>
      <c r="G12" s="1042">
        <f>SUM(Table25234678910111012131214121516151718192021[[#This Row],[Jones Creek Target (Mbopd)]:[Egwa Target (Mbopd)]])</f>
        <v>44.419999999999995</v>
      </c>
      <c r="H12" s="1068">
        <v>18.638999999999999</v>
      </c>
      <c r="I12" s="1068">
        <v>12.081</v>
      </c>
      <c r="J12" s="1068">
        <v>4.6479999999999997</v>
      </c>
      <c r="K12" s="1069">
        <v>2.3029999999999999</v>
      </c>
      <c r="L12" s="1122">
        <f t="shared" ref="L12:L16" si="3">H12+I12+J12+K12</f>
        <v>37.670999999999992</v>
      </c>
      <c r="M12" s="1123">
        <v>11.779</v>
      </c>
      <c r="N12" s="1124">
        <f>Table2523467891011101213121412151615171819202122[[#This Row],[Jones Creek Target (Mbopd)]]-Table2523467891011101213121412151615171819202122[[#This Row],[Jones Creek (Mbopd)]]</f>
        <v>2.6609999999999978</v>
      </c>
      <c r="O12" s="1044">
        <f>Table2523467891011101213121412151615171819202122[[#This Row],[Odidi Target (Mbopd)]]-Table2523467891011101213121412151615171819202122[[#This Row],[Odidi (Mbopd)]]</f>
        <v>15.22</v>
      </c>
      <c r="P12" s="1044">
        <f>Table2523467891011101213121412151615171819202122[[#This Row],[Batan Target (Mbopd)]]-Table2523467891011101213121412151615171819202122[[#This Row],[Batan (Mbopd)]]</f>
        <v>0.56700000000000017</v>
      </c>
      <c r="Q12" s="1045">
        <f>Table2523467891011101213121412151615171819202122[[#This Row],[Egwa Target (Mbopd)]]-Table2523467891011101213121412151615171819202122[[#This Row],[Egwa (Mbopd)]]</f>
        <v>1.3029999999999999</v>
      </c>
      <c r="R12" s="1043">
        <v>7.1020000000000003</v>
      </c>
      <c r="S12" s="1044">
        <v>39.020000000000003</v>
      </c>
      <c r="T12" s="1044">
        <v>1.84</v>
      </c>
      <c r="U12" s="1045">
        <v>2.54</v>
      </c>
      <c r="V12" s="1046">
        <v>0.84</v>
      </c>
      <c r="W12" s="1044">
        <v>0</v>
      </c>
      <c r="X12" s="1044">
        <v>1</v>
      </c>
      <c r="Y12" s="1045">
        <v>0</v>
      </c>
      <c r="Z12" s="1046">
        <f>+Table25234678910111012131214121516151718192021[[#This Row],[J/C Prod gas (MMscf)]]-Table25234678910111012131214121516151718192021[[#This Row],[J/C Utilised gas (MMscf)]]</f>
        <v>6.2620000000000005</v>
      </c>
      <c r="AA12" s="1044">
        <f>+Table2523467891011101213121412151615171819202122[[#This Row],[Odid Prod gas (MMscf)]]-Table2523467891011101213121412151615171819202122[[#This Row],[Gas Export (MMscf/d)]]</f>
        <v>0</v>
      </c>
      <c r="AB12" s="1044">
        <f>+Table2523467891011101213121412151615171819202122[[#This Row],[Batn Prod gas (MMscf)]]-Table2523467891011101213121412151615171819202122[[#This Row],[Batn Utilised gas (MMscf)]]</f>
        <v>1.5</v>
      </c>
      <c r="AC12" s="1045">
        <f>+Table25234678910111012131214121516151718192021[[#This Row],[Egwa Prod gas (MMscf)]]-Table25234678910111012131214121516151718192021[[#This Row],[Egwa Utilised gas (MMscf)]]</f>
        <v>2.54</v>
      </c>
      <c r="AD12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14.68</v>
      </c>
      <c r="AE12" s="1044">
        <f>+Table2523467891011101213121412151615171819202122[[#This Row],[Gas Export (MMscf/d)]]</f>
        <v>0</v>
      </c>
      <c r="AF12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2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12.84</v>
      </c>
      <c r="AI12" s="1080" t="s">
        <v>19</v>
      </c>
      <c r="AJ12" s="1125">
        <v>15.22</v>
      </c>
      <c r="AK12" s="1127">
        <v>6.5819999999999999</v>
      </c>
      <c r="AL12" s="1143">
        <v>0</v>
      </c>
      <c r="AM12" s="1044">
        <v>3.75</v>
      </c>
      <c r="AN12" s="1143">
        <v>4.2949999999999999</v>
      </c>
      <c r="AO12" s="1044">
        <v>8.4760000000000009</v>
      </c>
    </row>
    <row r="13" spans="2:41" ht="21.6">
      <c r="B13" s="716">
        <v>44566</v>
      </c>
      <c r="C13" s="749">
        <v>20.47</v>
      </c>
      <c r="D13" s="750">
        <v>15.22</v>
      </c>
      <c r="E13" s="750">
        <v>5.15</v>
      </c>
      <c r="F13" s="749">
        <v>3.58</v>
      </c>
      <c r="G13" s="1042">
        <f>SUM(Table25234678910111012131214121516151718192021[[#This Row],[Jones Creek Target (Mbopd)]:[Egwa Target (Mbopd)]])</f>
        <v>44.419999999999995</v>
      </c>
      <c r="H13" s="1068">
        <v>18.617000000000001</v>
      </c>
      <c r="I13" s="1068">
        <v>12.013999999999999</v>
      </c>
      <c r="J13" s="749">
        <v>4.6420000000000003</v>
      </c>
      <c r="K13" s="1069">
        <v>2.2789999999999999</v>
      </c>
      <c r="L13" s="1122">
        <f t="shared" si="3"/>
        <v>37.552000000000007</v>
      </c>
      <c r="M13" s="1123">
        <v>11.237</v>
      </c>
      <c r="N13" s="1124">
        <f>Table2523467891011101213121412151615171819202122[[#This Row],[Jones Creek Target (Mbopd)]]-Table2523467891011101213121412151615171819202122[[#This Row],[Jones Creek (Mbopd)]]</f>
        <v>3.3909999999999982</v>
      </c>
      <c r="O13" s="1044">
        <f>Table2523467891011101213121412151615171819202122[[#This Row],[Odidi Target (Mbopd)]]-Table2523467891011101213121412151615171819202122[[#This Row],[Odidi (Mbopd)]]</f>
        <v>15.22</v>
      </c>
      <c r="P13" s="1044">
        <f>Table2523467891011101213121412151615171819202122[[#This Row],[Batan Target (Mbopd)]]-Table2523467891011101213121412151615171819202122[[#This Row],[Batan (Mbopd)]]</f>
        <v>0.56300000000000061</v>
      </c>
      <c r="Q13" s="1045">
        <f>Table2523467891011101213121412151615171819202122[[#This Row],[Egwa Target (Mbopd)]]-Table2523467891011101213121412151615171819202122[[#This Row],[Egwa (Mbopd)]]</f>
        <v>1.2090000000000001</v>
      </c>
      <c r="R13" s="1043">
        <v>7.0369999999999999</v>
      </c>
      <c r="S13" s="1044">
        <v>39.020000000000003</v>
      </c>
      <c r="T13" s="1044">
        <v>1.84</v>
      </c>
      <c r="U13" s="1045">
        <v>2.5299999999999998</v>
      </c>
      <c r="V13" s="1046">
        <v>0.84</v>
      </c>
      <c r="W13" s="1044">
        <v>0</v>
      </c>
      <c r="X13" s="1044">
        <v>1</v>
      </c>
      <c r="Y13" s="1045">
        <v>0</v>
      </c>
      <c r="Z13" s="1046">
        <f>+Table25234678910111012131214121516151718192021[[#This Row],[J/C Prod gas (MMscf)]]-Table25234678910111012131214121516151718192021[[#This Row],[J/C Utilised gas (MMscf)]]</f>
        <v>6.1970000000000001</v>
      </c>
      <c r="AA13" s="1044">
        <f>+Table2523467891011101213121412151615171819202122[[#This Row],[Odid Prod gas (MMscf)]]-Table2523467891011101213121412151615171819202122[[#This Row],[Gas Export (MMscf/d)]]</f>
        <v>0</v>
      </c>
      <c r="AB13" s="1044">
        <f>+Table2523467891011101213121412151615171819202122[[#This Row],[Batn Prod gas (MMscf)]]-Table2523467891011101213121412151615171819202122[[#This Row],[Batn Utilised gas (MMscf)]]</f>
        <v>0.5</v>
      </c>
      <c r="AC13" s="1045">
        <f>+Table25234678910111012131214121516151718192021[[#This Row],[Egwa Prod gas (MMscf)]]-Table25234678910111012131214121516151718192021[[#This Row],[Egwa Utilised gas (MMscf)]]</f>
        <v>2.5299999999999998</v>
      </c>
      <c r="AD13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13.580000000000002</v>
      </c>
      <c r="AE13" s="1044">
        <f>+Table2523467891011101213121412151615171819202122[[#This Row],[Gas Export (MMscf/d)]]</f>
        <v>0</v>
      </c>
      <c r="AF13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3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11.740000000000002</v>
      </c>
      <c r="AI13" s="1080" t="s">
        <v>16</v>
      </c>
      <c r="AJ13" s="1125">
        <v>5.15</v>
      </c>
      <c r="AK13" s="1044">
        <v>4.5510000000000002</v>
      </c>
      <c r="AL13" s="1143">
        <v>4.7140000000000004</v>
      </c>
      <c r="AM13" s="1044">
        <v>4.601</v>
      </c>
      <c r="AN13" s="1143">
        <v>4.5060000000000002</v>
      </c>
      <c r="AO13" s="1044">
        <v>4.5709999999999997</v>
      </c>
    </row>
    <row r="14" spans="2:41" ht="21.6">
      <c r="B14" s="716">
        <v>44567</v>
      </c>
      <c r="C14" s="749">
        <v>20.47</v>
      </c>
      <c r="D14" s="750">
        <v>15.22</v>
      </c>
      <c r="E14" s="750">
        <v>5.15</v>
      </c>
      <c r="F14" s="749">
        <v>3.58</v>
      </c>
      <c r="G14" s="1042">
        <f>SUM(Table25234678910111012131214121516151718192021[[#This Row],[Jones Creek Target (Mbopd)]:[Egwa Target (Mbopd)]])</f>
        <v>44.419999999999995</v>
      </c>
      <c r="H14" s="1068">
        <v>18.637</v>
      </c>
      <c r="I14" s="1042">
        <v>4.5129999999999999</v>
      </c>
      <c r="J14" s="1068">
        <v>4.625</v>
      </c>
      <c r="K14" s="1083">
        <v>1.532</v>
      </c>
      <c r="L14" s="1122">
        <f t="shared" si="3"/>
        <v>29.306999999999999</v>
      </c>
      <c r="M14" s="1126">
        <v>3.169</v>
      </c>
      <c r="N14" s="1124">
        <f>Table2523467891011101213121412151615171819202122[[#This Row],[Jones Creek Target (Mbopd)]]-Table2523467891011101213121412151615171819202122[[#This Row],[Jones Creek (Mbopd)]]</f>
        <v>1.3049999999999997</v>
      </c>
      <c r="O14" s="1044">
        <f>Table2523467891011101213121412151615171819202122[[#This Row],[Odidi Target (Mbopd)]]-Table2523467891011101213121412151615171819202122[[#This Row],[Odidi (Mbopd)]]</f>
        <v>15.22</v>
      </c>
      <c r="P14" s="1044">
        <f>Table2523467891011101213121412151615171819202122[[#This Row],[Batan Target (Mbopd)]]-Table2523467891011101213121412151615171819202122[[#This Row],[Batan (Mbopd)]]</f>
        <v>0.56099999999999994</v>
      </c>
      <c r="Q14" s="1045">
        <f>Table2523467891011101213121412151615171819202122[[#This Row],[Egwa Target (Mbopd)]]-Table2523467891011101213121412151615171819202122[[#This Row],[Egwa (Mbopd)]]</f>
        <v>1.1579999999999999</v>
      </c>
      <c r="R14" s="1043">
        <v>7.0369999999999999</v>
      </c>
      <c r="S14" s="1127">
        <v>39.020000000000003</v>
      </c>
      <c r="T14" s="1044">
        <v>1.84</v>
      </c>
      <c r="U14" s="1128">
        <v>1.63</v>
      </c>
      <c r="V14" s="1046">
        <v>0.84</v>
      </c>
      <c r="W14" s="1044">
        <v>0</v>
      </c>
      <c r="X14" s="1044">
        <v>1</v>
      </c>
      <c r="Y14" s="1045">
        <v>0</v>
      </c>
      <c r="Z14" s="1046">
        <f>+Table25234678910111012131214121516151718192021[[#This Row],[J/C Prod gas (MMscf)]]-Table25234678910111012131214121516151718192021[[#This Row],[J/C Utilised gas (MMscf)]]</f>
        <v>6.1970000000000001</v>
      </c>
      <c r="AA14" s="1044">
        <f>+Table2523467891011101213121412151615171819202122[[#This Row],[Odid Prod gas (MMscf)]]-Table2523467891011101213121412151615171819202122[[#This Row],[Gas Export (MMscf/d)]]</f>
        <v>0</v>
      </c>
      <c r="AB14" s="1044">
        <f>+Table2523467891011101213121412151615171819202122[[#This Row],[Batn Prod gas (MMscf)]]-Table2523467891011101213121412151615171819202122[[#This Row],[Batn Utilised gas (MMscf)]]</f>
        <v>0.5</v>
      </c>
      <c r="AC14" s="1045">
        <f>+Table25234678910111012131214121516151718192021[[#This Row],[Egwa Prod gas (MMscf)]]-Table25234678910111012131214121516151718192021[[#This Row],[Egwa Utilised gas (MMscf)]]</f>
        <v>1.63</v>
      </c>
      <c r="AD14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13.52</v>
      </c>
      <c r="AE14" s="1044">
        <f>+Table2523467891011101213121412151615171819202122[[#This Row],[Gas Export (MMscf/d)]]</f>
        <v>0</v>
      </c>
      <c r="AF14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4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11.68</v>
      </c>
      <c r="AI14" s="1080" t="s">
        <v>18</v>
      </c>
      <c r="AJ14" s="1125">
        <v>3.58</v>
      </c>
      <c r="AK14" s="1075">
        <v>2.3620000000000001</v>
      </c>
      <c r="AL14" s="1144">
        <v>2.347</v>
      </c>
      <c r="AM14" s="1075">
        <v>2.3460000000000001</v>
      </c>
      <c r="AN14" s="1144">
        <v>2.3759999999999999</v>
      </c>
      <c r="AO14" s="1075">
        <v>2.363</v>
      </c>
    </row>
    <row r="15" spans="2:41" ht="21.6">
      <c r="B15" s="716">
        <v>44568</v>
      </c>
      <c r="C15" s="749">
        <v>20.47</v>
      </c>
      <c r="D15" s="750">
        <v>15.22</v>
      </c>
      <c r="E15" s="750">
        <v>5.15</v>
      </c>
      <c r="F15" s="749">
        <v>3.58</v>
      </c>
      <c r="G15" s="1042">
        <f>SUM(Table25234678910111012131214121516151718192021[[#This Row],[Jones Creek Target (Mbopd)]:[Egwa Target (Mbopd)]])</f>
        <v>44.419999999999995</v>
      </c>
      <c r="H15" s="1068">
        <v>18.106999999999999</v>
      </c>
      <c r="I15" s="1068">
        <v>4.7009999999999996</v>
      </c>
      <c r="J15" s="1068">
        <v>4.6500000000000004</v>
      </c>
      <c r="K15" s="1069">
        <v>0</v>
      </c>
      <c r="L15" s="1122">
        <f t="shared" si="3"/>
        <v>27.457999999999998</v>
      </c>
      <c r="M15" s="1123">
        <v>0</v>
      </c>
      <c r="N15" s="1124">
        <f>Table2523467891011101213121412151615171819202122[[#This Row],[Jones Creek Target (Mbopd)]]-Table2523467891011101213121412151615171819202122[[#This Row],[Jones Creek (Mbopd)]]</f>
        <v>3.879999999999999</v>
      </c>
      <c r="O15" s="1044">
        <f>Table2523467891011101213121412151615171819202122[[#This Row],[Odidi Target (Mbopd)]]-Table2523467891011101213121412151615171819202122[[#This Row],[Odidi (Mbopd)]]</f>
        <v>15.22</v>
      </c>
      <c r="P15" s="1044">
        <f>Table2523467891011101213121412151615171819202122[[#This Row],[Batan Target (Mbopd)]]-Table2523467891011101213121412151615171819202122[[#This Row],[Batan (Mbopd)]]</f>
        <v>0.56300000000000061</v>
      </c>
      <c r="Q15" s="1045">
        <f>Table2523467891011101213121412151615171819202122[[#This Row],[Egwa Target (Mbopd)]]-Table2523467891011101213121412151615171819202122[[#This Row],[Egwa (Mbopd)]]</f>
        <v>1.173</v>
      </c>
      <c r="R15" s="1043">
        <v>7.0369999999999999</v>
      </c>
      <c r="S15" s="1044">
        <v>10.06</v>
      </c>
      <c r="T15" s="1044">
        <v>1.84</v>
      </c>
      <c r="U15" s="1045">
        <v>0</v>
      </c>
      <c r="V15" s="1046">
        <v>0.84</v>
      </c>
      <c r="W15" s="1044">
        <v>0</v>
      </c>
      <c r="X15" s="1044">
        <v>1</v>
      </c>
      <c r="Y15" s="1045">
        <v>0</v>
      </c>
      <c r="Z15" s="1046">
        <f>+Table25234678910111012131214121516151718192021[[#This Row],[J/C Prod gas (MMscf)]]-Table25234678910111012131214121516151718192021[[#This Row],[J/C Utilised gas (MMscf)]]</f>
        <v>6.1970000000000001</v>
      </c>
      <c r="AA15" s="1044">
        <f>+Table2523467891011101213121412151615171819202122[[#This Row],[Odid Prod gas (MMscf)]]-Table2523467891011101213121412151615171819202122[[#This Row],[Gas Export (MMscf/d)]]</f>
        <v>0</v>
      </c>
      <c r="AB15" s="1044">
        <f>+Table2523467891011101213121412151615171819202122[[#This Row],[Batn Prod gas (MMscf)]]-Table2523467891011101213121412151615171819202122[[#This Row],[Batn Utilised gas (MMscf)]]</f>
        <v>1.5</v>
      </c>
      <c r="AC15" s="1045">
        <f>+Table25234678910111012131214121516151718192021[[#This Row],[Egwa Prod gas (MMscf)]]-Table25234678910111012131214121516151718192021[[#This Row],[Egwa Utilised gas (MMscf)]]</f>
        <v>0</v>
      </c>
      <c r="AD1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14.53</v>
      </c>
      <c r="AE15" s="1044">
        <f>+Table2523467891011101213121412151615171819202122[[#This Row],[Gas Export (MMscf/d)]]</f>
        <v>0</v>
      </c>
      <c r="AF1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12.69</v>
      </c>
      <c r="AI15" s="1080" t="s">
        <v>447</v>
      </c>
      <c r="AJ15" s="1129">
        <f>SUM(AJ11:AJ14)</f>
        <v>44.419999999999995</v>
      </c>
      <c r="AK15" s="1142">
        <f>AK11+AK12+AK13+AK14</f>
        <v>31.954000000000001</v>
      </c>
      <c r="AL15" s="1145">
        <f>AL11+AL12+AL13+AL14</f>
        <v>24.998000000000005</v>
      </c>
      <c r="AM15" s="1142">
        <f>AM11+AM12+AM13+AM14</f>
        <v>29.094999999999999</v>
      </c>
      <c r="AN15" s="1145">
        <f>AN11+AN12+AN13+AN14</f>
        <v>29.638000000000002</v>
      </c>
      <c r="AO15" s="1142">
        <f>AO11+AO12+AO13+AO14</f>
        <v>33.576000000000001</v>
      </c>
    </row>
    <row r="16" spans="2:41" ht="21.6">
      <c r="B16" s="716">
        <v>44569</v>
      </c>
      <c r="C16" s="749">
        <v>20.47</v>
      </c>
      <c r="D16" s="750">
        <v>15.22</v>
      </c>
      <c r="E16" s="750">
        <v>5.15</v>
      </c>
      <c r="F16" s="749">
        <v>3.58</v>
      </c>
      <c r="G16" s="1042">
        <f>SUM(Table25234678910111012131214121516151718192021[[#This Row],[Jones Creek Target (Mbopd)]:[Egwa Target (Mbopd)]])</f>
        <v>44.419999999999995</v>
      </c>
      <c r="H16" s="1068">
        <v>18.494</v>
      </c>
      <c r="I16" s="1068">
        <v>9.843</v>
      </c>
      <c r="J16" s="1068">
        <v>4.6289999999999996</v>
      </c>
      <c r="K16" s="1069">
        <v>0</v>
      </c>
      <c r="L16" s="1122">
        <f t="shared" si="3"/>
        <v>32.966000000000001</v>
      </c>
      <c r="M16" s="1123">
        <v>0</v>
      </c>
      <c r="N16" s="1124">
        <f>Table2523467891011101213121412151615171819202122[[#This Row],[Jones Creek Target (Mbopd)]]-Table2523467891011101213121412151615171819202122[[#This Row],[Jones Creek (Mbopd)]]</f>
        <v>3.8149999999999977</v>
      </c>
      <c r="O16" s="1044">
        <f>Table2523467891011101213121412151615171819202122[[#This Row],[Odidi Target (Mbopd)]]-Table2523467891011101213121412151615171819202122[[#This Row],[Odidi (Mbopd)]]</f>
        <v>11.947000000000001</v>
      </c>
      <c r="P16" s="1044">
        <f>Table2523467891011101213121412151615171819202122[[#This Row],[Batan Target (Mbopd)]]-Table2523467891011101213121412151615171819202122[[#This Row],[Batan (Mbopd)]]</f>
        <v>0.61100000000000065</v>
      </c>
      <c r="Q16" s="1045">
        <f>Table2523467891011101213121412151615171819202122[[#This Row],[Egwa Target (Mbopd)]]-Table2523467891011101213121412151615171819202122[[#This Row],[Egwa (Mbopd)]]</f>
        <v>1.1750000000000003</v>
      </c>
      <c r="R16" s="1043">
        <v>7.0369999999999999</v>
      </c>
      <c r="S16" s="1044">
        <v>22.29</v>
      </c>
      <c r="T16" s="1044">
        <v>1.84</v>
      </c>
      <c r="U16" s="1045">
        <v>0</v>
      </c>
      <c r="V16" s="1046">
        <v>0.84</v>
      </c>
      <c r="W16" s="1044">
        <v>0</v>
      </c>
      <c r="X16" s="1044">
        <v>1</v>
      </c>
      <c r="Y16" s="1045">
        <v>0</v>
      </c>
      <c r="Z16" s="1046">
        <f>+Table25234678910111012131214121516151718192021[[#This Row],[J/C Prod gas (MMscf)]]-Table25234678910111012131214121516151718192021[[#This Row],[J/C Utilised gas (MMscf)]]</f>
        <v>6.1970000000000001</v>
      </c>
      <c r="AA16" s="1044">
        <f>+Table2523467891011101213121412151615171819202122[[#This Row],[Odid Prod gas (MMscf)]]-Table2523467891011101213121412151615171819202122[[#This Row],[Gas Export (MMscf/d)]]</f>
        <v>2.5299999999999998</v>
      </c>
      <c r="AB16" s="1044">
        <f>+Table2523467891011101213121412151615171819202122[[#This Row],[Batn Prod gas (MMscf)]]-Table2523467891011101213121412151615171819202122[[#This Row],[Batn Utilised gas (MMscf)]]</f>
        <v>1.5</v>
      </c>
      <c r="AC16" s="1045">
        <f>+Table25234678910111012131214121516151718192021[[#This Row],[Egwa Prod gas (MMscf)]]-Table25234678910111012131214121516151718192021[[#This Row],[Egwa Utilised gas (MMscf)]]</f>
        <v>0</v>
      </c>
      <c r="AD1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17.09</v>
      </c>
      <c r="AE16" s="1044">
        <f>+Table2523467891011101213121412151615171819202122[[#This Row],[Gas Export (MMscf/d)]]</f>
        <v>0</v>
      </c>
      <c r="AF1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15.25</v>
      </c>
      <c r="AI16" s="1080" t="s">
        <v>448</v>
      </c>
      <c r="AJ16" s="1129">
        <v>26</v>
      </c>
      <c r="AK16" s="1146">
        <v>0</v>
      </c>
      <c r="AL16" s="1147">
        <v>0</v>
      </c>
      <c r="AM16" s="1146">
        <v>0</v>
      </c>
      <c r="AN16" s="1147">
        <v>0</v>
      </c>
      <c r="AO16" s="1146">
        <v>0</v>
      </c>
    </row>
    <row r="17" spans="2:35" ht="21.6">
      <c r="B17" s="716">
        <v>44570</v>
      </c>
      <c r="C17" s="749">
        <v>20.47</v>
      </c>
      <c r="D17" s="750">
        <v>15.22</v>
      </c>
      <c r="E17" s="750">
        <v>5.15</v>
      </c>
      <c r="F17" s="749">
        <v>3.58</v>
      </c>
      <c r="G17" s="1042">
        <f>SUM(Table25234678910111012131214121516151718192021[[#This Row],[Jones Creek Target (Mbopd)]:[Egwa Target (Mbopd)]])</f>
        <v>44.419999999999995</v>
      </c>
      <c r="H17" s="1068">
        <v>18.571999999999999</v>
      </c>
      <c r="I17" s="1068">
        <v>10.188000000000001</v>
      </c>
      <c r="J17" s="1068">
        <v>4.6280000000000001</v>
      </c>
      <c r="K17" s="1069">
        <v>0</v>
      </c>
      <c r="L17" s="1122">
        <f t="shared" ref="L17" si="4">H17+I17+J17+K17</f>
        <v>33.387999999999998</v>
      </c>
      <c r="M17" s="1123">
        <v>2.7330000000000001</v>
      </c>
      <c r="N17" s="1124">
        <f>Table2523467891011101213121412151615171819202122[[#This Row],[Jones Creek Target (Mbopd)]]-Table2523467891011101213121412151615171819202122[[#This Row],[Jones Creek (Mbopd)]]</f>
        <v>6.2359999999999989</v>
      </c>
      <c r="O17" s="1044">
        <f>Table2523467891011101213121412151615171819202122[[#This Row],[Odidi Target (Mbopd)]]-Table2523467891011101213121412151615171819202122[[#This Row],[Odidi (Mbopd)]]</f>
        <v>8.5489999999999995</v>
      </c>
      <c r="P17" s="1044">
        <f>Table2523467891011101213121412151615171819202122[[#This Row],[Batan Target (Mbopd)]]-Table2523467891011101213121412151615171819202122[[#This Row],[Batan (Mbopd)]]</f>
        <v>4.952</v>
      </c>
      <c r="Q17" s="1045">
        <f>Table2523467891011101213121412151615171819202122[[#This Row],[Egwa Target (Mbopd)]]-Table2523467891011101213121412151615171819202122[[#This Row],[Egwa (Mbopd)]]</f>
        <v>1.1819999999999999</v>
      </c>
      <c r="R17" s="1043">
        <v>7.0369999999999999</v>
      </c>
      <c r="S17" s="1044">
        <v>25.73</v>
      </c>
      <c r="T17" s="1044">
        <v>1.84</v>
      </c>
      <c r="U17" s="1045">
        <v>0</v>
      </c>
      <c r="V17" s="1046">
        <v>0.84</v>
      </c>
      <c r="W17" s="1044">
        <v>0</v>
      </c>
      <c r="X17" s="1044">
        <v>1</v>
      </c>
      <c r="Y17" s="1045">
        <v>0</v>
      </c>
      <c r="Z17" s="1046">
        <f>+Table25234678910111012131214121516151718192021[[#This Row],[J/C Prod gas (MMscf)]]-Table25234678910111012131214121516151718192021[[#This Row],[J/C Utilised gas (MMscf)]]</f>
        <v>6.1970000000000001</v>
      </c>
      <c r="AA17" s="1044">
        <f>+Table2523467891011101213121412151615171819202122[[#This Row],[Odid Prod gas (MMscf)]]-Table2523467891011101213121412151615171819202122[[#This Row],[Gas Export (MMscf/d)]]</f>
        <v>12.83</v>
      </c>
      <c r="AB17" s="1044">
        <f>+Table2523467891011101213121412151615171819202122[[#This Row],[Batn Prod gas (MMscf)]]-Table2523467891011101213121412151615171819202122[[#This Row],[Batn Utilised gas (MMscf)]]</f>
        <v>0.30000000000000004</v>
      </c>
      <c r="AC17" s="1045">
        <f>+Table25234678910111012131214121516151718192021[[#This Row],[Egwa Prod gas (MMscf)]]-Table25234678910111012131214121516151718192021[[#This Row],[Egwa Utilised gas (MMscf)]]</f>
        <v>0</v>
      </c>
      <c r="AD1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25.289999999999996</v>
      </c>
      <c r="AE17" s="1044">
        <f>+Table2523467891011101213121412151615171819202122[[#This Row],[Gas Export (MMscf/d)]]</f>
        <v>0</v>
      </c>
      <c r="AF1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0.94</v>
      </c>
      <c r="AG1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24.35</v>
      </c>
      <c r="AI17" s="142"/>
    </row>
    <row r="18" spans="2:35" ht="21.6">
      <c r="B18" s="716">
        <v>44571</v>
      </c>
      <c r="C18" s="749">
        <v>20.47</v>
      </c>
      <c r="D18" s="750">
        <v>15.22</v>
      </c>
      <c r="E18" s="750">
        <v>5.15</v>
      </c>
      <c r="F18" s="749">
        <v>3.58</v>
      </c>
      <c r="G18" s="1042">
        <f>SUM(Table25234678910111012131214121516151718192021[[#This Row],[Jones Creek Target (Mbopd)]:[Egwa Target (Mbopd)]])</f>
        <v>44.419999999999995</v>
      </c>
      <c r="H18" s="1068">
        <v>18.291</v>
      </c>
      <c r="I18" s="1068">
        <v>11.336</v>
      </c>
      <c r="J18" s="1068">
        <v>4.633</v>
      </c>
      <c r="K18" s="1069">
        <v>0</v>
      </c>
      <c r="L18" s="1122">
        <f t="shared" ref="L18:L19" si="5">H18+I18+J18+K18</f>
        <v>34.260000000000005</v>
      </c>
      <c r="M18" s="1123">
        <v>9.6739999999999995</v>
      </c>
      <c r="N18" s="1124">
        <f>Table2523467891011101213121412151615171819202122[[#This Row],[Jones Creek Target (Mbopd)]]-Table2523467891011101213121412151615171819202122[[#This Row],[Jones Creek (Mbopd)]]</f>
        <v>11.792999999999999</v>
      </c>
      <c r="O18" s="1044">
        <f>Table2523467891011101213121412151615171819202122[[#This Row],[Odidi Target (Mbopd)]]-Table2523467891011101213121412151615171819202122[[#This Row],[Odidi (Mbopd)]]</f>
        <v>7.94</v>
      </c>
      <c r="P18" s="1044">
        <f>Table2523467891011101213121412151615171819202122[[#This Row],[Batan Target (Mbopd)]]-Table2523467891011101213121412151615171819202122[[#This Row],[Batan (Mbopd)]]</f>
        <v>5.15</v>
      </c>
      <c r="Q18" s="1045">
        <f>Table2523467891011101213121412151615171819202122[[#This Row],[Egwa Target (Mbopd)]]-Table2523467891011101213121412151615171819202122[[#This Row],[Egwa (Mbopd)]]</f>
        <v>1.1790000000000003</v>
      </c>
      <c r="R18" s="1043">
        <v>7.0369999999999999</v>
      </c>
      <c r="S18" s="1044">
        <v>27.34</v>
      </c>
      <c r="T18" s="1044">
        <v>1.84</v>
      </c>
      <c r="U18" s="1045">
        <v>0</v>
      </c>
      <c r="V18" s="1046">
        <v>0.84</v>
      </c>
      <c r="W18" s="1044">
        <v>0</v>
      </c>
      <c r="X18" s="1044">
        <v>1</v>
      </c>
      <c r="Y18" s="1045">
        <v>0</v>
      </c>
      <c r="Z18" s="1046">
        <f>+Table25234678910111012131214121516151718192021[[#This Row],[J/C Prod gas (MMscf)]]-Table25234678910111012131214121516151718192021[[#This Row],[J/C Utilised gas (MMscf)]]</f>
        <v>6.1970000000000001</v>
      </c>
      <c r="AA18" s="1044">
        <f>+Table2523467891011101213121412151615171819202122[[#This Row],[Odid Prod gas (MMscf)]]-Table2523467891011101213121412151615171819202122[[#This Row],[Gas Export (MMscf/d)]]</f>
        <v>15.41</v>
      </c>
      <c r="AB18" s="1044">
        <f>+Table2523467891011101213121412151615171819202122[[#This Row],[Batn Prod gas (MMscf)]]-Table2523467891011101213121412151615171819202122[[#This Row],[Batn Utilised gas (MMscf)]]</f>
        <v>0</v>
      </c>
      <c r="AC18" s="1045">
        <f>+Table25234678910111012131214121516151718192021[[#This Row],[Egwa Prod gas (MMscf)]]-Table25234678910111012131214121516151718192021[[#This Row],[Egwa Utilised gas (MMscf)]]</f>
        <v>0</v>
      </c>
      <c r="AD1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27.46</v>
      </c>
      <c r="AE18" s="1044">
        <f>+Table2523467891011101213121412151615171819202122[[#This Row],[Gas Export (MMscf/d)]]</f>
        <v>0</v>
      </c>
      <c r="AF1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1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26.62</v>
      </c>
      <c r="AI18" s="242"/>
    </row>
    <row r="19" spans="2:35" ht="21.6">
      <c r="B19" s="716">
        <v>44572</v>
      </c>
      <c r="C19" s="749">
        <v>20.47</v>
      </c>
      <c r="D19" s="750">
        <v>15.22</v>
      </c>
      <c r="E19" s="750">
        <v>5.15</v>
      </c>
      <c r="F19" s="749">
        <v>3.58</v>
      </c>
      <c r="G19" s="1042">
        <f>SUM(Table25234678910111012131214121516151718192021[[#This Row],[Jones Creek Target (Mbopd)]:[Egwa Target (Mbopd)]])</f>
        <v>44.419999999999995</v>
      </c>
      <c r="H19" s="1068">
        <v>18.683</v>
      </c>
      <c r="I19" s="1068">
        <v>11.38</v>
      </c>
      <c r="J19" s="1068">
        <v>4.5999999999999996</v>
      </c>
      <c r="K19" s="1069">
        <v>0.57099999999999995</v>
      </c>
      <c r="L19" s="1122">
        <f t="shared" si="5"/>
        <v>35.234000000000002</v>
      </c>
      <c r="M19" s="1123">
        <v>3.0070000000000001</v>
      </c>
      <c r="N19" s="1124">
        <f>Table2523467891011101213121412151615171819202122[[#This Row],[Jones Creek Target (Mbopd)]]-Table2523467891011101213121412151615171819202122[[#This Row],[Jones Creek (Mbopd)]]</f>
        <v>11.94</v>
      </c>
      <c r="O19" s="1044">
        <f>Table2523467891011101213121412151615171819202122[[#This Row],[Odidi Target (Mbopd)]]-Table2523467891011101213121412151615171819202122[[#This Row],[Odidi (Mbopd)]]</f>
        <v>6.8610000000000007</v>
      </c>
      <c r="P19" s="1044">
        <f>Table2523467891011101213121412151615171819202122[[#This Row],[Batan Target (Mbopd)]]-Table2523467891011101213121412151615171819202122[[#This Row],[Batan (Mbopd)]]</f>
        <v>5.15</v>
      </c>
      <c r="Q19" s="1045">
        <f>Table2523467891011101213121412151615171819202122[[#This Row],[Egwa Target (Mbopd)]]-Table2523467891011101213121412151615171819202122[[#This Row],[Egwa (Mbopd)]]</f>
        <v>1.2050000000000001</v>
      </c>
      <c r="R19" s="1043">
        <v>7.0369999999999999</v>
      </c>
      <c r="S19" s="1044">
        <v>30.74</v>
      </c>
      <c r="T19" s="1044">
        <v>1.84</v>
      </c>
      <c r="U19" s="1045">
        <v>0.16</v>
      </c>
      <c r="V19" s="1046">
        <v>0.84</v>
      </c>
      <c r="W19" s="1044">
        <v>0</v>
      </c>
      <c r="X19" s="1044">
        <v>1</v>
      </c>
      <c r="Y19" s="1045">
        <v>0</v>
      </c>
      <c r="Z19" s="1046">
        <f>+Table25234678910111012131214121516151718192021[[#This Row],[J/C Prod gas (MMscf)]]-Table25234678910111012131214121516151718192021[[#This Row],[J/C Utilised gas (MMscf)]]</f>
        <v>6.1970000000000001</v>
      </c>
      <c r="AA19" s="1044">
        <f>+Table2523467891011101213121412151615171819202122[[#This Row],[Odid Prod gas (MMscf)]]-Table2523467891011101213121412151615171819202122[[#This Row],[Gas Export (MMscf/d)]]</f>
        <v>19.09</v>
      </c>
      <c r="AB19" s="1044">
        <f>+Table2523467891011101213121412151615171819202122[[#This Row],[Batn Prod gas (MMscf)]]-Table2523467891011101213121412151615171819202122[[#This Row],[Batn Utilised gas (MMscf)]]</f>
        <v>0</v>
      </c>
      <c r="AC19" s="1045">
        <f>+Table25234678910111012131214121516151718192021[[#This Row],[Egwa Prod gas (MMscf)]]-Table25234678910111012131214121516151718192021[[#This Row],[Egwa Utilised gas (MMscf)]]</f>
        <v>0.16</v>
      </c>
      <c r="AD1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31.18</v>
      </c>
      <c r="AE19" s="1044">
        <f>+Table2523467891011101213121412151615171819202122[[#This Row],[Gas Export (MMscf/d)]]</f>
        <v>0</v>
      </c>
      <c r="AF1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1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30.34</v>
      </c>
      <c r="AH19" s="734"/>
      <c r="AI19" s="242"/>
    </row>
    <row r="20" spans="2:35">
      <c r="B20" s="716">
        <v>44573</v>
      </c>
      <c r="C20" s="749">
        <v>20.47</v>
      </c>
      <c r="D20" s="750">
        <v>15.22</v>
      </c>
      <c r="E20" s="750">
        <v>5.15</v>
      </c>
      <c r="F20" s="749">
        <v>3.58</v>
      </c>
      <c r="G20" s="1042">
        <f>SUM(Table25234678910111012131214121516151718192021[[#This Row],[Jones Creek Target (Mbopd)]:[Egwa Target (Mbopd)]])</f>
        <v>44.419999999999995</v>
      </c>
      <c r="H20" s="1068">
        <v>18.545000000000002</v>
      </c>
      <c r="I20" s="1068">
        <v>11.244</v>
      </c>
      <c r="J20" s="1068">
        <v>4.6269999999999998</v>
      </c>
      <c r="K20" s="1132">
        <v>0</v>
      </c>
      <c r="L20" s="1131">
        <f>H20+I20+J20+K20</f>
        <v>34.416000000000004</v>
      </c>
      <c r="M20" s="1123">
        <v>3.2010000000000001</v>
      </c>
      <c r="N20" s="1124">
        <f>Table2523467891011101213121412151615171819202122[[#This Row],[Jones Creek Target (Mbopd)]]-Table2523467891011101213121412151615171819202122[[#This Row],[Jones Creek (Mbopd)]]</f>
        <v>11.823999999999998</v>
      </c>
      <c r="O20" s="1044">
        <f>Table2523467891011101213121412151615171819202122[[#This Row],[Odidi Target (Mbopd)]]-Table2523467891011101213121412151615171819202122[[#This Row],[Odidi (Mbopd)]]</f>
        <v>5.7710000000000008</v>
      </c>
      <c r="P20" s="1044">
        <f>Table2523467891011101213121412151615171819202122[[#This Row],[Batan Target (Mbopd)]]-Table2523467891011101213121412151615171819202122[[#This Row],[Batan (Mbopd)]]</f>
        <v>5.15</v>
      </c>
      <c r="Q20" s="1045">
        <f>Table2523467891011101213121412151615171819202122[[#This Row],[Egwa Target (Mbopd)]]-Table2523467891011101213121412151615171819202122[[#This Row],[Egwa (Mbopd)]]</f>
        <v>1.2189999999999999</v>
      </c>
      <c r="R20" s="1043">
        <v>7.04</v>
      </c>
      <c r="S20" s="1044">
        <v>29.82</v>
      </c>
      <c r="T20" s="1044">
        <v>1.84</v>
      </c>
      <c r="U20" s="1045">
        <v>0</v>
      </c>
      <c r="V20" s="1046">
        <v>0.84</v>
      </c>
      <c r="W20" s="1044">
        <v>0</v>
      </c>
      <c r="X20" s="1044">
        <v>1</v>
      </c>
      <c r="Y20" s="1045">
        <v>0</v>
      </c>
      <c r="Z20" s="1046">
        <f>+Table25234678910111012131214121516151718192021[[#This Row],[J/C Prod gas (MMscf)]]-Table25234678910111012131214121516151718192021[[#This Row],[J/C Utilised gas (MMscf)]]</f>
        <v>6.2</v>
      </c>
      <c r="AA20" s="1044">
        <f>+Table2523467891011101213121412151615171819202122[[#This Row],[Odid Prod gas (MMscf)]]-Table2523467891011101213121412151615171819202122[[#This Row],[Gas Export (MMscf/d)]]</f>
        <v>21.43</v>
      </c>
      <c r="AB20" s="1044">
        <f>+Table2523467891011101213121412151615171819202122[[#This Row],[Batn Prod gas (MMscf)]]-Table2523467891011101213121412151615171819202122[[#This Row],[Batn Utilised gas (MMscf)]]</f>
        <v>0</v>
      </c>
      <c r="AC20" s="1045">
        <f>+Table25234678910111012131214121516151718192021[[#This Row],[Egwa Prod gas (MMscf)]]-Table25234678910111012131214121516151718192021[[#This Row],[Egwa Utilised gas (MMscf)]]</f>
        <v>0</v>
      </c>
      <c r="AD20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26.419999999999998</v>
      </c>
      <c r="AE20" s="1044">
        <f>+Table2523467891011101213121412151615171819202122[[#This Row],[Gas Export (MMscf/d)]]</f>
        <v>0</v>
      </c>
      <c r="AF20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0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25.580000000000002</v>
      </c>
    </row>
    <row r="21" spans="2:35">
      <c r="B21" s="716">
        <v>44574</v>
      </c>
      <c r="C21" s="749">
        <v>20.47</v>
      </c>
      <c r="D21" s="750">
        <v>15.22</v>
      </c>
      <c r="E21" s="750">
        <v>5.15</v>
      </c>
      <c r="F21" s="749">
        <v>3.58</v>
      </c>
      <c r="G21" s="1042">
        <f>SUM(Table25234678910111012131214121516151718192021[[#This Row],[Jones Creek Target (Mbopd)]:[Egwa Target (Mbopd)]])</f>
        <v>44.419999999999995</v>
      </c>
      <c r="H21" s="1068">
        <v>18.632999999999999</v>
      </c>
      <c r="I21" s="1068">
        <v>10.547000000000001</v>
      </c>
      <c r="J21" s="1068">
        <v>4.5940000000000003</v>
      </c>
      <c r="K21" s="1132">
        <v>0.314</v>
      </c>
      <c r="L21" s="1131">
        <f>H21+I21+J21+K21</f>
        <v>34.088000000000001</v>
      </c>
      <c r="M21" s="1123">
        <v>14.99</v>
      </c>
      <c r="N21" s="1124">
        <f>Table2523467891011101213121412151615171819202122[[#This Row],[Jones Creek Target (Mbopd)]]-Table2523467891011101213121412151615171819202122[[#This Row],[Jones Creek (Mbopd)]]</f>
        <v>11.084</v>
      </c>
      <c r="O21" s="1044">
        <f>Table2523467891011101213121412151615171819202122[[#This Row],[Odidi Target (Mbopd)]]-Table2523467891011101213121412151615171819202122[[#This Row],[Odidi (Mbopd)]]</f>
        <v>4.1180000000000003</v>
      </c>
      <c r="P21" s="1044">
        <f>Table2523467891011101213121412151615171819202122[[#This Row],[Batan Target (Mbopd)]]-Table2523467891011101213121412151615171819202122[[#This Row],[Batan (Mbopd)]]</f>
        <v>5.15</v>
      </c>
      <c r="Q21" s="1045">
        <f>Table2523467891011101213121412151615171819202122[[#This Row],[Egwa Target (Mbopd)]]-Table2523467891011101213121412151615171819202122[[#This Row],[Egwa (Mbopd)]]</f>
        <v>1.1859999999999999</v>
      </c>
      <c r="R21" s="1043">
        <v>7.04</v>
      </c>
      <c r="S21" s="1044">
        <v>30.05</v>
      </c>
      <c r="T21" s="1044">
        <v>1.84</v>
      </c>
      <c r="U21" s="1045">
        <v>0.01</v>
      </c>
      <c r="V21" s="1046">
        <v>0.84</v>
      </c>
      <c r="W21" s="1044">
        <v>0</v>
      </c>
      <c r="X21" s="1044">
        <v>1</v>
      </c>
      <c r="Y21" s="1045">
        <v>0</v>
      </c>
      <c r="Z21" s="1046">
        <f>+Table25234678910111012131214121516151718192021[[#This Row],[J/C Prod gas (MMscf)]]-Table25234678910111012131214121516151718192021[[#This Row],[J/C Utilised gas (MMscf)]]</f>
        <v>6.2</v>
      </c>
      <c r="AA21" s="1044">
        <f>+Table2523467891011101213121412151615171819202122[[#This Row],[Odid Prod gas (MMscf)]]-Table2523467891011101213121412151615171819202122[[#This Row],[Gas Export (MMscf/d)]]</f>
        <v>26.33</v>
      </c>
      <c r="AB21" s="1044">
        <f>+Table2523467891011101213121412151615171819202122[[#This Row],[Batn Prod gas (MMscf)]]-Table2523467891011101213121412151615171819202122[[#This Row],[Batn Utilised gas (MMscf)]]</f>
        <v>0</v>
      </c>
      <c r="AC21" s="1045">
        <f>+Table25234678910111012131214121516151718192021[[#This Row],[Egwa Prod gas (MMscf)]]-Table25234678910111012131214121516151718192021[[#This Row],[Egwa Utilised gas (MMscf)]]</f>
        <v>0.01</v>
      </c>
      <c r="AD21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31.349999999999998</v>
      </c>
      <c r="AE21" s="1044">
        <f>+Table2523467891011101213121412151615171819202122[[#This Row],[Gas Export (MMscf/d)]]</f>
        <v>0</v>
      </c>
      <c r="AF21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1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30.51</v>
      </c>
    </row>
    <row r="22" spans="2:35">
      <c r="B22" s="716">
        <v>44575</v>
      </c>
      <c r="C22" s="749">
        <v>20.47</v>
      </c>
      <c r="D22" s="750">
        <v>15.22</v>
      </c>
      <c r="E22" s="750">
        <v>5.15</v>
      </c>
      <c r="F22" s="749">
        <v>3.58</v>
      </c>
      <c r="G22" s="1042">
        <f>SUM(Table25234678910111012131214121516151718192021[[#This Row],[Jones Creek Target (Mbopd)]:[Egwa Target (Mbopd)]])</f>
        <v>44.419999999999995</v>
      </c>
      <c r="H22" s="1068">
        <v>18.806999999999999</v>
      </c>
      <c r="I22" s="1068">
        <v>10.872</v>
      </c>
      <c r="J22" s="1068">
        <v>4.6120000000000001</v>
      </c>
      <c r="K22" s="1069">
        <v>0</v>
      </c>
      <c r="L22" s="1131">
        <f t="shared" ref="L22:L25" si="6">H22+I22+J22+K22</f>
        <v>34.290999999999997</v>
      </c>
      <c r="M22" s="1123">
        <v>3.76</v>
      </c>
      <c r="N22" s="1124">
        <f>Table2523467891011101213121412151615171819202122[[#This Row],[Jones Creek Target (Mbopd)]]-Table2523467891011101213121412151615171819202122[[#This Row],[Jones Creek (Mbopd)]]</f>
        <v>11.491</v>
      </c>
      <c r="O22" s="1044">
        <f>Table2523467891011101213121412151615171819202122[[#This Row],[Odidi Target (Mbopd)]]-Table2523467891011101213121412151615171819202122[[#This Row],[Odidi (Mbopd)]]</f>
        <v>5.1940000000000008</v>
      </c>
      <c r="P22" s="1044">
        <f>Table2523467891011101213121412151615171819202122[[#This Row],[Batan Target (Mbopd)]]-Table2523467891011101213121412151615171819202122[[#This Row],[Batan (Mbopd)]]</f>
        <v>5.15</v>
      </c>
      <c r="Q22" s="1045">
        <f>Table2523467891011101213121412151615171819202122[[#This Row],[Egwa Target (Mbopd)]]-Table2523467891011101213121412151615171819202122[[#This Row],[Egwa (Mbopd)]]</f>
        <v>1.2210000000000001</v>
      </c>
      <c r="R22" s="1043">
        <v>7.04</v>
      </c>
      <c r="S22" s="1044">
        <v>31.67</v>
      </c>
      <c r="T22" s="1044">
        <v>1.84</v>
      </c>
      <c r="U22" s="1045">
        <v>0</v>
      </c>
      <c r="V22" s="1046">
        <v>0.84</v>
      </c>
      <c r="W22" s="1044">
        <v>0</v>
      </c>
      <c r="X22" s="1044">
        <v>1</v>
      </c>
      <c r="Y22" s="1045">
        <v>0</v>
      </c>
      <c r="Z22" s="1046">
        <f>+Table25234678910111012131214121516151718192021[[#This Row],[J/C Prod gas (MMscf)]]-Table25234678910111012131214121516151718192021[[#This Row],[J/C Utilised gas (MMscf)]]</f>
        <v>6.2</v>
      </c>
      <c r="AA22" s="1044">
        <f>+Table2523467891011101213121412151615171819202122[[#This Row],[Odid Prod gas (MMscf)]]-Table2523467891011101213121412151615171819202122[[#This Row],[Gas Export (MMscf/d)]]</f>
        <v>32.090000000000003</v>
      </c>
      <c r="AB22" s="1044">
        <f>+Table2523467891011101213121412151615171819202122[[#This Row],[Batn Prod gas (MMscf)]]-Table2523467891011101213121412151615171819202122[[#This Row],[Batn Utilised gas (MMscf)]]</f>
        <v>0</v>
      </c>
      <c r="AC22" s="1045">
        <f>+Table25234678910111012131214121516151718192021[[#This Row],[Egwa Prod gas (MMscf)]]-Table25234678910111012131214121516151718192021[[#This Row],[Egwa Utilised gas (MMscf)]]</f>
        <v>0</v>
      </c>
      <c r="AD22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37.120000000000005</v>
      </c>
      <c r="AE22" s="1044">
        <f>+Table2523467891011101213121412151615171819202122[[#This Row],[Gas Export (MMscf/d)]]</f>
        <v>0</v>
      </c>
      <c r="AF22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2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36.28</v>
      </c>
    </row>
    <row r="23" spans="2:35">
      <c r="B23" s="716">
        <v>44576</v>
      </c>
      <c r="C23" s="749">
        <v>20.47</v>
      </c>
      <c r="D23" s="750">
        <v>15.22</v>
      </c>
      <c r="E23" s="750">
        <v>5.15</v>
      </c>
      <c r="F23" s="749">
        <v>3.58</v>
      </c>
      <c r="G23" s="1042">
        <f>SUM(Table25234678910111012131214121516151718192021[[#This Row],[Jones Creek Target (Mbopd)]:[Egwa Target (Mbopd)]])</f>
        <v>44.419999999999995</v>
      </c>
      <c r="H23" s="1068">
        <v>18.541</v>
      </c>
      <c r="I23" s="1068">
        <v>11.167</v>
      </c>
      <c r="J23" s="1068">
        <v>4.5979999999999999</v>
      </c>
      <c r="K23" s="1069">
        <v>1.4039999999999999</v>
      </c>
      <c r="L23" s="1131">
        <f t="shared" si="6"/>
        <v>35.709999999999994</v>
      </c>
      <c r="M23" s="1123">
        <v>6.16</v>
      </c>
      <c r="N23" s="1124">
        <f>Table2523467891011101213121412151615171819202122[[#This Row],[Jones Creek Target (Mbopd)]]-Table2523467891011101213121412151615171819202122[[#This Row],[Jones Creek (Mbopd)]]</f>
        <v>11.526999999999999</v>
      </c>
      <c r="O23" s="1044">
        <f>Table2523467891011101213121412151615171819202122[[#This Row],[Odidi Target (Mbopd)]]-Table2523467891011101213121412151615171819202122[[#This Row],[Odidi (Mbopd)]]</f>
        <v>2.7629999999999999</v>
      </c>
      <c r="P23" s="1044">
        <f>Table2523467891011101213121412151615171819202122[[#This Row],[Batan Target (Mbopd)]]-Table2523467891011101213121412151615171819202122[[#This Row],[Batan (Mbopd)]]</f>
        <v>5.15</v>
      </c>
      <c r="Q23" s="1045">
        <f>Table2523467891011101213121412151615171819202122[[#This Row],[Egwa Target (Mbopd)]]-Table2523467891011101213121412151615171819202122[[#This Row],[Egwa (Mbopd)]]</f>
        <v>1.2250000000000001</v>
      </c>
      <c r="R23" s="1043">
        <v>7.04</v>
      </c>
      <c r="S23" s="1044">
        <v>30.41</v>
      </c>
      <c r="T23" s="1044">
        <v>1.84</v>
      </c>
      <c r="U23" s="1045">
        <v>0.01</v>
      </c>
      <c r="V23" s="1046">
        <v>0.84</v>
      </c>
      <c r="W23" s="1044">
        <v>0</v>
      </c>
      <c r="X23" s="1044">
        <v>1</v>
      </c>
      <c r="Y23" s="1045">
        <v>0</v>
      </c>
      <c r="Z23" s="1046">
        <f>+Table25234678910111012131214121516151718192021[[#This Row],[J/C Prod gas (MMscf)]]-Table25234678910111012131214121516151718192021[[#This Row],[J/C Utilised gas (MMscf)]]</f>
        <v>6.2</v>
      </c>
      <c r="AA23" s="1044">
        <f>+Table2523467891011101213121412151615171819202122[[#This Row],[Odid Prod gas (MMscf)]]-Table2523467891011101213121412151615171819202122[[#This Row],[Gas Export (MMscf/d)]]</f>
        <v>34.72</v>
      </c>
      <c r="AB23" s="1044">
        <f>+Table2523467891011101213121412151615171819202122[[#This Row],[Batn Prod gas (MMscf)]]-Table2523467891011101213121412151615171819202122[[#This Row],[Batn Utilised gas (MMscf)]]</f>
        <v>0</v>
      </c>
      <c r="AC23" s="1045">
        <f>+Table25234678910111012131214121516151718192021[[#This Row],[Egwa Prod gas (MMscf)]]-Table25234678910111012131214121516151718192021[[#This Row],[Egwa Utilised gas (MMscf)]]</f>
        <v>0.01</v>
      </c>
      <c r="AD23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39.76</v>
      </c>
      <c r="AE23" s="1044">
        <f>+Table2523467891011101213121412151615171819202122[[#This Row],[Gas Export (MMscf/d)]]</f>
        <v>0</v>
      </c>
      <c r="AF23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3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38.919999999999995</v>
      </c>
    </row>
    <row r="24" spans="2:35">
      <c r="B24" s="716">
        <v>44577</v>
      </c>
      <c r="C24" s="749">
        <v>20.47</v>
      </c>
      <c r="D24" s="750">
        <v>15.22</v>
      </c>
      <c r="E24" s="750">
        <v>5.15</v>
      </c>
      <c r="F24" s="749">
        <v>3.58</v>
      </c>
      <c r="G24" s="1042">
        <f>SUM(Table25234678910111012131214121516151718192021[[#This Row],[Jones Creek Target (Mbopd)]:[Egwa Target (Mbopd)]])</f>
        <v>44.419999999999995</v>
      </c>
      <c r="H24" s="752">
        <v>17.946999999999999</v>
      </c>
      <c r="I24" s="1068">
        <v>11.109</v>
      </c>
      <c r="J24" s="1068">
        <v>4.5940000000000003</v>
      </c>
      <c r="K24" s="1069">
        <v>2.1930000000000001</v>
      </c>
      <c r="L24" s="1131">
        <f t="shared" si="6"/>
        <v>35.842999999999996</v>
      </c>
      <c r="M24" s="1123">
        <v>1.6870000000000001</v>
      </c>
      <c r="N24" s="1124">
        <f>Table2523467891011101213121412151615171819202122[[#This Row],[Jones Creek Target (Mbopd)]]-Table2523467891011101213121412151615171819202122[[#This Row],[Jones Creek (Mbopd)]]</f>
        <v>11.512999999999998</v>
      </c>
      <c r="O24" s="1044">
        <f>Table2523467891011101213121412151615171819202122[[#This Row],[Odidi Target (Mbopd)]]-Table2523467891011101213121412151615171819202122[[#This Row],[Odidi (Mbopd)]]</f>
        <v>3.8660000000000014</v>
      </c>
      <c r="P24" s="1044">
        <f>Table2523467891011101213121412151615171819202122[[#This Row],[Batan Target (Mbopd)]]-Table2523467891011101213121412151615171819202122[[#This Row],[Batan (Mbopd)]]</f>
        <v>2.8660000000000005</v>
      </c>
      <c r="Q24" s="1045">
        <f>Table2523467891011101213121412151615171819202122[[#This Row],[Egwa Target (Mbopd)]]-Table2523467891011101213121412151615171819202122[[#This Row],[Egwa (Mbopd)]]</f>
        <v>1.665</v>
      </c>
      <c r="R24" s="1043">
        <v>7.04</v>
      </c>
      <c r="S24" s="1044">
        <v>28.55</v>
      </c>
      <c r="T24" s="1044">
        <v>1.84</v>
      </c>
      <c r="U24" s="1045">
        <v>0.88</v>
      </c>
      <c r="V24" s="1046">
        <v>0.84</v>
      </c>
      <c r="W24" s="1044">
        <v>0</v>
      </c>
      <c r="X24" s="1044">
        <v>1</v>
      </c>
      <c r="Y24" s="1045">
        <v>0</v>
      </c>
      <c r="Z24" s="1046">
        <f>+Table25234678910111012131214121516151718192021[[#This Row],[J/C Prod gas (MMscf)]]-Table25234678910111012131214121516151718192021[[#This Row],[J/C Utilised gas (MMscf)]]</f>
        <v>6.2</v>
      </c>
      <c r="AA24" s="1044">
        <f>+Table2523467891011101213121412151615171819202122[[#This Row],[Odid Prod gas (MMscf)]]-Table2523467891011101213121412151615171819202122[[#This Row],[Gas Export (MMscf/d)]]</f>
        <v>32.54</v>
      </c>
      <c r="AB24" s="1044">
        <f>+Table2523467891011101213121412151615171819202122[[#This Row],[Batn Prod gas (MMscf)]]-Table2523467891011101213121412151615171819202122[[#This Row],[Batn Utilised gas (MMscf)]]</f>
        <v>0.48999999999999994</v>
      </c>
      <c r="AC24" s="1045">
        <f>+Table25234678910111012131214121516151718192021[[#This Row],[Egwa Prod gas (MMscf)]]-Table25234678910111012131214121516151718192021[[#This Row],[Egwa Utilised gas (MMscf)]]</f>
        <v>0.88</v>
      </c>
      <c r="AD24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37.959999999999994</v>
      </c>
      <c r="AE24" s="1044">
        <f>+Table2523467891011101213121412151615171819202122[[#This Row],[Gas Export (MMscf/d)]]</f>
        <v>0</v>
      </c>
      <c r="AF24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24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36.92</v>
      </c>
    </row>
    <row r="25" spans="2:35">
      <c r="B25" s="716">
        <v>44578</v>
      </c>
      <c r="C25" s="749">
        <v>20.47</v>
      </c>
      <c r="D25" s="750">
        <v>15.22</v>
      </c>
      <c r="E25" s="750">
        <v>5.15</v>
      </c>
      <c r="F25" s="749">
        <v>3.58</v>
      </c>
      <c r="G25" s="1042">
        <f>SUM(Table25234678910111012131214121516151718192021[[#This Row],[Jones Creek Target (Mbopd)]:[Egwa Target (Mbopd)]])</f>
        <v>44.419999999999995</v>
      </c>
      <c r="H25" s="1068">
        <v>16.446999999999999</v>
      </c>
      <c r="I25" s="1068">
        <v>11.138</v>
      </c>
      <c r="J25" s="1068">
        <v>4.5960000000000001</v>
      </c>
      <c r="K25" s="1069">
        <v>2.302</v>
      </c>
      <c r="L25" s="1131">
        <f t="shared" si="6"/>
        <v>34.482999999999997</v>
      </c>
      <c r="M25" s="1123">
        <v>0</v>
      </c>
      <c r="N25" s="1124">
        <f>Table2523467891011101213121412151615171819202122[[#This Row],[Jones Creek Target (Mbopd)]]-Table2523467891011101213121412151615171819202122[[#This Row],[Jones Creek (Mbopd)]]</f>
        <v>11.023999999999999</v>
      </c>
      <c r="O25" s="1044">
        <f>Table2523467891011101213121412151615171819202122[[#This Row],[Odidi Target (Mbopd)]]-Table2523467891011101213121412151615171819202122[[#This Row],[Odidi (Mbopd)]]</f>
        <v>3.16</v>
      </c>
      <c r="P25" s="1044">
        <f>Table2523467891011101213121412151615171819202122[[#This Row],[Batan Target (Mbopd)]]-Table2523467891011101213121412151615171819202122[[#This Row],[Batan (Mbopd)]]</f>
        <v>1.1390000000000002</v>
      </c>
      <c r="Q25" s="1045">
        <f>Table2523467891011101213121412151615171819202122[[#This Row],[Egwa Target (Mbopd)]]-Table2523467891011101213121412151615171819202122[[#This Row],[Egwa (Mbopd)]]</f>
        <v>1.2349999999999999</v>
      </c>
      <c r="R25" s="1043">
        <v>5.9</v>
      </c>
      <c r="S25" s="1044">
        <v>28.95</v>
      </c>
      <c r="T25" s="1044">
        <v>1.84</v>
      </c>
      <c r="U25" s="1045">
        <v>1.28</v>
      </c>
      <c r="V25" s="1046">
        <v>0.84</v>
      </c>
      <c r="W25" s="1044">
        <v>0</v>
      </c>
      <c r="X25" s="1044">
        <v>1</v>
      </c>
      <c r="Y25" s="1045">
        <v>0</v>
      </c>
      <c r="Z25" s="1046">
        <f>+Table25234678910111012131214121516151718192021[[#This Row],[J/C Prod gas (MMscf)]]-Table25234678910111012131214121516151718192021[[#This Row],[J/C Utilised gas (MMscf)]]</f>
        <v>5.0600000000000005</v>
      </c>
      <c r="AA25" s="1044">
        <f>+Table2523467891011101213121412151615171819202122[[#This Row],[Odid Prod gas (MMscf)]]-Table2523467891011101213121412151615171819202122[[#This Row],[Gas Export (MMscf/d)]]</f>
        <v>29.85</v>
      </c>
      <c r="AB25" s="1044">
        <f>+Table2523467891011101213121412151615171819202122[[#This Row],[Batn Prod gas (MMscf)]]-Table2523467891011101213121412151615171819202122[[#This Row],[Batn Utilised gas (MMscf)]]</f>
        <v>1.05</v>
      </c>
      <c r="AC25" s="1045">
        <f>+Table25234678910111012131214121516151718192021[[#This Row],[Egwa Prod gas (MMscf)]]-Table25234678910111012131214121516151718192021[[#This Row],[Egwa Utilised gas (MMscf)]]</f>
        <v>1.28</v>
      </c>
      <c r="AD2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36.36</v>
      </c>
      <c r="AE25" s="1044">
        <f>+Table2523467891011101213121412151615171819202122[[#This Row],[Gas Export (MMscf/d)]]</f>
        <v>0</v>
      </c>
      <c r="AF2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2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35.32</v>
      </c>
    </row>
    <row r="26" spans="2:35">
      <c r="B26" s="716">
        <v>44579</v>
      </c>
      <c r="C26" s="749">
        <v>20.47</v>
      </c>
      <c r="D26" s="750">
        <v>15.22</v>
      </c>
      <c r="E26" s="750">
        <v>5.15</v>
      </c>
      <c r="F26" s="749">
        <v>3.58</v>
      </c>
      <c r="G26" s="1042">
        <f>SUM(Table25234678910111012131214121516151718192021[[#This Row],[Jones Creek Target (Mbopd)]:[Egwa Target (Mbopd)]])</f>
        <v>44.419999999999995</v>
      </c>
      <c r="H26" s="1068">
        <v>16.105</v>
      </c>
      <c r="I26" s="1068">
        <v>12.852</v>
      </c>
      <c r="J26" s="1068">
        <v>4.6059999999999999</v>
      </c>
      <c r="K26" s="1069">
        <v>2.4369999999999998</v>
      </c>
      <c r="L26" s="1122">
        <f t="shared" ref="L26:L36" si="7">H26+I26+J26+K26</f>
        <v>36</v>
      </c>
      <c r="M26" s="1123">
        <v>0</v>
      </c>
      <c r="N26" s="1124">
        <f>Table2523467891011101213121412151615171819202122[[#This Row],[Jones Creek Target (Mbopd)]]-Table2523467891011101213121412151615171819202122[[#This Row],[Jones Creek (Mbopd)]]</f>
        <v>5.2089999999999996</v>
      </c>
      <c r="O26" s="1044">
        <f>Table2523467891011101213121412151615171819202122[[#This Row],[Odidi Target (Mbopd)]]-Table2523467891011101213121412151615171819202122[[#This Row],[Odidi (Mbopd)]]</f>
        <v>7.9370000000000003</v>
      </c>
      <c r="P26" s="1044">
        <f>Table2523467891011101213121412151615171819202122[[#This Row],[Batan Target (Mbopd)]]-Table2523467891011101213121412151615171819202122[[#This Row],[Batan (Mbopd)]]</f>
        <v>0.56899999999999995</v>
      </c>
      <c r="Q26" s="1045">
        <f>Table2523467891011101213121412151615171819202122[[#This Row],[Egwa Target (Mbopd)]]-Table2523467891011101213121412151615171819202122[[#This Row],[Egwa (Mbopd)]]</f>
        <v>1.202</v>
      </c>
      <c r="R26" s="1043">
        <v>8.48</v>
      </c>
      <c r="S26" s="1044">
        <v>35.020000000000003</v>
      </c>
      <c r="T26" s="1044">
        <v>1.84</v>
      </c>
      <c r="U26" s="1045">
        <v>1.49</v>
      </c>
      <c r="V26" s="1046">
        <v>0.84</v>
      </c>
      <c r="W26" s="1044">
        <v>0</v>
      </c>
      <c r="X26" s="1044">
        <v>1</v>
      </c>
      <c r="Y26" s="1045">
        <v>0</v>
      </c>
      <c r="Z26" s="1046">
        <f>+Table25234678910111012131214121516151718192021[[#This Row],[J/C Prod gas (MMscf)]]-Table25234678910111012131214121516151718192021[[#This Row],[J/C Utilised gas (MMscf)]]</f>
        <v>7.6400000000000006</v>
      </c>
      <c r="AA26" s="1044">
        <f>+Table2523467891011101213121412151615171819202122[[#This Row],[Odid Prod gas (MMscf)]]-Table2523467891011101213121412151615171819202122[[#This Row],[Gas Export (MMscf/d)]]</f>
        <v>20.69</v>
      </c>
      <c r="AB26" s="1044">
        <f>+Table2523467891011101213121412151615171819202122[[#This Row],[Batn Prod gas (MMscf)]]-Table2523467891011101213121412151615171819202122[[#This Row],[Batn Utilised gas (MMscf)]]</f>
        <v>1.29</v>
      </c>
      <c r="AC26" s="1045">
        <f>+Table25234678910111012131214121516151718192021[[#This Row],[Egwa Prod gas (MMscf)]]-Table25234678910111012131214121516151718192021[[#This Row],[Egwa Utilised gas (MMscf)]]</f>
        <v>1.49</v>
      </c>
      <c r="AD2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29.279999999999998</v>
      </c>
      <c r="AE26" s="1044">
        <f>+Table2523467891011101213121412151615171819202122[[#This Row],[Gas Export (MMscf/d)]]</f>
        <v>0</v>
      </c>
      <c r="AF2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2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28.24</v>
      </c>
    </row>
    <row r="27" spans="2:35">
      <c r="B27" s="716">
        <v>44580</v>
      </c>
      <c r="C27" s="749">
        <v>20.47</v>
      </c>
      <c r="D27" s="750">
        <v>15.22</v>
      </c>
      <c r="E27" s="750">
        <v>5.15</v>
      </c>
      <c r="F27" s="749">
        <v>3.58</v>
      </c>
      <c r="G27" s="1120">
        <f>SUM(Table25234678910111012131214121516151718192021[[#This Row],[Jones Creek Target (Mbopd)]:[Egwa Target (Mbopd)]])</f>
        <v>44.419999999999995</v>
      </c>
      <c r="H27" s="1068">
        <v>15.454000000000001</v>
      </c>
      <c r="I27" s="1068">
        <v>12.907999999999999</v>
      </c>
      <c r="J27" s="1068">
        <v>4.59</v>
      </c>
      <c r="K27" s="1069">
        <v>2.3199999999999998</v>
      </c>
      <c r="L27" s="1122">
        <f t="shared" si="7"/>
        <v>35.271999999999998</v>
      </c>
      <c r="M27" s="1123">
        <v>0</v>
      </c>
      <c r="N27" s="1124">
        <f>Table2523467891011101213121412151615171819202122[[#This Row],[Jones Creek Target (Mbopd)]]-Table2523467891011101213121412151615171819202122[[#This Row],[Jones Creek (Mbopd)]]</f>
        <v>0.32900000000000063</v>
      </c>
      <c r="O27" s="1044">
        <f>Table2523467891011101213121412151615171819202122[[#This Row],[Odidi Target (Mbopd)]]-Table2523467891011101213121412151615171819202122[[#This Row],[Odidi (Mbopd)]]</f>
        <v>15.22</v>
      </c>
      <c r="P27" s="1044">
        <f>Table2523467891011101213121412151615171819202122[[#This Row],[Batan Target (Mbopd)]]-Table2523467891011101213121412151615171819202122[[#This Row],[Batan (Mbopd)]]</f>
        <v>0.5860000000000003</v>
      </c>
      <c r="Q27" s="1045">
        <f>Table2523467891011101213121412151615171819202122[[#This Row],[Egwa Target (Mbopd)]]-Table2523467891011101213121412151615171819202122[[#This Row],[Egwa (Mbopd)]]</f>
        <v>1.2109999999999999</v>
      </c>
      <c r="R27" s="1043">
        <v>9.08</v>
      </c>
      <c r="S27" s="1044">
        <v>39.020000000000003</v>
      </c>
      <c r="T27" s="1044">
        <v>1.84</v>
      </c>
      <c r="U27" s="1045">
        <v>1.28</v>
      </c>
      <c r="V27" s="1046">
        <v>0.84</v>
      </c>
      <c r="W27" s="1044">
        <v>0</v>
      </c>
      <c r="X27" s="1044">
        <v>1</v>
      </c>
      <c r="Y27" s="1045">
        <v>0</v>
      </c>
      <c r="Z27" s="1046">
        <f>+Table25234678910111012131214121516151718192021[[#This Row],[J/C Prod gas (MMscf)]]-Table25234678910111012131214121516151718192021[[#This Row],[J/C Utilised gas (MMscf)]]</f>
        <v>8.24</v>
      </c>
      <c r="AA27" s="1044">
        <f>+Table2523467891011101213121412151615171819202122[[#This Row],[Odid Prod gas (MMscf)]]-Table2523467891011101213121412151615171819202122[[#This Row],[Gas Export (MMscf/d)]]</f>
        <v>0</v>
      </c>
      <c r="AB27" s="1044">
        <f>+Table2523467891011101213121412151615171819202122[[#This Row],[Batn Prod gas (MMscf)]]-Table2523467891011101213121412151615171819202122[[#This Row],[Batn Utilised gas (MMscf)]]</f>
        <v>0.49</v>
      </c>
      <c r="AC27" s="1045">
        <f>+Table25234678910111012131214121516151718192021[[#This Row],[Egwa Prod gas (MMscf)]]-Table25234678910111012131214121516151718192021[[#This Row],[Egwa Utilised gas (MMscf)]]</f>
        <v>1.28</v>
      </c>
      <c r="AD2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9.73</v>
      </c>
      <c r="AE27" s="1044">
        <f>+Table2523467891011101213121412151615171819202122[[#This Row],[Gas Export (MMscf/d)]]</f>
        <v>0</v>
      </c>
      <c r="AF2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2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7.8900000000000006</v>
      </c>
    </row>
    <row r="28" spans="2:35">
      <c r="B28" s="716">
        <v>44581</v>
      </c>
      <c r="C28" s="749">
        <v>20.47</v>
      </c>
      <c r="D28" s="750">
        <v>15.22</v>
      </c>
      <c r="E28" s="750">
        <v>5.15</v>
      </c>
      <c r="F28" s="749">
        <v>3.58</v>
      </c>
      <c r="G28" s="1042">
        <f>SUM(Table25234678910111012131214121516151718192021[[#This Row],[Jones Creek Target (Mbopd)]:[Egwa Target (Mbopd)]])</f>
        <v>44.419999999999995</v>
      </c>
      <c r="H28" s="1068">
        <v>10.855</v>
      </c>
      <c r="I28" s="1068">
        <v>12.984999999999999</v>
      </c>
      <c r="J28" s="1068">
        <v>4.6109999999999998</v>
      </c>
      <c r="K28" s="1069">
        <v>2.278</v>
      </c>
      <c r="L28" s="1122">
        <f t="shared" si="7"/>
        <v>30.728999999999999</v>
      </c>
      <c r="M28" s="1123">
        <v>0</v>
      </c>
      <c r="N28" s="1124">
        <f>Table2523467891011101213121412151615171819202122[[#This Row],[Jones Creek Target (Mbopd)]]-Table2523467891011101213121412151615171819202122[[#This Row],[Jones Creek (Mbopd)]]</f>
        <v>1.2289999999999992</v>
      </c>
      <c r="O28" s="1044">
        <f>Table2523467891011101213121412151615171819202122[[#This Row],[Odidi Target (Mbopd)]]-Table2523467891011101213121412151615171819202122[[#This Row],[Odidi (Mbopd)]]</f>
        <v>15.22</v>
      </c>
      <c r="P28" s="1044">
        <f>Table2523467891011101213121412151615171819202122[[#This Row],[Batan Target (Mbopd)]]-Table2523467891011101213121412151615171819202122[[#This Row],[Batan (Mbopd)]]</f>
        <v>0.59500000000000064</v>
      </c>
      <c r="Q28" s="1045">
        <f>Table2523467891011101213121412151615171819202122[[#This Row],[Egwa Target (Mbopd)]]-Table2523467891011101213121412151615171819202122[[#This Row],[Egwa (Mbopd)]]</f>
        <v>1.2050000000000001</v>
      </c>
      <c r="R28" s="1043">
        <v>7.5919999999999996</v>
      </c>
      <c r="S28" s="1044">
        <v>39.020000000000003</v>
      </c>
      <c r="T28" s="1044">
        <v>1.84</v>
      </c>
      <c r="U28" s="1045">
        <v>1.79</v>
      </c>
      <c r="V28" s="1046">
        <v>0.28000000000000003</v>
      </c>
      <c r="W28" s="1044">
        <v>0</v>
      </c>
      <c r="X28" s="1044">
        <v>1</v>
      </c>
      <c r="Y28" s="1045">
        <v>0</v>
      </c>
      <c r="Z28" s="1046">
        <f>+Table25234678910111012131214121516151718192021[[#This Row],[J/C Prod gas (MMscf)]]-Table25234678910111012131214121516151718192021[[#This Row],[J/C Utilised gas (MMscf)]]</f>
        <v>7.3119999999999994</v>
      </c>
      <c r="AA28" s="1044">
        <f>+Table2523467891011101213121412151615171819202122[[#This Row],[Odid Prod gas (MMscf)]]-Table2523467891011101213121412151615171819202122[[#This Row],[Gas Export (MMscf/d)]]</f>
        <v>0</v>
      </c>
      <c r="AB28" s="1044">
        <f>+Table2523467891011101213121412151615171819202122[[#This Row],[Batn Prod gas (MMscf)]]-Table2523467891011101213121412151615171819202122[[#This Row],[Batn Utilised gas (MMscf)]]</f>
        <v>0.49</v>
      </c>
      <c r="AC28" s="1045">
        <f>+Table25234678910111012131214121516151718192021[[#This Row],[Egwa Prod gas (MMscf)]]-Table25234678910111012131214121516151718192021[[#This Row],[Egwa Utilised gas (MMscf)]]</f>
        <v>1.79</v>
      </c>
      <c r="AD2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10.38</v>
      </c>
      <c r="AE28" s="1044">
        <f>+Table2523467891011101213121412151615171819202122[[#This Row],[Gas Export (MMscf/d)]]</f>
        <v>0</v>
      </c>
      <c r="AF2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2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8.5400000000000009</v>
      </c>
    </row>
    <row r="29" spans="2:35">
      <c r="B29" s="716">
        <v>44582</v>
      </c>
      <c r="C29" s="749">
        <v>20.47</v>
      </c>
      <c r="D29" s="750">
        <v>15.22</v>
      </c>
      <c r="E29" s="750">
        <v>5.15</v>
      </c>
      <c r="F29" s="749">
        <v>3.58</v>
      </c>
      <c r="G29" s="1042">
        <f>SUM(Table25234678910111012131214121516151718192021[[#This Row],[Jones Creek Target (Mbopd)]:[Egwa Target (Mbopd)]])</f>
        <v>44.419999999999995</v>
      </c>
      <c r="H29" s="1068">
        <v>13.442</v>
      </c>
      <c r="I29" s="1068">
        <v>12.414999999999999</v>
      </c>
      <c r="J29" s="1068">
        <v>4.319</v>
      </c>
      <c r="K29" s="1069">
        <v>2.2519999999999998</v>
      </c>
      <c r="L29" s="1122">
        <f t="shared" si="7"/>
        <v>32.427999999999997</v>
      </c>
      <c r="M29" s="1123">
        <v>0</v>
      </c>
      <c r="N29" s="1124">
        <f>Table2523467891011101213121412151615171819202122[[#This Row],[Jones Creek Target (Mbopd)]]-Table2523467891011101213121412151615171819202122[[#This Row],[Jones Creek (Mbopd)]]</f>
        <v>2.3279999999999994</v>
      </c>
      <c r="O29" s="1044">
        <f>Table2523467891011101213121412151615171819202122[[#This Row],[Odidi Target (Mbopd)]]-Table2523467891011101213121412151615171819202122[[#This Row],[Odidi (Mbopd)]]</f>
        <v>15.22</v>
      </c>
      <c r="P29" s="1044">
        <f>Table2523467891011101213121412151615171819202122[[#This Row],[Batan Target (Mbopd)]]-Table2523467891011101213121412151615171819202122[[#This Row],[Batan (Mbopd)]]</f>
        <v>0.59600000000000009</v>
      </c>
      <c r="Q29" s="1045">
        <f>Table2523467891011101213121412151615171819202122[[#This Row],[Egwa Target (Mbopd)]]-Table2523467891011101213121412151615171819202122[[#This Row],[Egwa (Mbopd)]]</f>
        <v>1.2210000000000001</v>
      </c>
      <c r="R29" s="1043">
        <v>8.35</v>
      </c>
      <c r="S29" s="1044">
        <v>39.020000000000003</v>
      </c>
      <c r="T29" s="1044">
        <v>1.84</v>
      </c>
      <c r="U29" s="1045">
        <v>1.93</v>
      </c>
      <c r="V29" s="1046">
        <v>0.84</v>
      </c>
      <c r="W29" s="1044">
        <v>0</v>
      </c>
      <c r="X29" s="1044">
        <v>1</v>
      </c>
      <c r="Y29" s="1045">
        <v>0</v>
      </c>
      <c r="Z29" s="1046">
        <f>+Table25234678910111012131214121516151718192021[[#This Row],[J/C Prod gas (MMscf)]]-Table25234678910111012131214121516151718192021[[#This Row],[J/C Utilised gas (MMscf)]]</f>
        <v>7.51</v>
      </c>
      <c r="AA29" s="1044">
        <f>+Table2523467891011101213121412151615171819202122[[#This Row],[Odid Prod gas (MMscf)]]-Table2523467891011101213121412151615171819202122[[#This Row],[Gas Export (MMscf/d)]]</f>
        <v>0</v>
      </c>
      <c r="AB29" s="1044">
        <f>+Table2523467891011101213121412151615171819202122[[#This Row],[Batn Prod gas (MMscf)]]-Table2523467891011101213121412151615171819202122[[#This Row],[Batn Utilised gas (MMscf)]]</f>
        <v>0.49</v>
      </c>
      <c r="AC29" s="1045">
        <f>+Table25234678910111012131214121516151718192021[[#This Row],[Egwa Prod gas (MMscf)]]-Table25234678910111012131214121516151718192021[[#This Row],[Egwa Utilised gas (MMscf)]]</f>
        <v>1.93</v>
      </c>
      <c r="AD2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10.38</v>
      </c>
      <c r="AE29" s="1044">
        <f>+Table2523467891011101213121412151615171819202122[[#This Row],[Gas Export (MMscf/d)]]</f>
        <v>0</v>
      </c>
      <c r="AF2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2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8.5400000000000009</v>
      </c>
    </row>
    <row r="30" spans="2:35">
      <c r="B30" s="716">
        <v>44583</v>
      </c>
      <c r="C30" s="749">
        <v>20.47</v>
      </c>
      <c r="D30" s="750">
        <v>15.22</v>
      </c>
      <c r="E30" s="750">
        <v>5.15</v>
      </c>
      <c r="F30" s="749">
        <v>3.58</v>
      </c>
      <c r="G30" s="1042">
        <f>SUM(Table25234678910111012131214121516151718192021[[#This Row],[Jones Creek Target (Mbopd)]:[Egwa Target (Mbopd)]])</f>
        <v>44.419999999999995</v>
      </c>
      <c r="H30" s="1068">
        <v>14.821999999999999</v>
      </c>
      <c r="I30" s="1068">
        <v>13.994999999999999</v>
      </c>
      <c r="J30" s="1068">
        <v>4.5220000000000002</v>
      </c>
      <c r="K30" s="1069">
        <v>2.395</v>
      </c>
      <c r="L30" s="1122">
        <f t="shared" si="7"/>
        <v>35.734000000000002</v>
      </c>
      <c r="M30" s="1123">
        <v>0</v>
      </c>
      <c r="N30" s="1124">
        <f>Table2523467891011101213121412151615171819202122[[#This Row],[Jones Creek Target (Mbopd)]]-Table2523467891011101213121412151615171819202122[[#This Row],[Jones Creek (Mbopd)]]</f>
        <v>3.1139999999999972</v>
      </c>
      <c r="O30" s="1044">
        <f>Table2523467891011101213121412151615171819202122[[#This Row],[Odidi Target (Mbopd)]]-Table2523467891011101213121412151615171819202122[[#This Row],[Odidi (Mbopd)]]</f>
        <v>12.329000000000001</v>
      </c>
      <c r="P30" s="1044">
        <f>Table2523467891011101213121412151615171819202122[[#This Row],[Batan Target (Mbopd)]]-Table2523467891011101213121412151615171819202122[[#This Row],[Batan (Mbopd)]]</f>
        <v>0.59600000000000009</v>
      </c>
      <c r="Q30" s="1044">
        <f>Table2523467891011101213121412151615171819202122[[#This Row],[Egwa Target (Mbopd)]]-Table2523467891011101213121412151615171819202122[[#This Row],[Egwa (Mbopd)]]</f>
        <v>1.218</v>
      </c>
      <c r="R30" s="1043">
        <v>8.82</v>
      </c>
      <c r="S30" s="1044">
        <v>39.020000000000003</v>
      </c>
      <c r="T30" s="1044">
        <v>1.84</v>
      </c>
      <c r="U30" s="1045">
        <v>2.0099999999999998</v>
      </c>
      <c r="V30" s="1046">
        <v>0.84</v>
      </c>
      <c r="W30" s="1044">
        <v>0</v>
      </c>
      <c r="X30" s="1044">
        <v>1</v>
      </c>
      <c r="Y30" s="1045">
        <v>0</v>
      </c>
      <c r="Z30" s="1046">
        <f>+Table25234678910111012131214121516151718192021[[#This Row],[J/C Prod gas (MMscf)]]-Table25234678910111012131214121516151718192021[[#This Row],[J/C Utilised gas (MMscf)]]</f>
        <v>7.98</v>
      </c>
      <c r="AA30" s="1044">
        <f>+Table2523467891011101213121412151615171819202122[[#This Row],[Odid Prod gas (MMscf)]]-Table2523467891011101213121412151615171819202122[[#This Row],[Gas Export (MMscf/d)]]</f>
        <v>1.67</v>
      </c>
      <c r="AB30" s="1044">
        <f>+Table2523467891011101213121412151615171819202122[[#This Row],[Batn Prod gas (MMscf)]]-Table2523467891011101213121412151615171819202122[[#This Row],[Batn Utilised gas (MMscf)]]</f>
        <v>0.49</v>
      </c>
      <c r="AC30" s="1045">
        <f>+Table25234678910111012131214121516151718192021[[#This Row],[Egwa Prod gas (MMscf)]]-Table25234678910111012131214121516151718192021[[#This Row],[Egwa Utilised gas (MMscf)]]</f>
        <v>2.0099999999999998</v>
      </c>
      <c r="AD30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16.5</v>
      </c>
      <c r="AE30" s="1044">
        <f>+Table2523467891011101213121412151615171819202122[[#This Row],[Gas Export (MMscf/d)]]</f>
        <v>0</v>
      </c>
      <c r="AF30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0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14.66</v>
      </c>
    </row>
    <row r="31" spans="2:35">
      <c r="B31" s="716">
        <v>44584</v>
      </c>
      <c r="C31" s="749">
        <v>20.47</v>
      </c>
      <c r="D31" s="750">
        <v>15.22</v>
      </c>
      <c r="E31" s="750">
        <v>5.15</v>
      </c>
      <c r="F31" s="749">
        <v>3.58</v>
      </c>
      <c r="G31" s="1042">
        <f>SUM(Table25234678910111012131214121516151718192021[[#This Row],[Jones Creek Target (Mbopd)]:[Egwa Target (Mbopd)]])</f>
        <v>44.419999999999995</v>
      </c>
      <c r="H31" s="1068">
        <v>16.007999999999999</v>
      </c>
      <c r="I31" s="1068">
        <v>14.303000000000001</v>
      </c>
      <c r="J31" s="1068">
        <v>4.5540000000000003</v>
      </c>
      <c r="K31" s="1069">
        <v>2.339</v>
      </c>
      <c r="L31" s="1122">
        <f t="shared" si="7"/>
        <v>37.204000000000001</v>
      </c>
      <c r="M31" s="1123">
        <v>0</v>
      </c>
      <c r="N31" s="1124">
        <f>Table2523467891011101213121412151615171819202122[[#This Row],[Jones Creek Target (Mbopd)]]-Table2523467891011101213121412151615171819202122[[#This Row],[Jones Creek (Mbopd)]]</f>
        <v>2.1920000000000002</v>
      </c>
      <c r="O31" s="1044">
        <f>Table2523467891011101213121412151615171819202122[[#This Row],[Odidi Target (Mbopd)]]-Table2523467891011101213121412151615171819202122[[#This Row],[Odidi (Mbopd)]]</f>
        <v>10.210000000000001</v>
      </c>
      <c r="P31" s="1044">
        <f>Table2523467891011101213121412151615171819202122[[#This Row],[Batan Target (Mbopd)]]-Table2523467891011101213121412151615171819202122[[#This Row],[Batan (Mbopd)]]</f>
        <v>0.62400000000000055</v>
      </c>
      <c r="Q31" s="1044">
        <f>Table2523467891011101213121412151615171819202122[[#This Row],[Egwa Target (Mbopd)]]-Table2523467891011101213121412151615171819202122[[#This Row],[Egwa (Mbopd)]]</f>
        <v>1.3210000000000002</v>
      </c>
      <c r="R31" s="1043">
        <v>9.5739999999999998</v>
      </c>
      <c r="S31" s="1044">
        <v>39.020000000000003</v>
      </c>
      <c r="T31" s="1044">
        <v>1.84</v>
      </c>
      <c r="U31" s="1045">
        <v>2.08</v>
      </c>
      <c r="V31" s="1046">
        <v>0.84</v>
      </c>
      <c r="W31" s="1044">
        <v>0</v>
      </c>
      <c r="X31" s="1044">
        <v>1</v>
      </c>
      <c r="Y31" s="1045">
        <v>0</v>
      </c>
      <c r="Z31" s="1046">
        <f>+Table25234678910111012131214121516151718192021[[#This Row],[J/C Prod gas (MMscf)]]-Table25234678910111012131214121516151718192021[[#This Row],[J/C Utilised gas (MMscf)]]</f>
        <v>8.734</v>
      </c>
      <c r="AA31" s="1044">
        <f>+Table2523467891011101213121412151615171819202122[[#This Row],[Odid Prod gas (MMscf)]]-Table2523467891011101213121412151615171819202122[[#This Row],[Gas Export (MMscf/d)]]</f>
        <v>4.6399999999999997</v>
      </c>
      <c r="AB31" s="1044">
        <f>+Table2523467891011101213121412151615171819202122[[#This Row],[Batn Prod gas (MMscf)]]-Table2523467891011101213121412151615171819202122[[#This Row],[Batn Utilised gas (MMscf)]]</f>
        <v>0.49</v>
      </c>
      <c r="AC31" s="1045">
        <f>+Table25234678910111012131214121516151718192021[[#This Row],[Egwa Prod gas (MMscf)]]-Table25234678910111012131214121516151718192021[[#This Row],[Egwa Utilised gas (MMscf)]]</f>
        <v>2.08</v>
      </c>
      <c r="AD31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19.04</v>
      </c>
      <c r="AE31" s="1044">
        <f>+Table2523467891011101213121412151615171819202122[[#This Row],[Gas Export (MMscf/d)]]</f>
        <v>0</v>
      </c>
      <c r="AF31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1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17.2</v>
      </c>
    </row>
    <row r="32" spans="2:35">
      <c r="B32" s="716">
        <v>44585</v>
      </c>
      <c r="C32" s="749">
        <v>20.47</v>
      </c>
      <c r="D32" s="750">
        <v>15.22</v>
      </c>
      <c r="E32" s="750">
        <v>5.15</v>
      </c>
      <c r="F32" s="749">
        <v>3.58</v>
      </c>
      <c r="G32" s="1042">
        <f>SUM(Table25234678910111012131214121516151718192021[[#This Row],[Jones Creek Target (Mbopd)]:[Egwa Target (Mbopd)]])</f>
        <v>44.419999999999995</v>
      </c>
      <c r="H32" s="1068">
        <v>17.448</v>
      </c>
      <c r="I32" s="1068">
        <v>13.148</v>
      </c>
      <c r="J32" s="1068">
        <v>4.55</v>
      </c>
      <c r="K32" s="1069">
        <v>2.419</v>
      </c>
      <c r="L32" s="1122">
        <f t="shared" si="7"/>
        <v>37.564999999999998</v>
      </c>
      <c r="M32" s="1123">
        <v>0</v>
      </c>
      <c r="N32" s="1124">
        <f>Table2523467891011101213121412151615171819202122[[#This Row],[Jones Creek Target (Mbopd)]]-Table2523467891011101213121412151615171819202122[[#This Row],[Jones Creek (Mbopd)]]</f>
        <v>1.2379999999999995</v>
      </c>
      <c r="O32" s="1044">
        <f>Table2523467891011101213121412151615171819202122[[#This Row],[Odidi Target (Mbopd)]]-Table2523467891011101213121412151615171819202122[[#This Row],[Odidi (Mbopd)]]</f>
        <v>10.950000000000001</v>
      </c>
      <c r="P32" s="1044">
        <f>Table2523467891011101213121412151615171819202122[[#This Row],[Batan Target (Mbopd)]]-Table2523467891011101213121412151615171819202122[[#This Row],[Batan (Mbopd)]]</f>
        <v>0.57900000000000063</v>
      </c>
      <c r="Q32" s="1044">
        <f>Table2523467891011101213121412151615171819202122[[#This Row],[Egwa Target (Mbopd)]]-Table2523467891011101213121412151615171819202122[[#This Row],[Egwa (Mbopd)]]</f>
        <v>3.58</v>
      </c>
      <c r="R32" s="1043">
        <v>10.4117</v>
      </c>
      <c r="S32" s="1044">
        <v>39.020000000000003</v>
      </c>
      <c r="T32" s="1044">
        <v>1.84</v>
      </c>
      <c r="U32" s="1045">
        <v>2.1339999999999999</v>
      </c>
      <c r="V32" s="1046">
        <v>0.84</v>
      </c>
      <c r="W32" s="1044">
        <v>0</v>
      </c>
      <c r="X32" s="1044">
        <v>1</v>
      </c>
      <c r="Y32" s="1045">
        <v>0</v>
      </c>
      <c r="Z32" s="1046">
        <v>9.5693000000000001</v>
      </c>
      <c r="AA32" s="1044">
        <f>+Table2523467891011101213121412151615171819202122[[#This Row],[Odid Prod gas (MMscf)]]-Table2523467891011101213121412151615171819202122[[#This Row],[Gas Export (MMscf/d)]]</f>
        <v>7.03</v>
      </c>
      <c r="AB32" s="1044">
        <f>+Table2523467891011101213121412151615171819202122[[#This Row],[Batn Prod gas (MMscf)]]-Table2523467891011101213121412151615171819202122[[#This Row],[Batn Utilised gas (MMscf)]]</f>
        <v>0.49</v>
      </c>
      <c r="AC32" s="1045">
        <v>2.13</v>
      </c>
      <c r="AD32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19.049999999999997</v>
      </c>
      <c r="AE32" s="1044">
        <f>+Table2523467891011101213121412151615171819202122[[#This Row],[Gas Export (MMscf/d)]]</f>
        <v>0</v>
      </c>
      <c r="AF32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2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17.209999999999997</v>
      </c>
    </row>
    <row r="33" spans="2:33">
      <c r="B33" s="716">
        <v>44586</v>
      </c>
      <c r="C33" s="749">
        <v>20.47</v>
      </c>
      <c r="D33" s="750">
        <v>15.22</v>
      </c>
      <c r="E33" s="750">
        <v>5.15</v>
      </c>
      <c r="F33" s="749">
        <v>3.58</v>
      </c>
      <c r="G33" s="1042">
        <f>SUM(Table25234678910111012131214121516151718192021[[#This Row],[Jones Creek Target (Mbopd)]:[Egwa Target (Mbopd)]])</f>
        <v>44.419999999999995</v>
      </c>
      <c r="H33" s="1068">
        <v>18.878</v>
      </c>
      <c r="I33" s="1068">
        <v>13.084</v>
      </c>
      <c r="J33" s="1068">
        <v>4.5469999999999997</v>
      </c>
      <c r="K33" s="1069">
        <v>2.37</v>
      </c>
      <c r="L33" s="1122">
        <f t="shared" si="7"/>
        <v>38.878999999999998</v>
      </c>
      <c r="M33" s="1123">
        <v>0</v>
      </c>
      <c r="N33" s="1124">
        <f>Table2523467891011101213121412151615171819202122[[#This Row],[Jones Creek Target (Mbopd)]]-Table2523467891011101213121412151615171819202122[[#This Row],[Jones Creek (Mbopd)]]</f>
        <v>2.009999999999998</v>
      </c>
      <c r="O33" s="1044">
        <f>Table2523467891011101213121412151615171819202122[[#This Row],[Odidi Target (Mbopd)]]-Table2523467891011101213121412151615171819202122[[#This Row],[Odidi (Mbopd)]]</f>
        <v>15.22</v>
      </c>
      <c r="P33" s="1044">
        <f>Table2523467891011101213121412151615171819202122[[#This Row],[Batan Target (Mbopd)]]-Table2523467891011101213121412151615171819202122[[#This Row],[Batan (Mbopd)]]</f>
        <v>0.58100000000000041</v>
      </c>
      <c r="Q33" s="1044">
        <f>Table2523467891011101213121412151615171819202122[[#This Row],[Egwa Target (Mbopd)]]-Table2523467891011101213121412151615171819202122[[#This Row],[Egwa (Mbopd)]]</f>
        <v>3.58</v>
      </c>
      <c r="R33" s="1043">
        <v>10.199999999999999</v>
      </c>
      <c r="S33" s="1044">
        <v>39.020000000000003</v>
      </c>
      <c r="T33" s="1044">
        <v>1.84</v>
      </c>
      <c r="U33" s="1045">
        <v>2.1579999999999999</v>
      </c>
      <c r="V33" s="1046">
        <v>0.84</v>
      </c>
      <c r="W33" s="1044">
        <v>0</v>
      </c>
      <c r="X33" s="1044">
        <v>1</v>
      </c>
      <c r="Y33" s="1045">
        <v>0</v>
      </c>
      <c r="Z33" s="1046">
        <v>9.3615999999999993</v>
      </c>
      <c r="AA33" s="1044">
        <f>+Table2523467891011101213121412151615171819202122[[#This Row],[Odid Prod gas (MMscf)]]-Table2523467891011101213121412151615171819202122[[#This Row],[Gas Export (MMscf/d)]]</f>
        <v>0</v>
      </c>
      <c r="AB33" s="1044">
        <f>+Table2523467891011101213121412151615171819202122[[#This Row],[Batn Prod gas (MMscf)]]-Table2523467891011101213121412151615171819202122[[#This Row],[Batn Utilised gas (MMscf)]]</f>
        <v>0.49</v>
      </c>
      <c r="AC33" s="1045">
        <v>2.16</v>
      </c>
      <c r="AD33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11.99</v>
      </c>
      <c r="AE33" s="1044">
        <f>+Table2523467891011101213121412151615171819202122[[#This Row],[Gas Export (MMscf/d)]]</f>
        <v>0</v>
      </c>
      <c r="AF33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3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10.15</v>
      </c>
    </row>
    <row r="34" spans="2:33">
      <c r="B34" s="716">
        <v>44587</v>
      </c>
      <c r="C34" s="749">
        <v>20.47</v>
      </c>
      <c r="D34" s="750">
        <v>15.22</v>
      </c>
      <c r="E34" s="750">
        <v>5.15</v>
      </c>
      <c r="F34" s="749">
        <v>3.58</v>
      </c>
      <c r="G34" s="1042">
        <f>SUM(Table25234678910111012131214121516151718192021[[#This Row],[Jones Creek Target (Mbopd)]:[Egwa Target (Mbopd)]])</f>
        <v>44.419999999999995</v>
      </c>
      <c r="H34" s="1068">
        <v>18.459</v>
      </c>
      <c r="I34" s="1042">
        <v>6.5819999999999999</v>
      </c>
      <c r="J34" s="1068">
        <v>4.5510000000000002</v>
      </c>
      <c r="K34" s="1069">
        <v>2.3620000000000001</v>
      </c>
      <c r="L34" s="1122">
        <f t="shared" si="7"/>
        <v>31.954000000000001</v>
      </c>
      <c r="M34" s="1126">
        <v>0</v>
      </c>
      <c r="N34" s="1124">
        <f>Table2523467891011101213121412151615171819202122[[#This Row],[Jones Creek Target (Mbopd)]]-Table2523467891011101213121412151615171819202122[[#This Row],[Jones Creek (Mbopd)]]</f>
        <v>1.5589999999999975</v>
      </c>
      <c r="O34" s="1044">
        <f>Table2523467891011101213121412151615171819202122[[#This Row],[Odidi Target (Mbopd)]]-Table2523467891011101213121412151615171819202122[[#This Row],[Odidi (Mbopd)]]</f>
        <v>12.745000000000001</v>
      </c>
      <c r="P34" s="1044">
        <f>Table2523467891011101213121412151615171819202122[[#This Row],[Batan Target (Mbopd)]]-Table2523467891011101213121412151615171819202122[[#This Row],[Batan (Mbopd)]]</f>
        <v>2.8770000000000002</v>
      </c>
      <c r="Q34" s="1044">
        <f>Table2523467891011101213121412151615171819202122[[#This Row],[Egwa Target (Mbopd)]]-Table2523467891011101213121412151615171819202122[[#This Row],[Egwa (Mbopd)]]</f>
        <v>2.37</v>
      </c>
      <c r="R34" s="1043">
        <v>10.17</v>
      </c>
      <c r="S34" s="1044">
        <v>18.97</v>
      </c>
      <c r="T34" s="1044">
        <v>1.84</v>
      </c>
      <c r="U34" s="1045">
        <v>2.1579999999999999</v>
      </c>
      <c r="V34" s="1046">
        <v>0.84</v>
      </c>
      <c r="W34" s="1044">
        <v>0</v>
      </c>
      <c r="X34" s="1044">
        <v>1</v>
      </c>
      <c r="Y34" s="1045">
        <v>0</v>
      </c>
      <c r="Z34" s="1046">
        <v>9.3615999999999993</v>
      </c>
      <c r="AA34" s="1044">
        <f>+Table2523467891011101213121412151615171819202122[[#This Row],[Odid Prod gas (MMscf)]]-Table2523467891011101213121412151615171819202122[[#This Row],[Gas Export (MMscf/d)]]</f>
        <v>3.67</v>
      </c>
      <c r="AB34" s="1044">
        <f>+Table2523467891011101213121412151615171819202122[[#This Row],[Batn Prod gas (MMscf)]]-Table2523467891011101213121412151615171819202122[[#This Row],[Batn Utilised gas (MMscf)]]</f>
        <v>0.82000000000000006</v>
      </c>
      <c r="AC34" s="1045">
        <v>2.16</v>
      </c>
      <c r="AD34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15.53</v>
      </c>
      <c r="AE34" s="1044">
        <f>+Table2523467891011101213121412151615171819202122[[#This Row],[Gas Export (MMscf/d)]]</f>
        <v>0</v>
      </c>
      <c r="AF34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34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14.49</v>
      </c>
    </row>
    <row r="35" spans="2:33">
      <c r="B35" s="716">
        <v>44588</v>
      </c>
      <c r="C35" s="749">
        <v>20.47</v>
      </c>
      <c r="D35" s="750">
        <v>15.22</v>
      </c>
      <c r="E35" s="750">
        <v>5.15</v>
      </c>
      <c r="F35" s="749">
        <v>3.58</v>
      </c>
      <c r="G35" s="1042">
        <f>SUM(Table25234678910111012131214121516151718192021[[#This Row],[Jones Creek Target (Mbopd)]:[Egwa Target (Mbopd)]])</f>
        <v>44.419999999999995</v>
      </c>
      <c r="H35" s="1042">
        <v>17.937000000000001</v>
      </c>
      <c r="I35" s="1068">
        <v>0</v>
      </c>
      <c r="J35" s="1068">
        <v>4.7140000000000004</v>
      </c>
      <c r="K35" s="1069">
        <v>2.347</v>
      </c>
      <c r="L35" s="1122">
        <f t="shared" si="7"/>
        <v>24.998000000000005</v>
      </c>
      <c r="M35" s="1126">
        <v>0</v>
      </c>
      <c r="N35" s="1124">
        <f>Table2523467891011101213121412151615171819202122[[#This Row],[Jones Creek Target (Mbopd)]]-Table2523467891011101213121412151615171819202122[[#This Row],[Jones Creek (Mbopd)]]</f>
        <v>1.4089999999999989</v>
      </c>
      <c r="O35" s="1044">
        <f>Table2523467891011101213121412151615171819202122[[#This Row],[Odidi Target (Mbopd)]]-Table2523467891011101213121412151615171819202122[[#This Row],[Odidi (Mbopd)]]</f>
        <v>10.984000000000002</v>
      </c>
      <c r="P35" s="1044">
        <f>Table2523467891011101213121412151615171819202122[[#This Row],[Batan Target (Mbopd)]]-Table2523467891011101213121412151615171819202122[[#This Row],[Batan (Mbopd)]]</f>
        <v>5.15</v>
      </c>
      <c r="Q35" s="1044">
        <f>Table2523467891011101213121412151615171819202122[[#This Row],[Egwa Target (Mbopd)]]-Table2523467891011101213121412151615171819202122[[#This Row],[Egwa (Mbopd)]]</f>
        <v>1.165</v>
      </c>
      <c r="R35" s="1043">
        <v>10.17</v>
      </c>
      <c r="S35" s="1044">
        <v>0</v>
      </c>
      <c r="T35" s="1044">
        <v>1.84</v>
      </c>
      <c r="U35" s="1045">
        <v>2.2000000000000002</v>
      </c>
      <c r="V35" s="1046">
        <v>0.84</v>
      </c>
      <c r="W35" s="1044">
        <v>0</v>
      </c>
      <c r="X35" s="1044">
        <v>1</v>
      </c>
      <c r="Y35" s="1045">
        <v>0</v>
      </c>
      <c r="Z35" s="1046">
        <v>9.3615999999999993</v>
      </c>
      <c r="AA35" s="1044">
        <f>+Table2523467891011101213121412151615171819202122[[#This Row],[Odid Prod gas (MMscf)]]-Table2523467891011101213121412151615171819202122[[#This Row],[Gas Export (MMscf/d)]]</f>
        <v>7.03</v>
      </c>
      <c r="AB35" s="1044">
        <f>+Table2523467891011101213121412151615171819202122[[#This Row],[Batn Prod gas (MMscf)]]-Table2523467891011101213121412151615171819202122[[#This Row],[Batn Utilised gas (MMscf)]]</f>
        <v>0</v>
      </c>
      <c r="AC35" s="1045">
        <v>2.16</v>
      </c>
      <c r="AD3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19.010000000000002</v>
      </c>
      <c r="AE35" s="1044">
        <f>+Table2523467891011101213121412151615171819202122[[#This Row],[Gas Export (MMscf/d)]]</f>
        <v>0</v>
      </c>
      <c r="AF3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3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18.170000000000002</v>
      </c>
    </row>
    <row r="36" spans="2:33">
      <c r="B36" s="716">
        <v>44589</v>
      </c>
      <c r="C36" s="749">
        <v>20.47</v>
      </c>
      <c r="D36" s="750">
        <v>15.22</v>
      </c>
      <c r="E36" s="750">
        <v>5.15</v>
      </c>
      <c r="F36" s="749">
        <v>3.58</v>
      </c>
      <c r="G36" s="1042">
        <f>SUM(Table25234678910111012131214121516151718192021[[#This Row],[Jones Creek Target (Mbopd)]:[Egwa Target (Mbopd)]])</f>
        <v>44.419999999999995</v>
      </c>
      <c r="H36" s="1068">
        <v>18.398</v>
      </c>
      <c r="I36" s="1068">
        <v>3.75</v>
      </c>
      <c r="J36" s="1068">
        <v>4.601</v>
      </c>
      <c r="K36" s="1069">
        <v>2.3460000000000001</v>
      </c>
      <c r="L36" s="1122">
        <f t="shared" si="7"/>
        <v>29.094999999999999</v>
      </c>
      <c r="M36" s="1126">
        <v>0</v>
      </c>
      <c r="N36" s="1124">
        <f>Table2523467891011101213121412151615171819202122[[#This Row],[Jones Creek Target (Mbopd)]]-Table2523467891011101213121412151615171819202122[[#This Row],[Jones Creek (Mbopd)]]</f>
        <v>1.0589999999999975</v>
      </c>
      <c r="O36" s="1044">
        <f>Table2523467891011101213121412151615171819202122[[#This Row],[Odidi Target (Mbopd)]]-Table2523467891011101213121412151615171819202122[[#This Row],[Odidi (Mbopd)]]</f>
        <v>10.774000000000001</v>
      </c>
      <c r="P36" s="1044">
        <f>Table2523467891011101213121412151615171819202122[[#This Row],[Batan Target (Mbopd)]]-Table2523467891011101213121412151615171819202122[[#This Row],[Batan (Mbopd)]]</f>
        <v>5.15</v>
      </c>
      <c r="Q36" s="1044">
        <f>Table2523467891011101213121412151615171819202122[[#This Row],[Egwa Target (Mbopd)]]-Table2523467891011101213121412151615171819202122[[#This Row],[Egwa (Mbopd)]]</f>
        <v>1.2389999999999999</v>
      </c>
      <c r="R36" s="1043">
        <v>10.39</v>
      </c>
      <c r="S36" s="1044">
        <v>7.38</v>
      </c>
      <c r="T36" s="1044">
        <v>2.5</v>
      </c>
      <c r="U36" s="1045">
        <v>2.25</v>
      </c>
      <c r="V36" s="1046">
        <v>0.84</v>
      </c>
      <c r="W36" s="1044">
        <v>0</v>
      </c>
      <c r="X36" s="1044">
        <v>1</v>
      </c>
      <c r="Y36" s="1045">
        <v>0</v>
      </c>
      <c r="Z36" s="1046">
        <v>9.3615999999999993</v>
      </c>
      <c r="AA36" s="1044">
        <f>+Table2523467891011101213121412151615171819202122[[#This Row],[Odid Prod gas (MMscf)]]-Table2523467891011101213121412151615171819202122[[#This Row],[Gas Export (MMscf/d)]]</f>
        <v>7.03</v>
      </c>
      <c r="AB36" s="1044">
        <f>+Table2523467891011101213121412151615171819202122[[#This Row],[Batn Prod gas (MMscf)]]-Table2523467891011101213121412151615171819202122[[#This Row],[Batn Utilised gas (MMscf)]]</f>
        <v>0</v>
      </c>
      <c r="AC36" s="1045">
        <v>2.16</v>
      </c>
      <c r="AD3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19.72</v>
      </c>
      <c r="AE36" s="1044">
        <f>+Table2523467891011101213121412151615171819202122[[#This Row],[Gas Export (MMscf/d)]]</f>
        <v>0</v>
      </c>
      <c r="AF3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3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18.88</v>
      </c>
    </row>
    <row r="37" spans="2:33">
      <c r="B37" s="716">
        <v>44590</v>
      </c>
      <c r="C37" s="749">
        <v>20.47</v>
      </c>
      <c r="D37" s="750">
        <v>15.22</v>
      </c>
      <c r="E37" s="750">
        <v>5.15</v>
      </c>
      <c r="F37" s="749">
        <v>3.58</v>
      </c>
      <c r="G37" s="1042">
        <f>SUM(Table25234678910111012131214121516151718192021[[#This Row],[Jones Creek Target (Mbopd)]:[Egwa Target (Mbopd)]])</f>
        <v>44.419999999999995</v>
      </c>
      <c r="H37" s="1068">
        <v>18.460999999999999</v>
      </c>
      <c r="I37" s="1068">
        <v>4.2949999999999999</v>
      </c>
      <c r="J37" s="1068">
        <v>4.5060000000000002</v>
      </c>
      <c r="K37" s="1069">
        <v>2.3759999999999999</v>
      </c>
      <c r="L37" s="1122">
        <f t="shared" ref="L37" si="8">H37+I37+J37+K37</f>
        <v>29.638000000000002</v>
      </c>
      <c r="M37" s="1126">
        <v>0</v>
      </c>
      <c r="N37" s="1124">
        <f>Table2523467891011101213121412151615171819202122[[#This Row],[Jones Creek Target (Mbopd)]]-Table2523467891011101213121412151615171819202122[[#This Row],[Jones Creek (Mbopd)]]</f>
        <v>12.866999999999999</v>
      </c>
      <c r="O37" s="1044">
        <f>Table2523467891011101213121412151615171819202122[[#This Row],[Odidi Target (Mbopd)]]-Table2523467891011101213121412151615171819202122[[#This Row],[Odidi (Mbopd)]]</f>
        <v>6.0579999999999998</v>
      </c>
      <c r="P37" s="1044">
        <f>Table2523467891011101213121412151615171819202122[[#This Row],[Batan Target (Mbopd)]]-Table2523467891011101213121412151615171819202122[[#This Row],[Batan (Mbopd)]]</f>
        <v>5.15</v>
      </c>
      <c r="Q37" s="1044">
        <f>Table2523467891011101213121412151615171819202122[[#This Row],[Egwa Target (Mbopd)]]-Table2523467891011101213121412151615171819202122[[#This Row],[Egwa (Mbopd)]]</f>
        <v>1.3140000000000001</v>
      </c>
      <c r="R37" s="1043">
        <v>9.93</v>
      </c>
      <c r="S37" s="1044">
        <v>11.66</v>
      </c>
      <c r="T37" s="1044">
        <v>2.5</v>
      </c>
      <c r="U37" s="1045">
        <v>2.2599999999999998</v>
      </c>
      <c r="V37" s="1046">
        <v>0.84</v>
      </c>
      <c r="W37" s="1044">
        <v>0</v>
      </c>
      <c r="X37" s="1044">
        <v>1</v>
      </c>
      <c r="Y37" s="1045">
        <v>0</v>
      </c>
      <c r="Z37" s="1046">
        <v>9.3615999999999993</v>
      </c>
      <c r="AA37" s="1044">
        <f>+Table2523467891011101213121412151615171819202122[[#This Row],[Odid Prod gas (MMscf)]]-Table2523467891011101213121412151615171819202122[[#This Row],[Gas Export (MMscf/d)]]</f>
        <v>18.190000000000001</v>
      </c>
      <c r="AB37" s="1044">
        <f>+Table2523467891011101213121412151615171819202122[[#This Row],[Batn Prod gas (MMscf)]]-Table2523467891011101213121412151615171819202122[[#This Row],[Batn Utilised gas (MMscf)]]</f>
        <v>0</v>
      </c>
      <c r="AC37" s="1045">
        <v>2.16</v>
      </c>
      <c r="AD3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31.013999999999999</v>
      </c>
      <c r="AE37" s="1044">
        <f>+Table2523467891011101213121412151615171819202122[[#This Row],[Gas Export (MMscf/d)]]</f>
        <v>0</v>
      </c>
      <c r="AF3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3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30.17</v>
      </c>
    </row>
    <row r="38" spans="2:33">
      <c r="B38" s="716">
        <v>44591</v>
      </c>
      <c r="C38" s="749">
        <v>20.47</v>
      </c>
      <c r="D38" s="750">
        <v>15.22</v>
      </c>
      <c r="E38" s="750">
        <v>5.15</v>
      </c>
      <c r="F38" s="749">
        <v>3.58</v>
      </c>
      <c r="G38" s="1042">
        <f>SUM(Table25234678910111012131214121516151718192021[[#This Row],[Jones Creek Target (Mbopd)]:[Egwa Target (Mbopd)]])</f>
        <v>44.419999999999995</v>
      </c>
      <c r="H38" s="1068">
        <v>18.166</v>
      </c>
      <c r="I38" s="1068">
        <v>8.4760000000000009</v>
      </c>
      <c r="J38" s="1068">
        <v>4.5709999999999997</v>
      </c>
      <c r="K38" s="1069">
        <v>2.363</v>
      </c>
      <c r="L38" s="1122">
        <f t="shared" ref="L38:L39" si="9">H38+I38+J38+K38</f>
        <v>33.576000000000001</v>
      </c>
      <c r="M38" s="1126">
        <v>0</v>
      </c>
      <c r="N38" s="1124">
        <f>Table2523467891011101213121412151615171819202122[[#This Row],[Jones Creek Target (Mbopd)]]-Table2523467891011101213121412151615171819202122[[#This Row],[Jones Creek (Mbopd)]]</f>
        <v>20.47</v>
      </c>
      <c r="O38" s="1044">
        <f>Table2523467891011101213121412151615171819202122[[#This Row],[Odidi Target (Mbopd)]]-Table2523467891011101213121412151615171819202122[[#This Row],[Odidi (Mbopd)]]</f>
        <v>6.104000000000001</v>
      </c>
      <c r="P38" s="1044">
        <f>Table2523467891011101213121412151615171819202122[[#This Row],[Batan Target (Mbopd)]]-Table2523467891011101213121412151615171819202122[[#This Row],[Batan (Mbopd)]]</f>
        <v>5.15</v>
      </c>
      <c r="Q38" s="1044">
        <f>Table2523467891011101213121412151615171819202122[[#This Row],[Egwa Target (Mbopd)]]-Table2523467891011101213121412151615171819202122[[#This Row],[Egwa (Mbopd)]]</f>
        <v>1.3319999999999999</v>
      </c>
      <c r="R38" s="1043">
        <v>9.82</v>
      </c>
      <c r="S38" s="1044">
        <v>20.61</v>
      </c>
      <c r="T38" s="1044">
        <v>2.5</v>
      </c>
      <c r="U38" s="1045">
        <v>2.2999999999999998</v>
      </c>
      <c r="V38" s="1046">
        <v>0.84</v>
      </c>
      <c r="W38" s="1044">
        <v>0</v>
      </c>
      <c r="X38" s="1044">
        <v>1</v>
      </c>
      <c r="Y38" s="1045">
        <v>0</v>
      </c>
      <c r="Z38" s="1046">
        <v>9.3615999999999993</v>
      </c>
      <c r="AA38" s="1044">
        <f>+Table2523467891011101213121412151615171819202122[[#This Row],[Odid Prod gas (MMscf)]]-Table2523467891011101213121412151615171819202122[[#This Row],[Gas Export (MMscf/d)]]</f>
        <v>18.78</v>
      </c>
      <c r="AB38" s="1044">
        <f>+Table2523467891011101213121412151615171819202122[[#This Row],[Batn Prod gas (MMscf)]]-Table2523467891011101213121412151615171819202122[[#This Row],[Batn Utilised gas (MMscf)]]</f>
        <v>0</v>
      </c>
      <c r="AC38" s="1045">
        <v>2.16</v>
      </c>
      <c r="AD3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21.14</v>
      </c>
      <c r="AE38" s="1044">
        <f>+Table2523467891011101213121412151615171819202122[[#This Row],[Gas Export (MMscf/d)]]</f>
        <v>0</v>
      </c>
      <c r="AF3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3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21.11</v>
      </c>
    </row>
    <row r="39" spans="2:33">
      <c r="B39" s="716">
        <v>44592</v>
      </c>
      <c r="C39" s="749">
        <v>20.47</v>
      </c>
      <c r="D39" s="750">
        <v>15.22</v>
      </c>
      <c r="E39" s="750">
        <v>5.15</v>
      </c>
      <c r="F39" s="749">
        <v>3.58</v>
      </c>
      <c r="G39" s="1042">
        <f>SUM(Table2523467891011101213121412151615171819202122[[#This Row],[Jones Creek Target (Mbopd)]:[Egwa Target (Mbopd)]])</f>
        <v>44.419999999999995</v>
      </c>
      <c r="H39" s="1067">
        <v>17.564</v>
      </c>
      <c r="I39" s="1068">
        <v>7.726</v>
      </c>
      <c r="J39" s="1069">
        <v>4.5629999999999997</v>
      </c>
      <c r="K39" s="1070">
        <v>2.3170000000000002</v>
      </c>
      <c r="L39" s="1122">
        <f t="shared" si="9"/>
        <v>32.17</v>
      </c>
      <c r="M39" s="1126">
        <v>0</v>
      </c>
      <c r="N39" s="1124">
        <f>Table2523467891011101213121412151615171819202122[[#This Row],[Jones Creek Target (Mbopd)]]-Table2523467891011101213121412151615171819202122[[#This Row],[Jones Creek (Mbopd)]]</f>
        <v>20.47</v>
      </c>
      <c r="O39" s="1044">
        <f>Table2523467891011101213121412151615171819202122[[#This Row],[Odidi Target (Mbopd)]]-Table2523467891011101213121412151615171819202122[[#This Row],[Odidi (Mbopd)]]</f>
        <v>6.104000000000001</v>
      </c>
      <c r="P39" s="1044">
        <f>Table2523467891011101213121412151615171819202122[[#This Row],[Batan Target (Mbopd)]]-Table2523467891011101213121412151615171819202122[[#This Row],[Batan (Mbopd)]]</f>
        <v>5.15</v>
      </c>
      <c r="Q39" s="1044">
        <f>Table2523467891011101213121412151615171819202122[[#This Row],[Egwa Target (Mbopd)]]-Table2523467891011101213121412151615171819202122[[#This Row],[Egwa (Mbopd)]]</f>
        <v>1.3290000000000002</v>
      </c>
      <c r="R39" s="1043">
        <v>9.82</v>
      </c>
      <c r="S39" s="1044">
        <v>17.440000000000001</v>
      </c>
      <c r="T39" s="1044">
        <v>2.5</v>
      </c>
      <c r="U39" s="1045">
        <v>2.29</v>
      </c>
      <c r="V39" s="1046">
        <v>0.84</v>
      </c>
      <c r="W39" s="1044">
        <v>0</v>
      </c>
      <c r="X39" s="1044">
        <v>1</v>
      </c>
      <c r="Y39" s="1045">
        <v>0</v>
      </c>
      <c r="Z39" s="1046">
        <f>+Table2523467891011101213121412151615171819202122[[#This Row],[J/C Prod gas (MMscf)]]-Table2523467891011101213121412151615171819202122[[#This Row],[J/C Utilised gas (MMscf)]]</f>
        <v>0</v>
      </c>
      <c r="AA39" s="1044">
        <f>+Table2523467891011101213121412151615171819202122[[#This Row],[Odid Prod gas (MMscf)]]-Table2523467891011101213121412151615171819202122[[#This Row],[Gas Export (MMscf/d)]]</f>
        <v>18.78</v>
      </c>
      <c r="AB39" s="1044">
        <f>+Table2523467891011101213121412151615171819202122[[#This Row],[Batn Prod gas (MMscf)]]-Table2523467891011101213121412151615171819202122[[#This Row],[Batn Utilised gas (MMscf)]]</f>
        <v>0</v>
      </c>
      <c r="AC39" s="1044">
        <f>+Table2523467891011101213121412151615171819202122[[#This Row],[Egwa Prod gas (MMscf)]]-Table2523467891011101213121412151615171819202122[[#This Row],[Egwa Utilised gas (MMscf)]]</f>
        <v>2.3780000000000001</v>
      </c>
      <c r="AD3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21.158000000000001</v>
      </c>
      <c r="AE39" s="1044">
        <f>+Table2523467891011101213121412151615171819202122[[#This Row],[Gas Export (MMscf/d)]]</f>
        <v>0</v>
      </c>
      <c r="AF3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3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21.158000000000001</v>
      </c>
    </row>
    <row r="42" spans="2:33">
      <c r="I42" s="1137">
        <f>H26-H28</f>
        <v>5.25</v>
      </c>
    </row>
    <row r="45" spans="2:33" ht="27.6" thickBot="1">
      <c r="B45" s="1345" t="s">
        <v>149</v>
      </c>
      <c r="C45" s="1346"/>
      <c r="D45" s="1346"/>
      <c r="E45" s="1346"/>
      <c r="F45" s="1346"/>
      <c r="G45" s="1346"/>
      <c r="H45" s="1346"/>
      <c r="I45" s="1346"/>
      <c r="J45" s="1346"/>
      <c r="K45" s="1346"/>
      <c r="L45" s="1346"/>
      <c r="M45" s="1346"/>
      <c r="N45" s="1346"/>
      <c r="O45" s="1346"/>
      <c r="P45" s="1346"/>
      <c r="Q45" s="1347"/>
    </row>
    <row r="46" spans="2:33" ht="43.15">
      <c r="B46" s="1004" t="s">
        <v>22</v>
      </c>
      <c r="C46" s="1005" t="s">
        <v>358</v>
      </c>
      <c r="D46" s="1348" t="s">
        <v>24</v>
      </c>
      <c r="E46" s="1349"/>
      <c r="F46" s="1349"/>
      <c r="G46" s="1349"/>
      <c r="H46" s="1349"/>
      <c r="I46" s="1349"/>
      <c r="J46" s="1349"/>
      <c r="K46" s="1349"/>
      <c r="L46" s="1349"/>
      <c r="M46" s="1349"/>
      <c r="N46" s="1349"/>
      <c r="O46" s="1349"/>
      <c r="P46" s="1349"/>
      <c r="Q46" s="1350"/>
    </row>
    <row r="47" spans="2:33" ht="21.6">
      <c r="B47" s="656" t="s">
        <v>17</v>
      </c>
      <c r="C47" s="652">
        <f>N39</f>
        <v>20.47</v>
      </c>
      <c r="D47" s="1358" t="s">
        <v>513</v>
      </c>
      <c r="E47" s="1359"/>
      <c r="F47" s="1359"/>
      <c r="G47" s="1359"/>
      <c r="H47" s="1359"/>
      <c r="I47" s="1359"/>
      <c r="J47" s="1359"/>
      <c r="K47" s="1359"/>
      <c r="L47" s="1359"/>
      <c r="M47" s="1359"/>
      <c r="N47" s="1359"/>
      <c r="O47" s="1359"/>
      <c r="P47" s="1359"/>
      <c r="Q47" s="1374"/>
    </row>
    <row r="48" spans="2:33" ht="21.6">
      <c r="B48" s="656" t="s">
        <v>19</v>
      </c>
      <c r="C48" s="652">
        <f>O39</f>
        <v>6.104000000000001</v>
      </c>
      <c r="D48" s="1358" t="s">
        <v>514</v>
      </c>
      <c r="E48" s="1359"/>
      <c r="F48" s="1359"/>
      <c r="G48" s="1359"/>
      <c r="H48" s="1359"/>
      <c r="I48" s="1359"/>
      <c r="J48" s="1359"/>
      <c r="K48" s="1359"/>
      <c r="L48" s="1359"/>
      <c r="M48" s="1359"/>
      <c r="N48" s="1359"/>
      <c r="O48" s="1359"/>
      <c r="P48" s="1359"/>
      <c r="Q48" s="1374"/>
    </row>
    <row r="49" spans="2:36" ht="24.4" customHeight="1">
      <c r="B49" s="656" t="s">
        <v>16</v>
      </c>
      <c r="C49" s="652">
        <f>P39</f>
        <v>5.15</v>
      </c>
      <c r="D49" s="1358" t="s">
        <v>515</v>
      </c>
      <c r="E49" s="1359"/>
      <c r="F49" s="1359"/>
      <c r="G49" s="1359"/>
      <c r="H49" s="1359"/>
      <c r="I49" s="1359"/>
      <c r="J49" s="1359"/>
      <c r="K49" s="1359"/>
      <c r="L49" s="1359"/>
      <c r="M49" s="1359"/>
      <c r="N49" s="1359"/>
      <c r="O49" s="1359"/>
      <c r="P49" s="1359"/>
      <c r="Q49" s="1374"/>
    </row>
    <row r="50" spans="2:36" ht="21.6">
      <c r="B50" s="657" t="s">
        <v>18</v>
      </c>
      <c r="C50" s="653">
        <f>Q39</f>
        <v>1.3290000000000002</v>
      </c>
      <c r="D50" s="1370" t="s">
        <v>516</v>
      </c>
      <c r="E50" s="1371"/>
      <c r="F50" s="1371"/>
      <c r="G50" s="1371"/>
      <c r="H50" s="1371"/>
      <c r="I50" s="1371"/>
      <c r="J50" s="1371"/>
      <c r="K50" s="1371"/>
      <c r="L50" s="1371"/>
      <c r="M50" s="1371"/>
      <c r="N50" s="1371"/>
      <c r="O50" s="1371"/>
      <c r="P50" s="1371"/>
      <c r="Q50" s="1372"/>
    </row>
    <row r="51" spans="2:36" ht="21.6">
      <c r="B51" s="658" t="s">
        <v>187</v>
      </c>
      <c r="C51" s="654">
        <f>SUM(C47:C50)</f>
        <v>33.052999999999997</v>
      </c>
      <c r="D51" s="1355" t="s">
        <v>517</v>
      </c>
      <c r="E51" s="1356"/>
      <c r="F51" s="1356"/>
      <c r="G51" s="1356"/>
      <c r="H51" s="1356"/>
      <c r="I51" s="1356"/>
      <c r="J51" s="1356"/>
      <c r="K51" s="1356"/>
      <c r="L51" s="1356"/>
      <c r="M51" s="1356"/>
      <c r="N51" s="1356"/>
      <c r="O51" s="1356"/>
      <c r="P51" s="1356"/>
      <c r="Q51" s="1373"/>
    </row>
    <row r="52" spans="2:36" ht="24.6">
      <c r="AJ52" s="735"/>
    </row>
  </sheetData>
  <mergeCells count="8">
    <mergeCell ref="D50:Q50"/>
    <mergeCell ref="D51:Q51"/>
    <mergeCell ref="AJ8:AO8"/>
    <mergeCell ref="B45:Q45"/>
    <mergeCell ref="D46:Q46"/>
    <mergeCell ref="D47:Q47"/>
    <mergeCell ref="D48:Q48"/>
    <mergeCell ref="D49:Q49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4948-B6D4-42D4-8A92-739E7C0CBF12}">
  <dimension ref="B1:AC1000"/>
  <sheetViews>
    <sheetView topLeftCell="A4" zoomScale="90" zoomScaleNormal="90" workbookViewId="0">
      <selection activeCell="G27" sqref="G27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8.88671875" style="580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4.44140625" style="580" customWidth="1"/>
    <col min="12" max="12" width="17.6640625" style="580" customWidth="1"/>
    <col min="13" max="13" width="8.88671875" style="580"/>
    <col min="14" max="14" width="10.109375" style="580" bestFit="1" customWidth="1"/>
    <col min="15" max="19" width="8.88671875" style="580"/>
    <col min="20" max="20" width="22.109375" style="580" customWidth="1"/>
    <col min="21" max="16384" width="9.21875" style="580"/>
  </cols>
  <sheetData>
    <row r="1" spans="2:29" ht="22.15">
      <c r="B1"/>
      <c r="C1" s="1226" t="s">
        <v>518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</row>
    <row r="2" spans="2:29" ht="24.75" customHeigh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</row>
    <row r="3" spans="2:29" ht="24.75" customHeight="1">
      <c r="B3"/>
      <c r="C3" s="1367" t="s">
        <v>519</v>
      </c>
      <c r="D3" s="1368"/>
      <c r="E3" s="1368"/>
      <c r="F3" s="1368"/>
      <c r="G3" s="1368"/>
      <c r="H3" s="1368"/>
      <c r="I3" s="1368"/>
      <c r="J3" s="1368"/>
      <c r="K3" s="136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</row>
    <row r="4" spans="2:29" ht="39.6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866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</row>
    <row r="5" spans="2:29">
      <c r="B5" s="1101">
        <v>1</v>
      </c>
      <c r="C5" s="818" t="s">
        <v>46</v>
      </c>
      <c r="D5" s="192" t="s">
        <v>47</v>
      </c>
      <c r="E5" s="193">
        <v>40</v>
      </c>
      <c r="F5" s="194">
        <v>1753</v>
      </c>
      <c r="G5" s="188">
        <v>1161</v>
      </c>
      <c r="H5" s="194">
        <v>34</v>
      </c>
      <c r="I5" s="194">
        <v>323</v>
      </c>
      <c r="J5" s="1099">
        <v>129</v>
      </c>
      <c r="K5" s="1109" t="s">
        <v>489</v>
      </c>
      <c r="L5" s="1100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</row>
    <row r="6" spans="2:29">
      <c r="B6" s="1101">
        <v>2</v>
      </c>
      <c r="C6" s="818" t="s">
        <v>48</v>
      </c>
      <c r="D6" s="192" t="s">
        <v>47</v>
      </c>
      <c r="E6" s="193" t="s">
        <v>49</v>
      </c>
      <c r="F6" s="194">
        <v>1538</v>
      </c>
      <c r="G6" s="188">
        <v>998</v>
      </c>
      <c r="H6" s="194">
        <v>35</v>
      </c>
      <c r="I6" s="194">
        <v>310</v>
      </c>
      <c r="J6" s="194">
        <v>163</v>
      </c>
      <c r="K6" s="1110" t="s">
        <v>489</v>
      </c>
      <c r="L6" s="1100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</row>
    <row r="7" spans="2:29">
      <c r="B7" s="1163">
        <v>3</v>
      </c>
      <c r="C7" s="815" t="s">
        <v>45</v>
      </c>
      <c r="D7" s="219" t="s">
        <v>44</v>
      </c>
      <c r="E7" s="220">
        <v>32</v>
      </c>
      <c r="F7" s="221">
        <v>2221</v>
      </c>
      <c r="G7" s="278">
        <v>1044</v>
      </c>
      <c r="H7" s="221">
        <v>53</v>
      </c>
      <c r="I7" s="221">
        <v>669</v>
      </c>
      <c r="J7" s="221">
        <v>249</v>
      </c>
      <c r="K7" s="445" t="s">
        <v>68</v>
      </c>
      <c r="L7" s="1100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</row>
    <row r="8" spans="2:29">
      <c r="B8" s="1101">
        <v>4</v>
      </c>
      <c r="C8" s="818" t="s">
        <v>56</v>
      </c>
      <c r="D8" s="192" t="s">
        <v>47</v>
      </c>
      <c r="E8" s="193">
        <v>44</v>
      </c>
      <c r="F8" s="194">
        <v>3857</v>
      </c>
      <c r="G8" s="188">
        <v>1662</v>
      </c>
      <c r="H8" s="194">
        <v>58</v>
      </c>
      <c r="I8" s="194">
        <v>329</v>
      </c>
      <c r="J8" s="194">
        <v>352</v>
      </c>
      <c r="K8" s="1110" t="s">
        <v>489</v>
      </c>
      <c r="L8" s="1100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</row>
    <row r="9" spans="2:29">
      <c r="B9" s="1112">
        <v>5</v>
      </c>
      <c r="C9" s="1113" t="s">
        <v>57</v>
      </c>
      <c r="D9" s="199" t="s">
        <v>47</v>
      </c>
      <c r="E9" s="200">
        <v>28</v>
      </c>
      <c r="F9" s="201">
        <v>1706</v>
      </c>
      <c r="G9" s="1114">
        <v>277</v>
      </c>
      <c r="H9" s="201">
        <v>84</v>
      </c>
      <c r="I9" s="201">
        <v>377</v>
      </c>
      <c r="J9" s="201">
        <v>305</v>
      </c>
      <c r="K9" s="1115" t="s">
        <v>489</v>
      </c>
      <c r="L9" s="1100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</row>
    <row r="10" spans="2:29">
      <c r="B10" s="1116">
        <v>6</v>
      </c>
      <c r="C10" s="1117" t="s">
        <v>41</v>
      </c>
      <c r="D10" s="283" t="s">
        <v>42</v>
      </c>
      <c r="E10" s="284">
        <v>28</v>
      </c>
      <c r="F10" s="278">
        <v>1706</v>
      </c>
      <c r="G10" s="278">
        <v>580</v>
      </c>
      <c r="H10" s="278">
        <v>66</v>
      </c>
      <c r="I10" s="278">
        <v>995</v>
      </c>
      <c r="J10" s="278">
        <v>494</v>
      </c>
      <c r="K10" s="445" t="s">
        <v>235</v>
      </c>
      <c r="L10" s="1100" t="s">
        <v>503</v>
      </c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</row>
    <row r="11" spans="2:29">
      <c r="B11" s="1101">
        <v>7</v>
      </c>
      <c r="C11" s="815" t="s">
        <v>43</v>
      </c>
      <c r="D11" s="219" t="s">
        <v>44</v>
      </c>
      <c r="E11" s="220">
        <v>28</v>
      </c>
      <c r="F11" s="221">
        <v>1132</v>
      </c>
      <c r="G11" s="278">
        <v>566</v>
      </c>
      <c r="H11" s="221">
        <v>50</v>
      </c>
      <c r="I11" s="221">
        <v>607</v>
      </c>
      <c r="J11" s="221">
        <v>147</v>
      </c>
      <c r="K11" s="445" t="s">
        <v>235</v>
      </c>
      <c r="L11" s="1100" t="s">
        <v>503</v>
      </c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</row>
    <row r="12" spans="2:29">
      <c r="B12" s="1101">
        <v>8</v>
      </c>
      <c r="C12" s="815" t="s">
        <v>373</v>
      </c>
      <c r="D12" s="219" t="s">
        <v>47</v>
      </c>
      <c r="E12" s="220">
        <v>24</v>
      </c>
      <c r="F12" s="221">
        <v>1643</v>
      </c>
      <c r="G12" s="278">
        <v>690</v>
      </c>
      <c r="H12" s="221">
        <v>58</v>
      </c>
      <c r="I12" s="221">
        <v>300</v>
      </c>
      <c r="J12" s="221">
        <v>287</v>
      </c>
      <c r="K12" s="445" t="s">
        <v>68</v>
      </c>
      <c r="L12" s="1100" t="s">
        <v>503</v>
      </c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</row>
    <row r="13" spans="2:29">
      <c r="B13" s="1102">
        <v>9</v>
      </c>
      <c r="C13" s="815" t="s">
        <v>50</v>
      </c>
      <c r="D13" s="219" t="s">
        <v>47</v>
      </c>
      <c r="E13" s="220" t="s">
        <v>51</v>
      </c>
      <c r="F13" s="221">
        <v>1480</v>
      </c>
      <c r="G13" s="278">
        <v>444</v>
      </c>
      <c r="H13" s="221">
        <v>70</v>
      </c>
      <c r="I13" s="221">
        <v>762</v>
      </c>
      <c r="J13" s="221">
        <v>173</v>
      </c>
      <c r="K13" s="445" t="s">
        <v>235</v>
      </c>
      <c r="L13" s="1100" t="s">
        <v>503</v>
      </c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</row>
    <row r="14" spans="2:29">
      <c r="B14" s="1101">
        <v>10</v>
      </c>
      <c r="C14" s="815" t="s">
        <v>52</v>
      </c>
      <c r="D14" s="219" t="s">
        <v>47</v>
      </c>
      <c r="E14" s="220">
        <v>40</v>
      </c>
      <c r="F14" s="221">
        <v>1652</v>
      </c>
      <c r="G14" s="278">
        <v>760</v>
      </c>
      <c r="H14" s="221">
        <v>54</v>
      </c>
      <c r="I14" s="221">
        <v>447</v>
      </c>
      <c r="J14" s="221">
        <v>159</v>
      </c>
      <c r="K14" s="445" t="s">
        <v>235</v>
      </c>
      <c r="L14" s="1100" t="s">
        <v>503</v>
      </c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</row>
    <row r="15" spans="2:29" ht="21" customHeight="1">
      <c r="B15" s="1101">
        <v>11</v>
      </c>
      <c r="C15" s="815" t="s">
        <v>53</v>
      </c>
      <c r="D15" s="219" t="s">
        <v>47</v>
      </c>
      <c r="E15" s="220">
        <v>28</v>
      </c>
      <c r="F15" s="221">
        <v>1410</v>
      </c>
      <c r="G15" s="278">
        <v>663</v>
      </c>
      <c r="H15" s="221">
        <v>53.33</v>
      </c>
      <c r="I15" s="221">
        <v>430</v>
      </c>
      <c r="J15" s="221">
        <v>342</v>
      </c>
      <c r="K15" s="1103" t="s">
        <v>235</v>
      </c>
      <c r="L15" s="1118" t="s">
        <v>504</v>
      </c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</row>
    <row r="16" spans="2:29">
      <c r="B16" s="1104">
        <v>12</v>
      </c>
      <c r="C16" s="1105" t="s">
        <v>54</v>
      </c>
      <c r="D16" s="258" t="s">
        <v>47</v>
      </c>
      <c r="E16" s="259" t="s">
        <v>55</v>
      </c>
      <c r="F16" s="260">
        <v>1633</v>
      </c>
      <c r="G16" s="1106">
        <v>780</v>
      </c>
      <c r="H16" s="260">
        <v>52</v>
      </c>
      <c r="I16" s="260">
        <v>492</v>
      </c>
      <c r="J16" s="260">
        <v>377</v>
      </c>
      <c r="K16" s="1107"/>
      <c r="L16" s="1108" t="s">
        <v>504</v>
      </c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</row>
    <row r="17" spans="2:29">
      <c r="F17" s="224">
        <f>SUM(F5:F9)</f>
        <v>11075</v>
      </c>
      <c r="G17" s="224">
        <f>SUM(G5:G9)</f>
        <v>5142</v>
      </c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</row>
    <row r="18" spans="2:29">
      <c r="F18" s="1"/>
      <c r="G18" s="208">
        <f>ROUNDUP(G17,-1)</f>
        <v>5150</v>
      </c>
      <c r="K18" s="1098"/>
      <c r="L18" s="1098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</row>
    <row r="19" spans="2:29">
      <c r="B19"/>
      <c r="C19"/>
      <c r="D19" s="1"/>
      <c r="E19" s="1"/>
      <c r="F19" s="1"/>
      <c r="G19" s="1"/>
      <c r="H19" s="1"/>
      <c r="I19" s="1"/>
      <c r="J19" s="1"/>
      <c r="K1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</row>
    <row r="20" spans="2:29" ht="26.25" customHeight="1">
      <c r="B20" s="303"/>
      <c r="C20" s="1252" t="s">
        <v>520</v>
      </c>
      <c r="D20" s="1291"/>
      <c r="E20" s="1291"/>
      <c r="F20" s="1291"/>
      <c r="G20" s="1291"/>
      <c r="H20" s="1291"/>
      <c r="I20" s="1291"/>
      <c r="J20" s="1291"/>
      <c r="K20" s="1292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</row>
    <row r="21" spans="2:29" ht="40.15" thickBot="1">
      <c r="B21" s="829" t="s">
        <v>156</v>
      </c>
      <c r="C21" s="830" t="s">
        <v>31</v>
      </c>
      <c r="D21" s="803" t="s">
        <v>32</v>
      </c>
      <c r="E21" s="803" t="s">
        <v>33</v>
      </c>
      <c r="F21" s="803" t="s">
        <v>34</v>
      </c>
      <c r="G21" s="803" t="s">
        <v>35</v>
      </c>
      <c r="H21" s="803" t="s">
        <v>37</v>
      </c>
      <c r="I21" s="803" t="s">
        <v>38</v>
      </c>
      <c r="J21" s="803" t="s">
        <v>39</v>
      </c>
      <c r="K21" s="868" t="s">
        <v>40</v>
      </c>
      <c r="L21" s="866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</row>
    <row r="22" spans="2:29" s="647" customFormat="1" ht="19.899999999999999" thickBot="1">
      <c r="B22" s="991">
        <v>1</v>
      </c>
      <c r="C22" s="799" t="s">
        <v>417</v>
      </c>
      <c r="D22" s="799" t="s">
        <v>418</v>
      </c>
      <c r="E22" s="800">
        <v>24</v>
      </c>
      <c r="F22" s="801">
        <v>1072</v>
      </c>
      <c r="G22" s="802">
        <v>386</v>
      </c>
      <c r="H22" s="802">
        <v>64</v>
      </c>
      <c r="I22" s="802">
        <v>521</v>
      </c>
      <c r="J22" s="802">
        <v>928</v>
      </c>
      <c r="K22" s="698" t="s">
        <v>235</v>
      </c>
      <c r="L22" s="1034"/>
      <c r="M22" s="802"/>
      <c r="N22" s="802">
        <v>0</v>
      </c>
      <c r="O22" s="646"/>
      <c r="P22" s="646"/>
      <c r="Q22" s="646"/>
      <c r="R22" s="646"/>
      <c r="S22" s="646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</row>
    <row r="23" spans="2:29" ht="19.899999999999999" thickBot="1">
      <c r="B23" s="783">
        <v>2</v>
      </c>
      <c r="C23" s="773" t="s">
        <v>376</v>
      </c>
      <c r="D23" s="773" t="s">
        <v>89</v>
      </c>
      <c r="E23" s="774">
        <v>24</v>
      </c>
      <c r="F23" s="775">
        <v>1203</v>
      </c>
      <c r="G23" s="776">
        <v>412</v>
      </c>
      <c r="H23" s="776">
        <v>56</v>
      </c>
      <c r="I23" s="776">
        <v>340</v>
      </c>
      <c r="J23" s="776">
        <v>600</v>
      </c>
      <c r="K23" s="782" t="s">
        <v>68</v>
      </c>
      <c r="L23" s="1034"/>
      <c r="M23" s="776"/>
      <c r="N23" s="776">
        <v>0</v>
      </c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</row>
    <row r="24" spans="2:29" ht="19.899999999999999" thickBot="1">
      <c r="B24" s="783">
        <v>3</v>
      </c>
      <c r="C24" s="784" t="s">
        <v>61</v>
      </c>
      <c r="D24" s="784" t="s">
        <v>62</v>
      </c>
      <c r="E24" s="785">
        <v>28</v>
      </c>
      <c r="F24" s="786">
        <v>888</v>
      </c>
      <c r="G24" s="787">
        <v>355</v>
      </c>
      <c r="H24" s="787">
        <v>56</v>
      </c>
      <c r="I24" s="787">
        <v>782</v>
      </c>
      <c r="J24" s="787">
        <v>370</v>
      </c>
      <c r="K24" s="791" t="s">
        <v>489</v>
      </c>
      <c r="L24" s="1034"/>
      <c r="M24" s="787"/>
      <c r="N24" s="787">
        <v>355</v>
      </c>
      <c r="O24" s="111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</row>
    <row r="25" spans="2:29" ht="19.899999999999999" thickBot="1">
      <c r="B25" s="783">
        <v>4</v>
      </c>
      <c r="C25" s="784" t="s">
        <v>64</v>
      </c>
      <c r="D25" s="784" t="s">
        <v>65</v>
      </c>
      <c r="E25" s="785">
        <v>32</v>
      </c>
      <c r="F25" s="786">
        <v>2346</v>
      </c>
      <c r="G25" s="787">
        <v>1384</v>
      </c>
      <c r="H25" s="787">
        <v>41</v>
      </c>
      <c r="I25" s="787">
        <v>733</v>
      </c>
      <c r="J25" s="787">
        <v>421</v>
      </c>
      <c r="K25" s="788" t="s">
        <v>489</v>
      </c>
      <c r="L25" s="1034"/>
      <c r="M25" s="787"/>
      <c r="N25" s="787">
        <v>1384</v>
      </c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</row>
    <row r="26" spans="2:29" ht="19.899999999999999" thickBot="1">
      <c r="B26" s="783">
        <v>5</v>
      </c>
      <c r="C26" s="784" t="s">
        <v>69</v>
      </c>
      <c r="D26" s="784" t="s">
        <v>70</v>
      </c>
      <c r="E26" s="785">
        <v>28</v>
      </c>
      <c r="F26" s="786">
        <v>1419</v>
      </c>
      <c r="G26" s="787">
        <v>440</v>
      </c>
      <c r="H26" s="787">
        <v>69</v>
      </c>
      <c r="I26" s="787">
        <v>3311</v>
      </c>
      <c r="J26" s="787">
        <v>798</v>
      </c>
      <c r="K26" s="788" t="s">
        <v>489</v>
      </c>
      <c r="L26" s="1034"/>
      <c r="M26" s="787"/>
      <c r="N26" s="787">
        <v>440</v>
      </c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</row>
    <row r="27" spans="2:29" ht="19.899999999999999" thickBot="1">
      <c r="B27" s="783">
        <v>6</v>
      </c>
      <c r="C27" s="784" t="s">
        <v>71</v>
      </c>
      <c r="D27" s="784" t="s">
        <v>72</v>
      </c>
      <c r="E27" s="785">
        <v>32</v>
      </c>
      <c r="F27" s="786">
        <v>1087</v>
      </c>
      <c r="G27" s="787">
        <v>413</v>
      </c>
      <c r="H27" s="787">
        <v>62</v>
      </c>
      <c r="I27" s="787">
        <v>3311</v>
      </c>
      <c r="J27" s="787">
        <v>750</v>
      </c>
      <c r="K27" s="791" t="s">
        <v>489</v>
      </c>
      <c r="L27" s="1034"/>
      <c r="M27" s="787"/>
      <c r="N27" s="787">
        <v>0</v>
      </c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</row>
    <row r="28" spans="2:29" ht="34.15" thickBot="1">
      <c r="B28" s="991">
        <v>7</v>
      </c>
      <c r="C28" s="784" t="s">
        <v>73</v>
      </c>
      <c r="D28" s="784" t="s">
        <v>72</v>
      </c>
      <c r="E28" s="785">
        <v>44</v>
      </c>
      <c r="F28" s="786">
        <v>818</v>
      </c>
      <c r="G28" s="787">
        <v>450</v>
      </c>
      <c r="H28" s="787">
        <v>45</v>
      </c>
      <c r="I28" s="787">
        <v>3278</v>
      </c>
      <c r="J28" s="787">
        <v>406</v>
      </c>
      <c r="K28" s="791" t="s">
        <v>493</v>
      </c>
      <c r="L28" s="1034"/>
      <c r="M28" s="787"/>
      <c r="N28" s="787">
        <v>450</v>
      </c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</row>
    <row r="29" spans="2:29" ht="19.899999999999999" thickBot="1">
      <c r="B29" s="783">
        <v>8</v>
      </c>
      <c r="C29" s="837" t="s">
        <v>74</v>
      </c>
      <c r="D29" s="837" t="s">
        <v>75</v>
      </c>
      <c r="E29" s="838">
        <v>36</v>
      </c>
      <c r="F29" s="834">
        <v>3076</v>
      </c>
      <c r="G29" s="835">
        <v>1384</v>
      </c>
      <c r="H29" s="835">
        <v>55</v>
      </c>
      <c r="I29" s="835">
        <v>1480</v>
      </c>
      <c r="J29" s="835">
        <v>840</v>
      </c>
      <c r="K29" s="1097" t="s">
        <v>489</v>
      </c>
      <c r="L29" s="1034"/>
      <c r="M29" s="835"/>
      <c r="N29" s="835">
        <v>1384</v>
      </c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</row>
    <row r="30" spans="2:29" s="1078" customFormat="1" ht="19.899999999999999" thickBot="1">
      <c r="B30" s="783">
        <v>9</v>
      </c>
      <c r="C30" s="837" t="s">
        <v>76</v>
      </c>
      <c r="D30" s="837" t="s">
        <v>77</v>
      </c>
      <c r="E30" s="838">
        <v>20</v>
      </c>
      <c r="F30" s="834">
        <v>715</v>
      </c>
      <c r="G30" s="835">
        <v>250</v>
      </c>
      <c r="H30" s="835">
        <v>65</v>
      </c>
      <c r="I30" s="835">
        <v>478</v>
      </c>
      <c r="J30" s="835">
        <v>160</v>
      </c>
      <c r="K30" s="819" t="s">
        <v>489</v>
      </c>
      <c r="L30" s="1034"/>
      <c r="M30" s="835"/>
      <c r="N30" s="835">
        <v>250</v>
      </c>
      <c r="O30" s="1095"/>
      <c r="P30" s="1095"/>
      <c r="Q30" s="1095"/>
      <c r="R30" s="1095"/>
      <c r="S30" s="1095"/>
      <c r="T30" s="1095"/>
      <c r="U30" s="1095"/>
      <c r="V30" s="1095"/>
      <c r="W30" s="1095"/>
      <c r="X30" s="1095"/>
      <c r="Y30" s="1095"/>
      <c r="Z30" s="1095"/>
      <c r="AA30" s="1095"/>
      <c r="AB30" s="1095"/>
      <c r="AC30" s="1095"/>
    </row>
    <row r="31" spans="2:29" s="1078" customFormat="1" ht="19.899999999999999" thickBot="1">
      <c r="B31" s="783">
        <v>10</v>
      </c>
      <c r="C31" s="837" t="s">
        <v>78</v>
      </c>
      <c r="D31" s="837" t="s">
        <v>79</v>
      </c>
      <c r="E31" s="838">
        <v>52</v>
      </c>
      <c r="F31" s="834">
        <v>1133</v>
      </c>
      <c r="G31" s="835">
        <v>1131</v>
      </c>
      <c r="H31" s="835">
        <v>0.2</v>
      </c>
      <c r="I31" s="835">
        <v>1085</v>
      </c>
      <c r="J31" s="835">
        <v>218</v>
      </c>
      <c r="K31" s="1096" t="s">
        <v>495</v>
      </c>
      <c r="L31" s="1034"/>
      <c r="M31" s="835"/>
      <c r="N31" s="835">
        <v>1131</v>
      </c>
      <c r="O31" s="1095"/>
      <c r="P31" s="1095"/>
      <c r="Q31" s="1095"/>
      <c r="R31" s="1095"/>
      <c r="S31" s="1095"/>
      <c r="T31" s="1095"/>
      <c r="U31" s="1095"/>
      <c r="V31" s="1095"/>
      <c r="W31" s="1095"/>
      <c r="X31" s="1095"/>
      <c r="Y31" s="1095"/>
      <c r="Z31" s="1095"/>
      <c r="AA31" s="1095"/>
      <c r="AB31" s="1095"/>
      <c r="AC31" s="1095"/>
    </row>
    <row r="32" spans="2:29" s="1078" customFormat="1" ht="19.899999999999999" thickBot="1">
      <c r="B32" s="783">
        <v>11</v>
      </c>
      <c r="C32" s="837" t="s">
        <v>80</v>
      </c>
      <c r="D32" s="837" t="s">
        <v>81</v>
      </c>
      <c r="E32" s="838">
        <v>32</v>
      </c>
      <c r="F32" s="834">
        <v>2139</v>
      </c>
      <c r="G32" s="835">
        <v>492</v>
      </c>
      <c r="H32" s="835">
        <v>77</v>
      </c>
      <c r="I32" s="835">
        <v>1975</v>
      </c>
      <c r="J32" s="835">
        <v>667</v>
      </c>
      <c r="K32" s="1096" t="s">
        <v>489</v>
      </c>
      <c r="L32" s="1034"/>
      <c r="M32" s="835"/>
      <c r="N32" s="835">
        <v>0</v>
      </c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5"/>
      <c r="Z32" s="1095"/>
      <c r="AA32" s="1095"/>
      <c r="AB32" s="1095"/>
      <c r="AC32" s="1095"/>
    </row>
    <row r="33" spans="2:29" s="1078" customFormat="1" ht="19.899999999999999" thickBot="1">
      <c r="B33" s="783">
        <v>12</v>
      </c>
      <c r="C33" s="784" t="s">
        <v>82</v>
      </c>
      <c r="D33" s="784" t="s">
        <v>65</v>
      </c>
      <c r="E33" s="785">
        <v>28</v>
      </c>
      <c r="F33" s="786">
        <v>1466</v>
      </c>
      <c r="G33" s="787">
        <v>1026</v>
      </c>
      <c r="H33" s="787">
        <v>30</v>
      </c>
      <c r="I33" s="787">
        <v>350</v>
      </c>
      <c r="J33" s="787">
        <v>360</v>
      </c>
      <c r="K33" s="791" t="s">
        <v>489</v>
      </c>
      <c r="L33" s="1034"/>
      <c r="M33" s="787"/>
      <c r="N33" s="787">
        <v>1026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</row>
    <row r="34" spans="2:29" s="647" customFormat="1" ht="19.899999999999999" thickBot="1">
      <c r="B34" s="798">
        <v>13</v>
      </c>
      <c r="C34" s="773" t="s">
        <v>379</v>
      </c>
      <c r="D34" s="773" t="s">
        <v>380</v>
      </c>
      <c r="E34" s="774">
        <v>20</v>
      </c>
      <c r="F34" s="775">
        <v>758</v>
      </c>
      <c r="G34" s="776">
        <v>286</v>
      </c>
      <c r="H34" s="776">
        <v>63</v>
      </c>
      <c r="I34" s="776">
        <v>2273</v>
      </c>
      <c r="J34" s="776">
        <v>762</v>
      </c>
      <c r="K34" s="782" t="s">
        <v>506</v>
      </c>
      <c r="L34" s="1034"/>
      <c r="M34" s="776"/>
      <c r="N34" s="776">
        <v>0</v>
      </c>
      <c r="O34" s="579"/>
      <c r="P34" s="579"/>
      <c r="Q34" s="579"/>
      <c r="R34" s="579"/>
      <c r="S34" s="579"/>
      <c r="T34" s="579"/>
      <c r="U34" s="646"/>
      <c r="V34" s="646"/>
      <c r="W34" s="646"/>
      <c r="X34" s="646"/>
      <c r="Y34" s="646"/>
      <c r="Z34" s="646"/>
      <c r="AA34" s="646"/>
      <c r="AB34" s="646"/>
      <c r="AC34" s="646"/>
    </row>
    <row r="35" spans="2:29" s="647" customFormat="1" ht="19.899999999999999" thickBot="1">
      <c r="B35" s="772">
        <v>14</v>
      </c>
      <c r="C35" s="773" t="s">
        <v>351</v>
      </c>
      <c r="D35" s="773" t="s">
        <v>352</v>
      </c>
      <c r="E35" s="774">
        <v>24</v>
      </c>
      <c r="F35" s="775">
        <v>750</v>
      </c>
      <c r="G35" s="776">
        <v>300</v>
      </c>
      <c r="H35" s="776">
        <v>60</v>
      </c>
      <c r="I35" s="776" t="s">
        <v>164</v>
      </c>
      <c r="J35" s="776">
        <v>1000</v>
      </c>
      <c r="K35" s="698" t="s">
        <v>235</v>
      </c>
      <c r="L35" s="1034"/>
      <c r="M35" s="776"/>
      <c r="N35" s="776">
        <v>0</v>
      </c>
      <c r="O35" s="579"/>
      <c r="P35" s="579"/>
      <c r="Q35" s="579"/>
      <c r="R35" s="579"/>
      <c r="S35" s="579"/>
      <c r="T35" s="579"/>
      <c r="U35" s="646"/>
      <c r="V35" s="646"/>
      <c r="W35" s="646"/>
      <c r="X35" s="646"/>
      <c r="Y35" s="646"/>
      <c r="Z35" s="646"/>
      <c r="AA35" s="646"/>
      <c r="AB35" s="646"/>
      <c r="AC35" s="646"/>
    </row>
    <row r="36" spans="2:29" s="647" customFormat="1" ht="19.899999999999999" thickBot="1">
      <c r="B36" s="831">
        <v>15</v>
      </c>
      <c r="C36" s="837" t="s">
        <v>83</v>
      </c>
      <c r="D36" s="837" t="s">
        <v>84</v>
      </c>
      <c r="E36" s="838">
        <v>44</v>
      </c>
      <c r="F36" s="834">
        <v>3707</v>
      </c>
      <c r="G36" s="835">
        <v>1112</v>
      </c>
      <c r="H36" s="835">
        <v>70</v>
      </c>
      <c r="I36" s="835">
        <v>1735</v>
      </c>
      <c r="J36" s="835">
        <v>1068</v>
      </c>
      <c r="K36" s="1097" t="s">
        <v>489</v>
      </c>
      <c r="L36" s="1034"/>
      <c r="M36" s="835"/>
      <c r="N36" s="835">
        <v>0</v>
      </c>
      <c r="O36" s="646"/>
      <c r="P36" s="646">
        <v>1112</v>
      </c>
      <c r="Q36" s="646"/>
      <c r="R36" s="646"/>
      <c r="S36" s="646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</row>
    <row r="37" spans="2:29" s="1078" customFormat="1" ht="19.899999999999999" thickBot="1">
      <c r="B37" s="783">
        <v>16</v>
      </c>
      <c r="C37" s="837" t="s">
        <v>85</v>
      </c>
      <c r="D37" s="837" t="s">
        <v>72</v>
      </c>
      <c r="E37" s="838">
        <v>32</v>
      </c>
      <c r="F37" s="834">
        <v>1702</v>
      </c>
      <c r="G37" s="835">
        <v>1072</v>
      </c>
      <c r="H37" s="835">
        <v>37</v>
      </c>
      <c r="I37" s="835">
        <v>1724</v>
      </c>
      <c r="J37" s="835">
        <v>600</v>
      </c>
      <c r="K37" s="819" t="s">
        <v>489</v>
      </c>
      <c r="L37" s="1034"/>
      <c r="M37" s="835"/>
      <c r="N37" s="835">
        <v>1072</v>
      </c>
      <c r="O37" s="1095"/>
      <c r="P37" s="1095">
        <v>413</v>
      </c>
      <c r="Q37" s="1095"/>
      <c r="R37" s="1095"/>
      <c r="S37" s="1095"/>
      <c r="T37" s="1095"/>
      <c r="U37" s="1095"/>
      <c r="V37" s="1095"/>
      <c r="W37" s="1095"/>
      <c r="X37" s="1095"/>
      <c r="Y37" s="1095"/>
      <c r="Z37" s="1095"/>
      <c r="AA37" s="1095"/>
      <c r="AB37" s="1095"/>
      <c r="AC37" s="1095"/>
    </row>
    <row r="38" spans="2:29" s="1078" customFormat="1" ht="34.15" thickBot="1">
      <c r="B38" s="783">
        <v>17</v>
      </c>
      <c r="C38" s="837" t="s">
        <v>86</v>
      </c>
      <c r="D38" s="837" t="s">
        <v>87</v>
      </c>
      <c r="E38" s="838">
        <v>28</v>
      </c>
      <c r="F38" s="834">
        <v>755</v>
      </c>
      <c r="G38" s="835">
        <v>332</v>
      </c>
      <c r="H38" s="835">
        <v>56</v>
      </c>
      <c r="I38" s="835">
        <v>6177</v>
      </c>
      <c r="J38" s="835">
        <v>1850</v>
      </c>
      <c r="K38" s="1097" t="s">
        <v>497</v>
      </c>
      <c r="L38" s="1034"/>
      <c r="M38" s="835"/>
      <c r="N38" s="835">
        <v>332</v>
      </c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</row>
    <row r="39" spans="2:29" s="1078" customFormat="1" ht="19.899999999999999" thickBot="1">
      <c r="B39" s="783">
        <v>18</v>
      </c>
      <c r="C39" s="837" t="s">
        <v>88</v>
      </c>
      <c r="D39" s="837" t="s">
        <v>89</v>
      </c>
      <c r="E39" s="838">
        <v>28</v>
      </c>
      <c r="F39" s="834">
        <v>1108</v>
      </c>
      <c r="G39" s="835">
        <v>532</v>
      </c>
      <c r="H39" s="835">
        <v>52</v>
      </c>
      <c r="I39" s="835">
        <v>3495</v>
      </c>
      <c r="J39" s="835">
        <v>363</v>
      </c>
      <c r="K39" s="1096" t="s">
        <v>489</v>
      </c>
      <c r="L39" s="1034"/>
      <c r="M39" s="835"/>
      <c r="N39" s="835">
        <v>532</v>
      </c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  <c r="AA39" s="1095"/>
      <c r="AB39" s="1095"/>
      <c r="AC39" s="1095"/>
    </row>
    <row r="40" spans="2:29" s="647" customFormat="1" ht="19.899999999999999" thickBot="1">
      <c r="B40" s="991">
        <v>19</v>
      </c>
      <c r="C40" s="784" t="s">
        <v>90</v>
      </c>
      <c r="D40" s="784" t="s">
        <v>84</v>
      </c>
      <c r="E40" s="785">
        <v>48</v>
      </c>
      <c r="F40" s="786">
        <v>776</v>
      </c>
      <c r="G40" s="787">
        <v>714</v>
      </c>
      <c r="H40" s="787">
        <v>8</v>
      </c>
      <c r="I40" s="787">
        <v>4911</v>
      </c>
      <c r="J40" s="787">
        <v>550</v>
      </c>
      <c r="K40" s="791" t="s">
        <v>489</v>
      </c>
      <c r="L40" s="1034"/>
      <c r="M40" s="787"/>
      <c r="N40" s="787">
        <v>714</v>
      </c>
      <c r="O40" s="646"/>
      <c r="P40" s="646"/>
      <c r="Q40" s="646"/>
      <c r="R40" s="646"/>
      <c r="S40" s="646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</row>
    <row r="41" spans="2:29" s="647" customFormat="1" ht="19.899999999999999" thickBot="1">
      <c r="B41" s="783">
        <v>20</v>
      </c>
      <c r="C41" s="784" t="s">
        <v>91</v>
      </c>
      <c r="D41" s="784" t="s">
        <v>89</v>
      </c>
      <c r="E41" s="785">
        <v>36</v>
      </c>
      <c r="F41" s="786">
        <v>497</v>
      </c>
      <c r="G41" s="787">
        <v>496</v>
      </c>
      <c r="H41" s="787">
        <v>0</v>
      </c>
      <c r="I41" s="787">
        <v>1297</v>
      </c>
      <c r="J41" s="787">
        <v>200</v>
      </c>
      <c r="K41" s="788" t="s">
        <v>489</v>
      </c>
      <c r="L41" s="1034"/>
      <c r="M41" s="787"/>
      <c r="N41" s="787">
        <v>496</v>
      </c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  <c r="AA41" s="646"/>
      <c r="AB41" s="646"/>
      <c r="AC41" s="646"/>
    </row>
    <row r="42" spans="2:29" s="647" customFormat="1" ht="19.899999999999999" thickBot="1">
      <c r="B42" s="783">
        <v>21</v>
      </c>
      <c r="C42" s="784" t="s">
        <v>92</v>
      </c>
      <c r="D42" s="784" t="s">
        <v>93</v>
      </c>
      <c r="E42" s="785">
        <v>24</v>
      </c>
      <c r="F42" s="786">
        <v>651</v>
      </c>
      <c r="G42" s="787">
        <v>378</v>
      </c>
      <c r="H42" s="787">
        <v>38</v>
      </c>
      <c r="I42" s="787">
        <v>373</v>
      </c>
      <c r="J42" s="787">
        <v>180</v>
      </c>
      <c r="K42" s="788" t="s">
        <v>489</v>
      </c>
      <c r="L42" s="1034"/>
      <c r="M42" s="787"/>
      <c r="N42" s="787">
        <v>378</v>
      </c>
      <c r="O42" s="646"/>
      <c r="P42" s="646"/>
      <c r="Q42" s="646"/>
      <c r="R42" s="646"/>
      <c r="S42" s="646"/>
      <c r="T42" s="646"/>
      <c r="U42" s="646"/>
      <c r="V42" s="646"/>
      <c r="W42" s="646"/>
      <c r="X42" s="646"/>
      <c r="Y42" s="646"/>
      <c r="Z42" s="646"/>
      <c r="AA42" s="646"/>
      <c r="AB42" s="646"/>
      <c r="AC42" s="646"/>
    </row>
    <row r="43" spans="2:29" s="647" customFormat="1" ht="19.899999999999999" thickBot="1">
      <c r="B43" s="783">
        <v>22</v>
      </c>
      <c r="C43" s="784" t="s">
        <v>94</v>
      </c>
      <c r="D43" s="784" t="s">
        <v>67</v>
      </c>
      <c r="E43" s="785">
        <v>32</v>
      </c>
      <c r="F43" s="786">
        <v>1445</v>
      </c>
      <c r="G43" s="787">
        <v>708</v>
      </c>
      <c r="H43" s="787">
        <v>51</v>
      </c>
      <c r="I43" s="787">
        <v>678</v>
      </c>
      <c r="J43" s="787">
        <v>444</v>
      </c>
      <c r="K43" s="788" t="s">
        <v>489</v>
      </c>
      <c r="L43" s="1034"/>
      <c r="M43" s="787"/>
      <c r="N43" s="787">
        <v>708</v>
      </c>
      <c r="O43" s="646"/>
      <c r="P43" s="646"/>
      <c r="Q43" s="646"/>
      <c r="R43" s="646"/>
      <c r="S43" s="646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</row>
    <row r="44" spans="2:29" s="647" customFormat="1" ht="19.899999999999999" thickBot="1">
      <c r="B44" s="783">
        <v>23</v>
      </c>
      <c r="C44" s="784" t="s">
        <v>95</v>
      </c>
      <c r="D44" s="784" t="s">
        <v>65</v>
      </c>
      <c r="E44" s="792">
        <v>20</v>
      </c>
      <c r="F44" s="786">
        <v>1053</v>
      </c>
      <c r="G44" s="787">
        <v>379</v>
      </c>
      <c r="H44" s="787">
        <v>64</v>
      </c>
      <c r="I44" s="787">
        <v>437</v>
      </c>
      <c r="J44" s="787">
        <v>305</v>
      </c>
      <c r="K44" s="788" t="s">
        <v>489</v>
      </c>
      <c r="L44" s="1034"/>
      <c r="M44" s="787"/>
      <c r="N44" s="787">
        <v>379</v>
      </c>
      <c r="O44" s="646"/>
      <c r="P44" s="646"/>
      <c r="Q44" s="646"/>
      <c r="R44" s="646"/>
      <c r="S44" s="646"/>
      <c r="T44" s="646"/>
      <c r="U44" s="646"/>
      <c r="V44" s="646"/>
      <c r="W44" s="646"/>
      <c r="X44" s="646"/>
      <c r="Y44" s="646"/>
      <c r="Z44" s="646"/>
      <c r="AA44" s="646"/>
      <c r="AB44" s="646"/>
      <c r="AC44" s="646"/>
    </row>
    <row r="45" spans="2:29" s="647" customFormat="1" ht="19.899999999999999" thickBot="1">
      <c r="B45" s="756">
        <v>24</v>
      </c>
      <c r="C45" s="757" t="s">
        <v>96</v>
      </c>
      <c r="D45" s="757" t="s">
        <v>67</v>
      </c>
      <c r="E45" s="758">
        <v>36</v>
      </c>
      <c r="F45" s="759">
        <v>2231</v>
      </c>
      <c r="G45" s="760">
        <v>781</v>
      </c>
      <c r="H45" s="760">
        <v>65</v>
      </c>
      <c r="I45" s="760">
        <v>644</v>
      </c>
      <c r="J45" s="760">
        <v>435</v>
      </c>
      <c r="K45" s="788" t="s">
        <v>489</v>
      </c>
      <c r="L45" s="1034"/>
      <c r="M45" s="760"/>
      <c r="N45" s="760">
        <v>781</v>
      </c>
      <c r="O45" s="646"/>
      <c r="P45" s="646"/>
      <c r="Q45" s="646"/>
      <c r="R45" s="646"/>
      <c r="S45" s="646"/>
      <c r="T45" s="646"/>
      <c r="U45" s="646"/>
      <c r="V45" s="646"/>
      <c r="W45" s="646"/>
      <c r="X45" s="646"/>
      <c r="Y45" s="646"/>
      <c r="Z45" s="646"/>
      <c r="AA45" s="646"/>
      <c r="AB45" s="646"/>
      <c r="AC45" s="646"/>
    </row>
    <row r="46" spans="2:29" ht="18.75" customHeight="1" thickBot="1">
      <c r="B46" s="839"/>
      <c r="C46" s="1160"/>
      <c r="D46" s="1161"/>
      <c r="E46" s="1161"/>
      <c r="F46" s="224">
        <f>SUM(F23:F45)</f>
        <v>31723</v>
      </c>
      <c r="G46" s="224">
        <f>SUM(G22:G45)</f>
        <v>15213</v>
      </c>
      <c r="H46" s="840"/>
      <c r="I46" s="841"/>
      <c r="J46" s="840"/>
      <c r="K46" s="839"/>
      <c r="L46" s="621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</row>
    <row r="47" spans="2:29" ht="18" customHeight="1">
      <c r="B47" s="839"/>
      <c r="C47" s="1343"/>
      <c r="D47" s="1343"/>
      <c r="E47" s="1343"/>
      <c r="F47" s="842"/>
      <c r="G47" s="208">
        <f>ROUNDUP(G46,-1)</f>
        <v>15220</v>
      </c>
      <c r="H47" s="842"/>
      <c r="I47" s="1162"/>
      <c r="J47" s="839"/>
      <c r="K47" s="839"/>
      <c r="L47" s="621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</row>
    <row r="48" spans="2:29" ht="18.75" customHeight="1">
      <c r="B48" s="839"/>
      <c r="C48" s="839"/>
      <c r="D48" s="842"/>
      <c r="E48" s="842"/>
      <c r="F48" s="842"/>
      <c r="G48"/>
      <c r="H48" s="842"/>
      <c r="I48" s="842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</row>
    <row r="49" spans="2:29" ht="15" customHeight="1">
      <c r="B49" s="178"/>
      <c r="C49" s="178"/>
      <c r="D49" s="178"/>
      <c r="E49" s="178"/>
      <c r="F49" s="178"/>
      <c r="G49" s="178"/>
      <c r="H49" s="178"/>
      <c r="I49" s="178"/>
      <c r="J49" s="178"/>
      <c r="K49" s="115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</row>
    <row r="50" spans="2:29" ht="19.899999999999999" thickBot="1">
      <c r="B50" s="178"/>
      <c r="C50" s="178"/>
      <c r="D50" s="178"/>
      <c r="E50" s="178"/>
      <c r="F50" s="178"/>
      <c r="G50" s="178"/>
      <c r="H50" s="178"/>
      <c r="I50" s="178"/>
      <c r="J50" s="178"/>
      <c r="K50" s="1159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</row>
    <row r="51" spans="2:29" ht="25.9" customHeight="1" thickBot="1">
      <c r="B51" s="1375" t="s">
        <v>521</v>
      </c>
      <c r="C51" s="1375"/>
      <c r="D51" s="1375"/>
      <c r="E51" s="1375"/>
      <c r="F51" s="1375"/>
      <c r="G51" s="1375"/>
      <c r="H51" s="1375"/>
      <c r="I51" s="1375"/>
      <c r="J51" s="1375"/>
      <c r="K51" s="1375"/>
      <c r="L51" s="866"/>
      <c r="M51" s="621"/>
      <c r="N51" s="621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</row>
    <row r="52" spans="2:29" ht="40.15" thickBot="1">
      <c r="B52" s="1154" t="s">
        <v>156</v>
      </c>
      <c r="C52" s="1154" t="s">
        <v>31</v>
      </c>
      <c r="D52" s="1155" t="s">
        <v>32</v>
      </c>
      <c r="E52" s="1155" t="s">
        <v>33</v>
      </c>
      <c r="F52" s="1155" t="s">
        <v>34</v>
      </c>
      <c r="G52" s="1155" t="s">
        <v>35</v>
      </c>
      <c r="H52" s="1155" t="s">
        <v>37</v>
      </c>
      <c r="I52" s="1156" t="s">
        <v>38</v>
      </c>
      <c r="J52" s="1156" t="s">
        <v>39</v>
      </c>
      <c r="K52" s="1157" t="s">
        <v>40</v>
      </c>
      <c r="L52" s="579"/>
      <c r="O52" s="621"/>
      <c r="P52" s="621"/>
      <c r="Q52" s="621"/>
      <c r="R52" s="621"/>
      <c r="S52" s="621"/>
      <c r="T52" s="621"/>
      <c r="U52" s="579"/>
      <c r="V52" s="579"/>
      <c r="W52" s="579"/>
      <c r="X52" s="579"/>
      <c r="Y52" s="579"/>
      <c r="Z52" s="579"/>
      <c r="AA52" s="579"/>
      <c r="AB52" s="579"/>
      <c r="AC52" s="579"/>
    </row>
    <row r="53" spans="2:29" ht="19.899999999999999" thickBot="1">
      <c r="B53" s="263">
        <v>1</v>
      </c>
      <c r="C53" s="253" t="s">
        <v>98</v>
      </c>
      <c r="D53" s="254" t="s">
        <v>99</v>
      </c>
      <c r="E53" s="255">
        <v>36</v>
      </c>
      <c r="F53" s="197">
        <v>1717</v>
      </c>
      <c r="G53" s="197">
        <v>996</v>
      </c>
      <c r="H53" s="197">
        <v>42</v>
      </c>
      <c r="I53" s="255">
        <v>533</v>
      </c>
      <c r="J53" s="255">
        <v>300</v>
      </c>
      <c r="K53" s="1130"/>
      <c r="L53" s="1134"/>
      <c r="M53" s="1139"/>
      <c r="N53" s="602"/>
      <c r="O53" s="621"/>
      <c r="P53" s="621"/>
      <c r="Q53" s="621"/>
      <c r="R53" s="621"/>
      <c r="S53" s="621"/>
      <c r="T53" s="621"/>
      <c r="U53" s="621"/>
      <c r="V53" s="621"/>
      <c r="W53" s="621"/>
      <c r="X53" s="621"/>
      <c r="Y53" s="621"/>
      <c r="Z53" s="621"/>
      <c r="AA53" s="621"/>
      <c r="AB53" s="621"/>
      <c r="AC53" s="621"/>
    </row>
    <row r="54" spans="2:29" ht="18.75" customHeight="1">
      <c r="B54" s="263">
        <v>2</v>
      </c>
      <c r="C54" s="253" t="s">
        <v>100</v>
      </c>
      <c r="D54" s="254" t="s">
        <v>101</v>
      </c>
      <c r="E54" s="255">
        <v>36</v>
      </c>
      <c r="F54" s="197">
        <v>814</v>
      </c>
      <c r="G54" s="197">
        <v>812</v>
      </c>
      <c r="H54" s="197">
        <v>0</v>
      </c>
      <c r="I54" s="255">
        <v>379</v>
      </c>
      <c r="J54" s="255">
        <v>181</v>
      </c>
      <c r="K54" s="1130"/>
      <c r="L54" s="1134"/>
      <c r="M54" s="1138"/>
      <c r="N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  <c r="AA54" s="621"/>
      <c r="AB54" s="621"/>
      <c r="AC54" s="621"/>
    </row>
    <row r="55" spans="2:29" ht="15" customHeight="1">
      <c r="B55" s="210">
        <v>3</v>
      </c>
      <c r="C55" s="216" t="s">
        <v>104</v>
      </c>
      <c r="D55" s="192" t="s">
        <v>99</v>
      </c>
      <c r="E55" s="193">
        <v>24</v>
      </c>
      <c r="F55" s="194">
        <v>857</v>
      </c>
      <c r="G55" s="194">
        <v>317</v>
      </c>
      <c r="H55" s="194">
        <v>63</v>
      </c>
      <c r="I55" s="193">
        <v>362</v>
      </c>
      <c r="J55" s="193">
        <v>252</v>
      </c>
      <c r="K55" s="846"/>
      <c r="L55" s="1134"/>
      <c r="M55" s="1138"/>
      <c r="N55" s="621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  <c r="AA55" s="621"/>
      <c r="AB55" s="621"/>
      <c r="AC55" s="621"/>
    </row>
    <row r="56" spans="2:29">
      <c r="B56" s="210">
        <v>4</v>
      </c>
      <c r="C56" s="216" t="s">
        <v>106</v>
      </c>
      <c r="D56" s="192" t="s">
        <v>103</v>
      </c>
      <c r="E56" s="193">
        <v>28</v>
      </c>
      <c r="F56" s="194">
        <v>764</v>
      </c>
      <c r="G56" s="194">
        <v>565</v>
      </c>
      <c r="H56" s="194">
        <v>26</v>
      </c>
      <c r="I56" s="193">
        <v>991</v>
      </c>
      <c r="J56" s="193">
        <v>348</v>
      </c>
      <c r="K56" s="782"/>
      <c r="L56" s="1134"/>
      <c r="M56" s="1138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  <c r="AA56" s="621"/>
      <c r="AB56" s="621"/>
      <c r="AC56" s="621"/>
    </row>
    <row r="57" spans="2:29">
      <c r="B57" s="222">
        <v>5</v>
      </c>
      <c r="C57" s="218" t="s">
        <v>107</v>
      </c>
      <c r="D57" s="219" t="s">
        <v>103</v>
      </c>
      <c r="E57" s="220">
        <v>28</v>
      </c>
      <c r="F57" s="221">
        <v>880</v>
      </c>
      <c r="G57" s="221">
        <v>260</v>
      </c>
      <c r="H57" s="221">
        <v>70</v>
      </c>
      <c r="I57" s="220">
        <v>292</v>
      </c>
      <c r="J57" s="220">
        <v>140</v>
      </c>
      <c r="K57" s="847" t="s">
        <v>260</v>
      </c>
      <c r="L57" s="1134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  <c r="AA57" s="621"/>
      <c r="AB57" s="621"/>
      <c r="AC57" s="621"/>
    </row>
    <row r="58" spans="2:29" ht="15" customHeight="1">
      <c r="B58" s="210">
        <v>6</v>
      </c>
      <c r="C58" s="216" t="s">
        <v>109</v>
      </c>
      <c r="D58" s="192" t="s">
        <v>110</v>
      </c>
      <c r="E58" s="193">
        <v>28</v>
      </c>
      <c r="F58" s="194">
        <v>1209</v>
      </c>
      <c r="G58" s="194">
        <v>568</v>
      </c>
      <c r="H58" s="194">
        <v>53</v>
      </c>
      <c r="I58" s="193">
        <v>433</v>
      </c>
      <c r="J58" s="193">
        <v>220</v>
      </c>
      <c r="K58" s="846"/>
      <c r="L58" s="1134"/>
      <c r="M58" s="1138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  <c r="AA58" s="621"/>
      <c r="AB58" s="621"/>
      <c r="AC58" s="621"/>
    </row>
    <row r="59" spans="2:29">
      <c r="B59" s="210">
        <v>7</v>
      </c>
      <c r="C59" s="216" t="s">
        <v>111</v>
      </c>
      <c r="D59" s="192" t="s">
        <v>99</v>
      </c>
      <c r="E59" s="193">
        <v>36</v>
      </c>
      <c r="F59" s="194">
        <v>2807</v>
      </c>
      <c r="G59" s="194">
        <v>1263</v>
      </c>
      <c r="H59" s="194">
        <v>55</v>
      </c>
      <c r="I59" s="193">
        <v>415</v>
      </c>
      <c r="J59" s="193">
        <v>348</v>
      </c>
      <c r="K59" s="846"/>
      <c r="L59" s="1134"/>
      <c r="M59" s="1150"/>
      <c r="N59" s="1136"/>
      <c r="O59" s="1136"/>
      <c r="P59" s="871"/>
      <c r="Q59" s="871"/>
      <c r="R59" s="871"/>
      <c r="S59" s="871"/>
      <c r="T59" s="871"/>
      <c r="U59" s="621"/>
      <c r="V59" s="621"/>
      <c r="W59" s="621"/>
      <c r="X59" s="621"/>
      <c r="Y59" s="621"/>
      <c r="Z59" s="621"/>
      <c r="AA59" s="621"/>
      <c r="AB59" s="621"/>
      <c r="AC59" s="621"/>
    </row>
    <row r="60" spans="2:29">
      <c r="B60" s="263">
        <v>8</v>
      </c>
      <c r="C60" s="253" t="s">
        <v>112</v>
      </c>
      <c r="D60" s="254" t="s">
        <v>103</v>
      </c>
      <c r="E60" s="255">
        <v>56</v>
      </c>
      <c r="F60" s="197">
        <v>6056</v>
      </c>
      <c r="G60" s="197">
        <v>5251</v>
      </c>
      <c r="H60" s="197">
        <v>13</v>
      </c>
      <c r="I60" s="255">
        <v>421</v>
      </c>
      <c r="J60" s="255">
        <v>580</v>
      </c>
      <c r="K60" s="1140"/>
      <c r="L60" s="1134"/>
      <c r="M60" s="1136"/>
      <c r="N60" s="1136"/>
      <c r="O60" s="1136"/>
      <c r="P60" s="873"/>
      <c r="Q60" s="873"/>
      <c r="R60" s="873"/>
      <c r="S60" s="873"/>
      <c r="T60" s="873"/>
      <c r="U60" s="871"/>
      <c r="V60" s="871"/>
      <c r="W60" s="871"/>
      <c r="X60" s="871"/>
      <c r="Y60" s="871"/>
      <c r="Z60" s="871"/>
      <c r="AA60" s="871"/>
      <c r="AB60" s="621"/>
      <c r="AC60" s="621"/>
    </row>
    <row r="61" spans="2:29">
      <c r="B61" s="263">
        <v>9</v>
      </c>
      <c r="C61" s="216" t="s">
        <v>113</v>
      </c>
      <c r="D61" s="192" t="s">
        <v>103</v>
      </c>
      <c r="E61" s="193">
        <v>36</v>
      </c>
      <c r="F61" s="194">
        <v>1960</v>
      </c>
      <c r="G61" s="194">
        <v>1647</v>
      </c>
      <c r="H61" s="194">
        <v>16</v>
      </c>
      <c r="I61" s="193">
        <v>511</v>
      </c>
      <c r="J61" s="193">
        <v>363</v>
      </c>
      <c r="K61" s="846"/>
      <c r="L61" s="1134"/>
      <c r="M61" s="1136"/>
      <c r="N61" s="1136"/>
      <c r="O61" s="1136"/>
      <c r="P61" s="872"/>
      <c r="Q61" s="872"/>
      <c r="R61" s="872"/>
      <c r="S61" s="872"/>
      <c r="T61" s="872"/>
      <c r="U61" s="873"/>
      <c r="V61" s="873"/>
      <c r="W61" s="873"/>
      <c r="X61" s="873"/>
      <c r="Y61" s="873"/>
      <c r="Z61" s="873"/>
      <c r="AA61" s="873"/>
      <c r="AB61" s="870"/>
      <c r="AC61" s="621"/>
    </row>
    <row r="62" spans="2:29">
      <c r="B62" s="210">
        <v>10</v>
      </c>
      <c r="C62" s="216" t="s">
        <v>114</v>
      </c>
      <c r="D62" s="192" t="s">
        <v>99</v>
      </c>
      <c r="E62" s="193">
        <v>20</v>
      </c>
      <c r="F62" s="194">
        <v>848</v>
      </c>
      <c r="G62" s="194">
        <v>756</v>
      </c>
      <c r="H62" s="194">
        <v>11</v>
      </c>
      <c r="I62" s="193">
        <v>359</v>
      </c>
      <c r="J62" s="193">
        <v>560</v>
      </c>
      <c r="K62" s="846"/>
      <c r="L62" s="1134"/>
      <c r="M62" s="1150"/>
      <c r="N62" s="621"/>
      <c r="O62" s="621"/>
      <c r="P62" s="621"/>
      <c r="Q62" s="621"/>
      <c r="R62" s="621"/>
      <c r="S62" s="621"/>
      <c r="T62" s="621"/>
      <c r="U62" s="872"/>
      <c r="V62" s="872"/>
      <c r="W62" s="872"/>
      <c r="X62" s="872"/>
      <c r="Y62" s="872"/>
      <c r="Z62" s="872"/>
      <c r="AA62" s="872"/>
      <c r="AB62" s="621"/>
      <c r="AC62" s="621"/>
    </row>
    <row r="63" spans="2:29">
      <c r="B63" s="210">
        <v>11</v>
      </c>
      <c r="C63" s="216" t="s">
        <v>115</v>
      </c>
      <c r="D63" s="192" t="s">
        <v>105</v>
      </c>
      <c r="E63" s="193">
        <v>40</v>
      </c>
      <c r="F63" s="194">
        <v>2319</v>
      </c>
      <c r="G63" s="194">
        <v>1320</v>
      </c>
      <c r="H63" s="194">
        <v>43</v>
      </c>
      <c r="I63" s="193">
        <v>515</v>
      </c>
      <c r="J63" s="193">
        <v>300</v>
      </c>
      <c r="K63" s="846"/>
      <c r="L63" s="1134"/>
      <c r="M63" s="1150"/>
      <c r="N63" s="621"/>
      <c r="O63" s="621"/>
      <c r="P63" s="1152"/>
      <c r="Q63" s="621"/>
      <c r="R63" s="621"/>
      <c r="S63" s="621"/>
      <c r="T63" s="621"/>
      <c r="U63" s="621"/>
      <c r="V63" s="621"/>
      <c r="W63" s="621"/>
      <c r="X63" s="621"/>
      <c r="Y63" s="621"/>
      <c r="Z63" s="621"/>
      <c r="AA63" s="621"/>
      <c r="AB63" s="621"/>
      <c r="AC63" s="621"/>
    </row>
    <row r="64" spans="2:29">
      <c r="B64" s="210">
        <v>12</v>
      </c>
      <c r="C64" s="253" t="s">
        <v>116</v>
      </c>
      <c r="D64" s="254" t="s">
        <v>117</v>
      </c>
      <c r="E64" s="255">
        <v>24</v>
      </c>
      <c r="F64" s="197">
        <v>1146</v>
      </c>
      <c r="G64" s="197">
        <v>550</v>
      </c>
      <c r="H64" s="197">
        <v>52</v>
      </c>
      <c r="I64" s="255">
        <v>633</v>
      </c>
      <c r="J64" s="255">
        <v>261</v>
      </c>
      <c r="K64" s="990"/>
      <c r="L64" s="1134"/>
      <c r="M64" s="1150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  <c r="AA64" s="621"/>
      <c r="AB64" s="621"/>
      <c r="AC64" s="621"/>
    </row>
    <row r="65" spans="2:29">
      <c r="B65" s="263">
        <v>13</v>
      </c>
      <c r="C65" s="253" t="s">
        <v>119</v>
      </c>
      <c r="D65" s="254" t="s">
        <v>103</v>
      </c>
      <c r="E65" s="255">
        <v>28</v>
      </c>
      <c r="F65" s="197">
        <v>745</v>
      </c>
      <c r="G65" s="197">
        <v>454</v>
      </c>
      <c r="H65" s="197">
        <v>39</v>
      </c>
      <c r="I65" s="255">
        <v>355</v>
      </c>
      <c r="J65" s="255">
        <v>203</v>
      </c>
      <c r="K65" s="779"/>
      <c r="L65" s="1135"/>
      <c r="M65" s="1150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  <c r="AA65" s="621"/>
      <c r="AB65" s="621"/>
      <c r="AC65" s="621"/>
    </row>
    <row r="66" spans="2:29">
      <c r="B66" s="263">
        <v>14</v>
      </c>
      <c r="C66" s="216" t="s">
        <v>120</v>
      </c>
      <c r="D66" s="192" t="s">
        <v>101</v>
      </c>
      <c r="E66" s="193">
        <v>20</v>
      </c>
      <c r="F66" s="194">
        <v>400</v>
      </c>
      <c r="G66" s="194">
        <v>188</v>
      </c>
      <c r="H66" s="194">
        <v>53</v>
      </c>
      <c r="I66" s="193">
        <v>527</v>
      </c>
      <c r="J66" s="193">
        <v>104</v>
      </c>
      <c r="K66" s="846"/>
      <c r="L66" s="1134"/>
      <c r="M66" s="1150"/>
      <c r="N66" s="621"/>
      <c r="O66" s="621"/>
      <c r="P66" s="1153"/>
      <c r="Q66" s="621"/>
      <c r="R66" s="621"/>
      <c r="S66" s="621"/>
      <c r="T66" s="621"/>
      <c r="U66" s="621"/>
      <c r="V66" s="621"/>
      <c r="W66" s="621"/>
      <c r="X66" s="621"/>
      <c r="Y66" s="621"/>
      <c r="Z66" s="621"/>
      <c r="AA66" s="621"/>
      <c r="AB66" s="621"/>
      <c r="AC66" s="621"/>
    </row>
    <row r="67" spans="2:29">
      <c r="B67" s="222">
        <v>15</v>
      </c>
      <c r="C67" s="218" t="s">
        <v>121</v>
      </c>
      <c r="D67" s="219" t="s">
        <v>105</v>
      </c>
      <c r="E67" s="220">
        <v>24</v>
      </c>
      <c r="F67" s="221">
        <v>233</v>
      </c>
      <c r="G67" s="221">
        <v>192</v>
      </c>
      <c r="H67" s="221">
        <v>18</v>
      </c>
      <c r="I67" s="220">
        <v>292</v>
      </c>
      <c r="J67" s="220">
        <v>130</v>
      </c>
      <c r="K67" s="848" t="s">
        <v>260</v>
      </c>
      <c r="L67" s="1134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</row>
    <row r="68" spans="2:29">
      <c r="B68" s="263">
        <v>16</v>
      </c>
      <c r="C68" s="253" t="s">
        <v>122</v>
      </c>
      <c r="D68" s="254" t="s">
        <v>110</v>
      </c>
      <c r="E68" s="255">
        <v>24</v>
      </c>
      <c r="F68" s="197">
        <v>1144</v>
      </c>
      <c r="G68" s="197">
        <v>1036</v>
      </c>
      <c r="H68" s="197">
        <v>9</v>
      </c>
      <c r="I68" s="255">
        <v>583</v>
      </c>
      <c r="J68" s="255">
        <v>530</v>
      </c>
      <c r="K68" s="779"/>
      <c r="L68" s="1134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  <c r="AA68" s="621"/>
      <c r="AB68" s="621"/>
      <c r="AC68" s="621"/>
    </row>
    <row r="69" spans="2:29">
      <c r="B69" s="210">
        <v>17</v>
      </c>
      <c r="C69" s="253" t="s">
        <v>123</v>
      </c>
      <c r="D69" s="254" t="s">
        <v>124</v>
      </c>
      <c r="E69" s="255">
        <v>24</v>
      </c>
      <c r="F69" s="197">
        <v>948</v>
      </c>
      <c r="G69" s="197">
        <v>313</v>
      </c>
      <c r="H69" s="197">
        <v>67</v>
      </c>
      <c r="I69" s="255">
        <v>975</v>
      </c>
      <c r="J69" s="255">
        <v>304</v>
      </c>
      <c r="K69" s="779"/>
      <c r="L69" s="1134"/>
      <c r="M69" s="1138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</row>
    <row r="70" spans="2:29">
      <c r="B70" s="222">
        <v>18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8" t="s">
        <v>235</v>
      </c>
      <c r="L70" s="1134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</row>
    <row r="71" spans="2:29">
      <c r="B71" s="222">
        <v>19</v>
      </c>
      <c r="C71" s="218" t="s">
        <v>128</v>
      </c>
      <c r="D71" s="219" t="s">
        <v>105</v>
      </c>
      <c r="E71" s="220">
        <v>24</v>
      </c>
      <c r="F71" s="221">
        <v>743</v>
      </c>
      <c r="G71" s="221">
        <v>358</v>
      </c>
      <c r="H71" s="221">
        <v>52</v>
      </c>
      <c r="I71" s="220">
        <v>303</v>
      </c>
      <c r="J71" s="220">
        <v>190</v>
      </c>
      <c r="K71" s="847" t="s">
        <v>260</v>
      </c>
      <c r="L71" s="1134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</row>
    <row r="72" spans="2:29" ht="26.45">
      <c r="B72" s="210">
        <v>20</v>
      </c>
      <c r="C72" s="253" t="s">
        <v>132</v>
      </c>
      <c r="D72" s="254" t="s">
        <v>133</v>
      </c>
      <c r="E72" s="255">
        <v>24</v>
      </c>
      <c r="F72" s="197">
        <v>530</v>
      </c>
      <c r="G72" s="197">
        <v>297</v>
      </c>
      <c r="H72" s="197">
        <v>44</v>
      </c>
      <c r="I72" s="255">
        <v>299</v>
      </c>
      <c r="J72" s="255">
        <v>145</v>
      </c>
      <c r="K72" s="779"/>
      <c r="L72" s="1134"/>
      <c r="M72" s="1138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</row>
    <row r="73" spans="2:29">
      <c r="B73" s="210">
        <v>21</v>
      </c>
      <c r="C73" s="216" t="s">
        <v>134</v>
      </c>
      <c r="D73" s="192" t="s">
        <v>135</v>
      </c>
      <c r="E73" s="193">
        <v>20</v>
      </c>
      <c r="F73" s="194">
        <v>410</v>
      </c>
      <c r="G73" s="194">
        <v>197</v>
      </c>
      <c r="H73" s="194">
        <v>52</v>
      </c>
      <c r="I73" s="193">
        <v>1272</v>
      </c>
      <c r="J73" s="193">
        <v>493</v>
      </c>
      <c r="K73" s="846"/>
      <c r="L73" s="1134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</row>
    <row r="74" spans="2:29" ht="21" customHeight="1">
      <c r="B74" s="210">
        <v>22</v>
      </c>
      <c r="C74" s="216" t="s">
        <v>136</v>
      </c>
      <c r="D74" s="192" t="s">
        <v>105</v>
      </c>
      <c r="E74" s="193">
        <v>40</v>
      </c>
      <c r="F74" s="194">
        <v>2484</v>
      </c>
      <c r="G74" s="194">
        <v>1195</v>
      </c>
      <c r="H74" s="194">
        <v>52</v>
      </c>
      <c r="I74" s="193">
        <v>329</v>
      </c>
      <c r="J74" s="193">
        <v>340</v>
      </c>
      <c r="K74" s="848"/>
      <c r="L74" s="1134"/>
      <c r="M74" s="1138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</row>
    <row r="75" spans="2:29" ht="18.75" customHeight="1">
      <c r="B75" s="263">
        <v>23</v>
      </c>
      <c r="C75" s="253" t="s">
        <v>137</v>
      </c>
      <c r="D75" s="254" t="s">
        <v>110</v>
      </c>
      <c r="E75" s="255">
        <v>40</v>
      </c>
      <c r="F75" s="197">
        <v>2664</v>
      </c>
      <c r="G75" s="197">
        <v>1039</v>
      </c>
      <c r="H75" s="197">
        <v>61</v>
      </c>
      <c r="I75" s="197">
        <v>347</v>
      </c>
      <c r="J75" s="197">
        <v>260</v>
      </c>
      <c r="K75" s="779"/>
      <c r="L75" s="1134"/>
      <c r="M75" s="1150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</row>
    <row r="76" spans="2:29" ht="20.45" customHeight="1">
      <c r="B76" s="222">
        <v>24</v>
      </c>
      <c r="C76" s="218" t="s">
        <v>118</v>
      </c>
      <c r="D76" s="219" t="s">
        <v>99</v>
      </c>
      <c r="E76" s="220">
        <v>24</v>
      </c>
      <c r="F76" s="849">
        <v>797</v>
      </c>
      <c r="G76" s="849">
        <v>390</v>
      </c>
      <c r="H76" s="221">
        <v>51</v>
      </c>
      <c r="I76" s="220">
        <v>450</v>
      </c>
      <c r="J76" s="220">
        <v>315</v>
      </c>
      <c r="K76" s="847" t="s">
        <v>260</v>
      </c>
      <c r="L76" s="1135"/>
      <c r="M76" s="579"/>
      <c r="N76" s="579"/>
      <c r="O76" s="579"/>
      <c r="P76" s="579"/>
      <c r="Q76" s="579"/>
      <c r="R76" s="579"/>
      <c r="S76" s="579"/>
      <c r="T76" s="579"/>
      <c r="U76" s="621"/>
      <c r="V76" s="621"/>
      <c r="W76" s="621"/>
      <c r="X76" s="621"/>
      <c r="Y76" s="621"/>
      <c r="Z76" s="621"/>
      <c r="AA76" s="621"/>
      <c r="AB76" s="621"/>
      <c r="AC76" s="621"/>
    </row>
    <row r="77" spans="2:29" ht="21" customHeight="1">
      <c r="B77" s="222">
        <v>25</v>
      </c>
      <c r="C77" s="218" t="s">
        <v>129</v>
      </c>
      <c r="D77" s="219" t="s">
        <v>99</v>
      </c>
      <c r="E77" s="220">
        <v>20</v>
      </c>
      <c r="F77" s="221">
        <v>700</v>
      </c>
      <c r="G77" s="221">
        <v>427</v>
      </c>
      <c r="H77" s="221">
        <v>39</v>
      </c>
      <c r="I77" s="220">
        <v>345</v>
      </c>
      <c r="J77" s="220">
        <v>100</v>
      </c>
      <c r="K77" s="848" t="s">
        <v>68</v>
      </c>
      <c r="L77" s="1135"/>
      <c r="M77" s="579"/>
      <c r="N77" s="579"/>
      <c r="O77" s="579"/>
      <c r="P77" s="579"/>
      <c r="Q77" s="579"/>
      <c r="R77" s="579"/>
      <c r="S77" s="579"/>
      <c r="T77" s="579"/>
      <c r="U77" s="621"/>
      <c r="V77" s="621"/>
      <c r="W77" s="621"/>
      <c r="X77" s="621"/>
      <c r="Y77" s="621"/>
      <c r="Z77" s="621"/>
      <c r="AA77" s="621"/>
      <c r="AB77" s="621"/>
      <c r="AC77" s="621"/>
    </row>
    <row r="78" spans="2:29" ht="21" customHeight="1">
      <c r="B78" s="222">
        <v>26</v>
      </c>
      <c r="C78" s="218" t="s">
        <v>130</v>
      </c>
      <c r="D78" s="219" t="s">
        <v>105</v>
      </c>
      <c r="E78" s="220">
        <v>16</v>
      </c>
      <c r="F78" s="221">
        <v>791</v>
      </c>
      <c r="G78" s="220">
        <v>340</v>
      </c>
      <c r="H78" s="221">
        <v>57</v>
      </c>
      <c r="I78" s="220">
        <v>309</v>
      </c>
      <c r="J78" s="220">
        <v>182</v>
      </c>
      <c r="K78" s="848" t="s">
        <v>68</v>
      </c>
      <c r="L78" s="1135"/>
      <c r="M78" s="579"/>
      <c r="N78" s="579"/>
      <c r="O78" s="579"/>
      <c r="P78" s="579"/>
      <c r="Q78" s="579"/>
      <c r="R78" s="579"/>
      <c r="S78" s="579"/>
      <c r="T78" s="579"/>
      <c r="U78" s="621"/>
      <c r="V78" s="621"/>
      <c r="W78" s="621"/>
      <c r="X78" s="621"/>
      <c r="Y78" s="621"/>
      <c r="Z78" s="621"/>
      <c r="AA78" s="621"/>
      <c r="AB78" s="621"/>
      <c r="AC78" s="621"/>
    </row>
    <row r="79" spans="2:29" ht="21" customHeight="1" thickBot="1">
      <c r="B79" s="222">
        <v>27</v>
      </c>
      <c r="C79" s="218" t="s">
        <v>131</v>
      </c>
      <c r="D79" s="219" t="s">
        <v>110</v>
      </c>
      <c r="E79" s="220">
        <v>24</v>
      </c>
      <c r="F79" s="221">
        <v>878</v>
      </c>
      <c r="G79" s="220">
        <v>430</v>
      </c>
      <c r="H79" s="221">
        <v>51</v>
      </c>
      <c r="I79" s="220">
        <v>486</v>
      </c>
      <c r="J79" s="220">
        <v>377</v>
      </c>
      <c r="K79" s="848" t="s">
        <v>68</v>
      </c>
      <c r="L79" s="1135"/>
      <c r="M79" s="621"/>
      <c r="N79" s="621"/>
      <c r="O79" s="579"/>
      <c r="P79" s="579"/>
      <c r="Q79" s="579"/>
      <c r="R79" s="579"/>
      <c r="S79" s="579"/>
      <c r="T79" s="579"/>
      <c r="U79" s="621"/>
      <c r="V79" s="621"/>
      <c r="W79" s="621"/>
      <c r="X79" s="621"/>
      <c r="Y79" s="621"/>
      <c r="Z79" s="621"/>
      <c r="AA79" s="621"/>
      <c r="AB79" s="621"/>
      <c r="AC79" s="621"/>
    </row>
    <row r="80" spans="2:29" ht="21.75" customHeight="1" thickBot="1">
      <c r="B80"/>
      <c r="C80" s="1158"/>
      <c r="D80" s="1158"/>
      <c r="E80" s="1158"/>
      <c r="F80" s="850">
        <f>SUM(F53:F75)</f>
        <v>34761</v>
      </c>
      <c r="G80" s="850">
        <f>SUM(G53:G75)</f>
        <v>20468</v>
      </c>
      <c r="H80" s="225"/>
      <c r="I80" s="408"/>
      <c r="J80" s="225"/>
      <c r="K80"/>
      <c r="L80" s="579"/>
      <c r="M80" s="621"/>
      <c r="N80" s="621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</row>
    <row r="81" spans="2:29" ht="21" customHeight="1" thickBot="1">
      <c r="B81"/>
      <c r="C81"/>
      <c r="D81"/>
      <c r="E81"/>
      <c r="F81" s="1"/>
      <c r="G81" s="852">
        <f>ROUNDUP(G80,-1)</f>
        <v>20470</v>
      </c>
      <c r="H81" s="1"/>
      <c r="I81"/>
      <c r="J81" s="621"/>
      <c r="K81"/>
      <c r="L81" s="579"/>
      <c r="M81" s="621"/>
      <c r="N81" s="621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</row>
    <row r="82" spans="2:29" ht="21" customHeight="1" thickBot="1">
      <c r="B82"/>
      <c r="C82"/>
      <c r="D82" s="1"/>
      <c r="E82" s="1"/>
      <c r="F82" s="1"/>
      <c r="G82" s="1"/>
      <c r="H82" s="1"/>
      <c r="I82" s="1"/>
      <c r="J82" s="1"/>
      <c r="K82"/>
      <c r="L82" s="579"/>
      <c r="M82" s="621"/>
      <c r="N82" s="621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</row>
    <row r="83" spans="2:29" ht="18.95" customHeight="1">
      <c r="B83"/>
      <c r="C83" s="1252" t="s">
        <v>522</v>
      </c>
      <c r="D83" s="1291"/>
      <c r="E83" s="1291"/>
      <c r="F83" s="1291"/>
      <c r="G83" s="1291"/>
      <c r="H83" s="1291"/>
      <c r="I83" s="1291"/>
      <c r="J83" s="1291"/>
      <c r="K83" s="1292"/>
      <c r="L83" s="579"/>
      <c r="M83" s="579"/>
      <c r="N83" s="621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</row>
    <row r="84" spans="2:29" ht="39.6">
      <c r="B84" s="179" t="s">
        <v>156</v>
      </c>
      <c r="C84" s="803" t="s">
        <v>31</v>
      </c>
      <c r="D84" s="804" t="s">
        <v>32</v>
      </c>
      <c r="E84" s="804" t="s">
        <v>33</v>
      </c>
      <c r="F84" s="795" t="s">
        <v>34</v>
      </c>
      <c r="G84" s="795" t="s">
        <v>35</v>
      </c>
      <c r="H84" s="804" t="s">
        <v>37</v>
      </c>
      <c r="I84" s="806" t="s">
        <v>38</v>
      </c>
      <c r="J84" s="806" t="s">
        <v>39</v>
      </c>
      <c r="K84" s="226" t="s">
        <v>40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</row>
    <row r="85" spans="2:29" ht="29.45">
      <c r="B85" s="766">
        <v>1</v>
      </c>
      <c r="C85" s="767" t="s">
        <v>139</v>
      </c>
      <c r="D85" s="768" t="s">
        <v>140</v>
      </c>
      <c r="E85" s="769">
        <v>20</v>
      </c>
      <c r="F85" s="770">
        <v>406</v>
      </c>
      <c r="G85" s="770">
        <v>130</v>
      </c>
      <c r="H85" s="769">
        <v>68</v>
      </c>
      <c r="I85" s="771">
        <v>308</v>
      </c>
      <c r="J85" s="769">
        <v>180</v>
      </c>
      <c r="K85" s="294" t="s">
        <v>510</v>
      </c>
      <c r="L85" s="1034"/>
      <c r="M85" s="621"/>
      <c r="N85" s="621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</row>
    <row r="86" spans="2:29">
      <c r="B86" s="853">
        <v>2</v>
      </c>
      <c r="C86" s="229" t="s">
        <v>142</v>
      </c>
      <c r="D86" s="230" t="s">
        <v>143</v>
      </c>
      <c r="E86" s="193">
        <v>24</v>
      </c>
      <c r="F86" s="188">
        <v>432</v>
      </c>
      <c r="G86" s="188">
        <v>417</v>
      </c>
      <c r="H86" s="193">
        <v>4</v>
      </c>
      <c r="I86" s="432">
        <v>609</v>
      </c>
      <c r="J86" s="187">
        <v>270</v>
      </c>
      <c r="K86" s="238" t="s">
        <v>489</v>
      </c>
      <c r="L86" s="1034"/>
      <c r="M86" s="621"/>
      <c r="N86" s="621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</row>
    <row r="87" spans="2:29">
      <c r="B87" s="1141">
        <v>3</v>
      </c>
      <c r="C87" s="334" t="s">
        <v>144</v>
      </c>
      <c r="D87" s="335" t="s">
        <v>140</v>
      </c>
      <c r="E87" s="220">
        <v>28</v>
      </c>
      <c r="F87" s="221">
        <v>1391</v>
      </c>
      <c r="G87" s="221">
        <v>1043</v>
      </c>
      <c r="H87" s="220">
        <v>25</v>
      </c>
      <c r="I87" s="336">
        <v>1028</v>
      </c>
      <c r="J87" s="284">
        <v>990</v>
      </c>
      <c r="K87" s="237" t="s">
        <v>511</v>
      </c>
      <c r="L87" s="1034"/>
      <c r="M87" s="579"/>
      <c r="N87" s="621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</row>
    <row r="88" spans="2:29">
      <c r="B88" s="702">
        <v>4</v>
      </c>
      <c r="C88" s="703" t="s">
        <v>145</v>
      </c>
      <c r="D88" s="704" t="s">
        <v>146</v>
      </c>
      <c r="E88" s="705">
        <v>40</v>
      </c>
      <c r="F88" s="706">
        <v>2208</v>
      </c>
      <c r="G88" s="706">
        <v>1987</v>
      </c>
      <c r="H88" s="407">
        <v>10</v>
      </c>
      <c r="I88" s="707">
        <v>388</v>
      </c>
      <c r="J88" s="708">
        <v>420</v>
      </c>
      <c r="K88" s="203" t="s">
        <v>489</v>
      </c>
      <c r="L88" s="1034"/>
      <c r="M88" s="579"/>
      <c r="N88" s="621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</row>
    <row r="89" spans="2:29">
      <c r="B89"/>
      <c r="C89" s="696"/>
      <c r="D89" s="697"/>
      <c r="E89" s="697"/>
      <c r="F89" s="850">
        <v>4893.8756749777749</v>
      </c>
      <c r="G89" s="851">
        <f>SUM(G85:G88)</f>
        <v>3577</v>
      </c>
      <c r="H89" s="1"/>
      <c r="I89" s="1"/>
      <c r="J89" s="1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</row>
    <row r="90" spans="2:29" ht="19.5" customHeight="1">
      <c r="B90"/>
      <c r="C90" s="1342"/>
      <c r="D90" s="1342"/>
      <c r="E90" s="1342"/>
      <c r="F90" s="1"/>
      <c r="G90" s="852">
        <f>ROUNDUP(G89,-1)</f>
        <v>3580</v>
      </c>
      <c r="H90" s="1"/>
      <c r="I90"/>
      <c r="J90" s="1"/>
      <c r="K90"/>
      <c r="L90" s="579"/>
      <c r="M90" s="1133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</row>
    <row r="91" spans="2:29" ht="19.5" customHeigh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</row>
    <row r="92" spans="2:29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</row>
    <row r="93" spans="2:29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</row>
    <row r="94" spans="2:29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</row>
    <row r="95" spans="2:29">
      <c r="B95" s="579"/>
      <c r="C95" s="579"/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</row>
    <row r="96" spans="2:29">
      <c r="B96" s="579"/>
      <c r="C96" s="579"/>
      <c r="D96" s="579"/>
      <c r="E96" s="579"/>
      <c r="F96" s="579"/>
      <c r="G96" s="660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</row>
    <row r="97" spans="2:29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</row>
    <row r="98" spans="2:29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</row>
    <row r="99" spans="2:29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</row>
    <row r="100" spans="2:29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</row>
    <row r="101" spans="2:29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</row>
    <row r="102" spans="2:29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</row>
    <row r="103" spans="2:29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</row>
    <row r="104" spans="2:29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</row>
    <row r="105" spans="2:29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</row>
    <row r="106" spans="2:29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</row>
    <row r="107" spans="2:29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</row>
    <row r="108" spans="2:29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</row>
    <row r="109" spans="2:29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</row>
    <row r="110" spans="2:29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</row>
    <row r="111" spans="2:29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</row>
    <row r="112" spans="2:29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</row>
    <row r="113" spans="2:29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</row>
    <row r="114" spans="2:29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</row>
    <row r="115" spans="2:29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</row>
    <row r="116" spans="2:29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</row>
    <row r="117" spans="2:29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</row>
    <row r="118" spans="2:29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</row>
    <row r="119" spans="2:29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</row>
    <row r="120" spans="2:29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</row>
    <row r="121" spans="2:29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</row>
    <row r="122" spans="2:29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</row>
    <row r="123" spans="2:29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</row>
    <row r="124" spans="2:29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</row>
    <row r="125" spans="2:29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</row>
    <row r="126" spans="2:29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</row>
    <row r="127" spans="2:29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</row>
    <row r="128" spans="2:29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</row>
    <row r="129" spans="2:29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</row>
    <row r="130" spans="2:29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</row>
    <row r="131" spans="2:29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</row>
    <row r="132" spans="2:29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</row>
    <row r="133" spans="2:29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</row>
    <row r="134" spans="2:29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</row>
    <row r="135" spans="2:29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</row>
    <row r="136" spans="2:29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</row>
    <row r="137" spans="2:29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</row>
    <row r="138" spans="2:29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</row>
    <row r="139" spans="2:29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</row>
    <row r="140" spans="2:29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</row>
    <row r="141" spans="2:29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</row>
    <row r="142" spans="2:29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</row>
    <row r="143" spans="2:29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</row>
    <row r="144" spans="2:29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</row>
    <row r="145" spans="2:29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</row>
    <row r="146" spans="2:29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</row>
    <row r="147" spans="2:29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</row>
    <row r="148" spans="2:29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</row>
    <row r="149" spans="2:29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</row>
    <row r="150" spans="2:29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</row>
    <row r="151" spans="2:29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</row>
    <row r="152" spans="2:29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</row>
    <row r="153" spans="2:29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</row>
    <row r="154" spans="2:29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</row>
    <row r="155" spans="2:29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</row>
    <row r="156" spans="2:29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</row>
    <row r="157" spans="2:29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</row>
    <row r="158" spans="2:29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</row>
    <row r="159" spans="2:29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</row>
    <row r="160" spans="2:29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</row>
    <row r="161" spans="2:29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</row>
    <row r="162" spans="2:29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</row>
    <row r="163" spans="2:29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</row>
    <row r="164" spans="2:29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</row>
    <row r="165" spans="2:29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</row>
    <row r="166" spans="2:29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</row>
    <row r="167" spans="2:29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</row>
    <row r="168" spans="2:29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</row>
    <row r="169" spans="2:29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</row>
    <row r="170" spans="2:29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</row>
    <row r="171" spans="2:29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</row>
    <row r="172" spans="2:29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</row>
    <row r="173" spans="2:29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</row>
    <row r="174" spans="2:29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</row>
    <row r="175" spans="2:29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</row>
    <row r="176" spans="2:29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</row>
    <row r="177" spans="2:29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</row>
    <row r="178" spans="2:29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</row>
    <row r="179" spans="2:29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</row>
    <row r="180" spans="2:29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</row>
    <row r="181" spans="2:29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</row>
    <row r="182" spans="2:29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</row>
    <row r="183" spans="2:29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</row>
    <row r="184" spans="2:29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</row>
    <row r="185" spans="2:29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</row>
    <row r="186" spans="2:29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</row>
    <row r="187" spans="2:29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</row>
    <row r="188" spans="2:29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</row>
    <row r="189" spans="2:29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</row>
    <row r="190" spans="2:29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</row>
    <row r="191" spans="2:29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</row>
    <row r="192" spans="2:29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</row>
    <row r="193" spans="2:29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</row>
    <row r="194" spans="2:29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</row>
    <row r="195" spans="2:29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</row>
    <row r="196" spans="2:29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</row>
    <row r="197" spans="2:29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</row>
    <row r="198" spans="2:29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</row>
    <row r="199" spans="2:29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</row>
    <row r="200" spans="2:29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</row>
    <row r="201" spans="2:29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</row>
    <row r="202" spans="2:29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</row>
    <row r="203" spans="2:29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</row>
    <row r="204" spans="2:29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</row>
    <row r="205" spans="2:29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</row>
    <row r="206" spans="2:29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</row>
    <row r="207" spans="2:29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</row>
    <row r="208" spans="2:29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</row>
    <row r="209" spans="2:29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</row>
    <row r="210" spans="2:29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</row>
    <row r="211" spans="2:29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</row>
    <row r="212" spans="2:29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</row>
    <row r="213" spans="2:29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</row>
    <row r="214" spans="2:29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</row>
    <row r="215" spans="2:29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</row>
    <row r="216" spans="2:29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</row>
    <row r="217" spans="2:29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</row>
    <row r="218" spans="2:29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</row>
    <row r="219" spans="2:29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</row>
    <row r="220" spans="2:29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</row>
    <row r="221" spans="2:29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</row>
    <row r="222" spans="2:29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</row>
    <row r="223" spans="2:29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</row>
    <row r="224" spans="2:29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</row>
    <row r="225" spans="2:29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</row>
    <row r="226" spans="2:29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</row>
    <row r="227" spans="2:29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</row>
    <row r="228" spans="2:29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</row>
    <row r="229" spans="2:29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</row>
    <row r="230" spans="2:29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</row>
    <row r="231" spans="2:29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</row>
    <row r="232" spans="2:29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</row>
    <row r="233" spans="2:29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</row>
    <row r="234" spans="2:29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</row>
    <row r="235" spans="2:29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</row>
    <row r="236" spans="2:29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</row>
    <row r="237" spans="2:29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</row>
    <row r="238" spans="2:29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</row>
    <row r="239" spans="2:29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</row>
    <row r="240" spans="2:29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</row>
    <row r="241" spans="2:29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</row>
    <row r="242" spans="2:29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</row>
    <row r="243" spans="2:29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</row>
    <row r="244" spans="2:29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</row>
    <row r="245" spans="2:29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</row>
    <row r="246" spans="2:29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</row>
    <row r="247" spans="2:29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</row>
    <row r="248" spans="2:29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</row>
    <row r="249" spans="2:29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</row>
    <row r="250" spans="2:29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</row>
    <row r="251" spans="2:29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</row>
    <row r="252" spans="2:29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</row>
    <row r="253" spans="2:29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</row>
    <row r="254" spans="2:29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</row>
    <row r="255" spans="2:29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</row>
    <row r="256" spans="2:29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</row>
    <row r="257" spans="2:29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</row>
    <row r="258" spans="2:29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79"/>
      <c r="AC258" s="579"/>
    </row>
    <row r="259" spans="2:29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79"/>
      <c r="AC259" s="579"/>
    </row>
    <row r="260" spans="2:29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</row>
    <row r="261" spans="2:29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79"/>
      <c r="AC261" s="579"/>
    </row>
    <row r="262" spans="2:29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</row>
    <row r="263" spans="2:29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79"/>
      <c r="AC263" s="579"/>
    </row>
    <row r="264" spans="2:29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</row>
    <row r="265" spans="2:29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</row>
    <row r="266" spans="2:29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</row>
    <row r="267" spans="2:29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</row>
    <row r="268" spans="2:29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</row>
    <row r="269" spans="2:29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</row>
    <row r="270" spans="2:29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</row>
    <row r="271" spans="2:29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</row>
    <row r="272" spans="2:29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</row>
    <row r="273" spans="2:29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</row>
    <row r="274" spans="2:29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</row>
    <row r="275" spans="2:29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</row>
    <row r="276" spans="2:29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</row>
    <row r="277" spans="2:29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</row>
    <row r="278" spans="2:29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</row>
    <row r="279" spans="2:29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</row>
    <row r="280" spans="2:29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</row>
    <row r="281" spans="2:29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</row>
    <row r="282" spans="2:29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</row>
    <row r="283" spans="2:29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</row>
    <row r="284" spans="2:29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</row>
    <row r="285" spans="2:29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</row>
    <row r="286" spans="2:29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</row>
    <row r="287" spans="2:29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</row>
    <row r="288" spans="2:29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</row>
    <row r="289" spans="2:29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</row>
    <row r="290" spans="2:29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</row>
    <row r="291" spans="2:29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</row>
    <row r="292" spans="2:29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</row>
    <row r="293" spans="2:29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</row>
    <row r="294" spans="2:29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</row>
    <row r="295" spans="2:29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</row>
    <row r="296" spans="2:29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</row>
    <row r="297" spans="2:29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</row>
    <row r="298" spans="2:29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</row>
    <row r="299" spans="2:29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</row>
    <row r="300" spans="2:29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</row>
    <row r="301" spans="2:29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</row>
    <row r="302" spans="2:29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</row>
    <row r="303" spans="2:29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</row>
    <row r="304" spans="2:29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</row>
    <row r="305" spans="2:29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</row>
    <row r="306" spans="2:29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</row>
    <row r="307" spans="2:29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</row>
    <row r="308" spans="2:29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</row>
    <row r="309" spans="2:29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</row>
    <row r="310" spans="2:29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</row>
    <row r="311" spans="2:29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</row>
    <row r="312" spans="2:29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</row>
    <row r="313" spans="2:29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</row>
    <row r="314" spans="2:29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</row>
    <row r="315" spans="2:29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</row>
    <row r="316" spans="2:29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</row>
    <row r="317" spans="2:29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</row>
    <row r="318" spans="2:29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</row>
    <row r="319" spans="2:29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</row>
    <row r="320" spans="2:29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</row>
    <row r="321" spans="2:29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</row>
    <row r="322" spans="2:29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</row>
    <row r="323" spans="2:29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</row>
    <row r="324" spans="2:29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</row>
    <row r="325" spans="2:29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</row>
    <row r="326" spans="2:29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</row>
    <row r="327" spans="2:29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</row>
    <row r="328" spans="2:29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</row>
    <row r="329" spans="2:29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</row>
    <row r="330" spans="2:29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</row>
    <row r="331" spans="2:29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</row>
    <row r="332" spans="2:29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</row>
    <row r="333" spans="2:29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</row>
    <row r="334" spans="2:29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</row>
    <row r="335" spans="2:29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</row>
    <row r="336" spans="2:29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</row>
    <row r="337" spans="2:29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</row>
    <row r="338" spans="2:29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</row>
    <row r="339" spans="2:29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</row>
    <row r="340" spans="2:29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</row>
    <row r="341" spans="2:29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</row>
    <row r="342" spans="2:29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</row>
    <row r="343" spans="2:29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</row>
    <row r="344" spans="2:29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</row>
    <row r="345" spans="2:29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</row>
    <row r="346" spans="2:29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</row>
    <row r="347" spans="2:29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</row>
    <row r="348" spans="2:29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</row>
    <row r="349" spans="2:29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</row>
    <row r="350" spans="2:29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</row>
    <row r="351" spans="2:29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</row>
    <row r="352" spans="2:29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</row>
    <row r="353" spans="2:29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</row>
    <row r="354" spans="2:29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</row>
    <row r="355" spans="2:29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</row>
    <row r="356" spans="2:29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</row>
    <row r="357" spans="2:29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</row>
    <row r="358" spans="2:29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</row>
    <row r="359" spans="2:29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</row>
    <row r="360" spans="2:29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</row>
    <row r="361" spans="2:29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</row>
    <row r="362" spans="2:29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</row>
    <row r="363" spans="2:29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</row>
    <row r="364" spans="2:29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</row>
    <row r="365" spans="2:29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</row>
    <row r="366" spans="2:29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</row>
    <row r="367" spans="2:29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</row>
    <row r="368" spans="2:29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</row>
    <row r="369" spans="2:29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</row>
    <row r="370" spans="2:29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</row>
    <row r="371" spans="2:29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</row>
    <row r="372" spans="2:29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</row>
    <row r="373" spans="2:29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</row>
    <row r="374" spans="2:29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</row>
    <row r="375" spans="2:29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</row>
    <row r="376" spans="2:29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</row>
    <row r="377" spans="2:29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</row>
    <row r="378" spans="2:29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</row>
    <row r="379" spans="2:29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</row>
    <row r="380" spans="2:29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</row>
    <row r="381" spans="2:29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</row>
    <row r="382" spans="2:29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</row>
    <row r="383" spans="2:29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</row>
    <row r="384" spans="2:29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</row>
    <row r="385" spans="2:29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</row>
    <row r="386" spans="2:29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</row>
    <row r="387" spans="2:29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</row>
    <row r="388" spans="2:29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</row>
    <row r="389" spans="2:29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</row>
    <row r="390" spans="2:29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</row>
    <row r="391" spans="2:29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</row>
    <row r="392" spans="2:29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</row>
    <row r="393" spans="2:29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</row>
    <row r="394" spans="2:29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</row>
    <row r="395" spans="2:29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</row>
    <row r="396" spans="2:29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</row>
    <row r="397" spans="2:29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</row>
    <row r="398" spans="2:29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</row>
    <row r="399" spans="2:29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</row>
    <row r="400" spans="2:29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</row>
    <row r="401" spans="2:29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</row>
    <row r="402" spans="2:29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</row>
    <row r="403" spans="2:29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</row>
    <row r="404" spans="2:29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</row>
    <row r="405" spans="2:29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</row>
    <row r="406" spans="2:29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</row>
    <row r="407" spans="2:29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</row>
    <row r="408" spans="2:29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</row>
    <row r="409" spans="2:29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</row>
    <row r="410" spans="2:29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</row>
    <row r="411" spans="2:29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</row>
    <row r="412" spans="2:29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</row>
    <row r="413" spans="2:29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</row>
    <row r="414" spans="2:29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</row>
    <row r="415" spans="2:29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</row>
    <row r="416" spans="2:29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</row>
    <row r="417" spans="2:29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</row>
    <row r="418" spans="2:29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</row>
    <row r="419" spans="2:29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</row>
    <row r="420" spans="2:29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</row>
    <row r="421" spans="2:29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</row>
    <row r="422" spans="2:29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</row>
    <row r="423" spans="2:29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</row>
    <row r="424" spans="2:29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</row>
    <row r="425" spans="2:29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</row>
    <row r="426" spans="2:29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</row>
    <row r="427" spans="2:29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</row>
    <row r="428" spans="2:29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</row>
    <row r="429" spans="2:29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</row>
    <row r="430" spans="2:29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</row>
    <row r="431" spans="2:29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</row>
    <row r="432" spans="2:29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</row>
    <row r="433" spans="2:29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</row>
    <row r="434" spans="2:29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</row>
    <row r="435" spans="2:29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</row>
    <row r="436" spans="2:29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</row>
    <row r="437" spans="2:29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</row>
    <row r="438" spans="2:29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</row>
    <row r="439" spans="2:29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</row>
    <row r="440" spans="2:29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</row>
    <row r="441" spans="2:29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</row>
    <row r="442" spans="2:29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</row>
    <row r="443" spans="2:29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</row>
    <row r="444" spans="2:29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</row>
    <row r="445" spans="2:29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</row>
    <row r="446" spans="2:29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</row>
    <row r="447" spans="2:29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</row>
    <row r="448" spans="2:29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</row>
    <row r="449" spans="2:29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</row>
    <row r="450" spans="2:29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</row>
    <row r="451" spans="2:29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</row>
    <row r="452" spans="2:29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</row>
    <row r="453" spans="2:29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</row>
    <row r="454" spans="2:29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</row>
    <row r="455" spans="2:29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</row>
    <row r="456" spans="2:29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</row>
    <row r="457" spans="2:29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</row>
    <row r="458" spans="2:29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</row>
    <row r="459" spans="2:29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</row>
    <row r="460" spans="2:29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</row>
    <row r="461" spans="2:29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</row>
    <row r="462" spans="2:29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</row>
    <row r="463" spans="2:29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</row>
    <row r="464" spans="2:29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</row>
    <row r="465" spans="2:29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</row>
    <row r="466" spans="2:29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</row>
    <row r="467" spans="2:29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</row>
    <row r="468" spans="2:29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</row>
    <row r="469" spans="2:29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</row>
    <row r="470" spans="2:29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</row>
    <row r="471" spans="2:29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</row>
    <row r="472" spans="2:29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</row>
    <row r="473" spans="2:29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</row>
    <row r="474" spans="2:29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</row>
    <row r="475" spans="2:29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</row>
    <row r="476" spans="2:29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</row>
    <row r="477" spans="2:29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</row>
    <row r="478" spans="2:29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</row>
    <row r="479" spans="2:29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</row>
    <row r="480" spans="2:29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</row>
    <row r="481" spans="2:29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</row>
    <row r="482" spans="2:29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</row>
    <row r="483" spans="2:29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</row>
    <row r="484" spans="2:29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</row>
    <row r="485" spans="2:29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</row>
    <row r="486" spans="2:29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</row>
    <row r="487" spans="2:29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</row>
    <row r="488" spans="2:29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</row>
    <row r="489" spans="2:29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</row>
    <row r="490" spans="2:29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</row>
    <row r="491" spans="2:29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</row>
    <row r="492" spans="2:29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</row>
    <row r="493" spans="2:29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</row>
    <row r="494" spans="2:29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</row>
    <row r="495" spans="2:29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</row>
    <row r="496" spans="2:29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</row>
    <row r="497" spans="2:29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</row>
    <row r="498" spans="2:29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</row>
    <row r="499" spans="2:29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</row>
    <row r="500" spans="2:29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</row>
    <row r="501" spans="2:29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</row>
    <row r="502" spans="2:29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</row>
    <row r="503" spans="2:29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</row>
    <row r="504" spans="2:29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</row>
    <row r="505" spans="2:29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</row>
    <row r="506" spans="2:29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</row>
    <row r="507" spans="2:29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</row>
    <row r="508" spans="2:29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</row>
    <row r="509" spans="2:29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</row>
    <row r="510" spans="2:29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</row>
    <row r="511" spans="2:29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</row>
    <row r="512" spans="2:29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</row>
    <row r="513" spans="2:29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</row>
    <row r="514" spans="2:29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</row>
    <row r="515" spans="2:29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</row>
    <row r="516" spans="2:29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</row>
    <row r="517" spans="2:29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</row>
    <row r="518" spans="2:29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</row>
    <row r="519" spans="2:29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</row>
    <row r="520" spans="2:29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</row>
    <row r="521" spans="2:29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</row>
    <row r="522" spans="2:29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</row>
    <row r="523" spans="2:29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</row>
    <row r="524" spans="2:29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</row>
    <row r="525" spans="2:29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</row>
    <row r="526" spans="2:29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</row>
    <row r="527" spans="2:29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</row>
    <row r="528" spans="2:29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</row>
    <row r="529" spans="2:29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</row>
    <row r="530" spans="2:29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</row>
    <row r="531" spans="2:29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</row>
    <row r="532" spans="2:29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</row>
    <row r="533" spans="2:29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</row>
    <row r="534" spans="2:29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</row>
    <row r="535" spans="2:29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</row>
    <row r="536" spans="2:29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</row>
    <row r="537" spans="2:29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</row>
    <row r="538" spans="2:29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</row>
    <row r="539" spans="2:29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</row>
    <row r="540" spans="2:29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</row>
    <row r="541" spans="2:29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</row>
    <row r="542" spans="2:29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</row>
    <row r="543" spans="2:29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</row>
    <row r="544" spans="2:29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</row>
    <row r="545" spans="2:29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</row>
    <row r="546" spans="2:29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</row>
    <row r="547" spans="2:29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</row>
    <row r="548" spans="2:29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</row>
    <row r="549" spans="2:29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</row>
    <row r="550" spans="2:29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</row>
    <row r="551" spans="2:29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</row>
    <row r="552" spans="2:29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</row>
    <row r="553" spans="2:29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</row>
    <row r="554" spans="2:29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</row>
    <row r="555" spans="2:29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</row>
    <row r="556" spans="2:29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</row>
    <row r="557" spans="2:29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</row>
    <row r="558" spans="2:29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</row>
    <row r="559" spans="2:29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</row>
    <row r="560" spans="2:29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</row>
    <row r="561" spans="2:29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</row>
    <row r="562" spans="2:29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</row>
    <row r="563" spans="2:29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</row>
    <row r="564" spans="2:29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</row>
    <row r="565" spans="2:29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</row>
    <row r="566" spans="2:29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</row>
    <row r="567" spans="2:29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</row>
    <row r="568" spans="2:29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</row>
    <row r="569" spans="2:29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</row>
    <row r="570" spans="2:29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</row>
    <row r="571" spans="2:29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</row>
    <row r="572" spans="2:29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</row>
    <row r="573" spans="2:29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</row>
    <row r="574" spans="2:29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</row>
    <row r="575" spans="2:29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</row>
    <row r="576" spans="2:29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</row>
    <row r="577" spans="2:29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</row>
    <row r="578" spans="2:29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</row>
    <row r="579" spans="2:29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</row>
    <row r="580" spans="2:29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</row>
    <row r="581" spans="2:29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</row>
    <row r="582" spans="2:29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</row>
    <row r="583" spans="2:29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</row>
    <row r="584" spans="2:29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</row>
    <row r="585" spans="2:29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</row>
    <row r="586" spans="2:29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</row>
    <row r="587" spans="2:29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</row>
    <row r="588" spans="2:29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</row>
    <row r="589" spans="2:29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</row>
    <row r="590" spans="2:29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</row>
    <row r="591" spans="2:29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</row>
    <row r="592" spans="2:29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</row>
    <row r="593" spans="2:29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</row>
    <row r="594" spans="2:29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</row>
    <row r="595" spans="2:29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</row>
    <row r="596" spans="2:29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</row>
    <row r="597" spans="2:29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</row>
    <row r="598" spans="2:29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</row>
    <row r="599" spans="2:29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</row>
    <row r="600" spans="2:29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</row>
    <row r="601" spans="2:29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</row>
    <row r="602" spans="2:29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</row>
    <row r="603" spans="2:29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</row>
    <row r="604" spans="2:29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</row>
    <row r="605" spans="2:29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</row>
    <row r="606" spans="2:29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</row>
    <row r="607" spans="2:29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</row>
    <row r="608" spans="2:29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</row>
    <row r="609" spans="2:29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</row>
    <row r="610" spans="2:29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</row>
    <row r="611" spans="2:29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</row>
    <row r="612" spans="2:29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</row>
    <row r="613" spans="2:29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</row>
    <row r="614" spans="2:29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</row>
    <row r="615" spans="2:29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</row>
    <row r="616" spans="2:29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</row>
    <row r="617" spans="2:29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</row>
    <row r="618" spans="2:29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</row>
    <row r="619" spans="2:29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</row>
    <row r="620" spans="2:29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</row>
    <row r="621" spans="2:29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</row>
    <row r="622" spans="2:29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</row>
    <row r="623" spans="2:29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</row>
    <row r="624" spans="2:29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</row>
    <row r="625" spans="2:29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</row>
    <row r="626" spans="2:29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</row>
    <row r="627" spans="2:29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</row>
    <row r="628" spans="2:29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</row>
    <row r="629" spans="2:29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</row>
    <row r="630" spans="2:29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</row>
    <row r="631" spans="2:29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</row>
    <row r="632" spans="2:29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</row>
    <row r="633" spans="2:29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</row>
    <row r="634" spans="2:29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</row>
    <row r="635" spans="2:29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</row>
    <row r="636" spans="2:29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</row>
    <row r="637" spans="2:29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</row>
    <row r="638" spans="2:29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</row>
    <row r="639" spans="2:29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</row>
    <row r="640" spans="2:29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</row>
    <row r="641" spans="2:29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</row>
    <row r="642" spans="2:29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</row>
    <row r="643" spans="2:29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</row>
    <row r="644" spans="2:29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</row>
    <row r="645" spans="2:29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</row>
    <row r="646" spans="2:29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</row>
    <row r="647" spans="2:29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</row>
    <row r="648" spans="2:29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</row>
    <row r="649" spans="2:29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</row>
    <row r="650" spans="2:29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</row>
    <row r="651" spans="2:29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</row>
    <row r="652" spans="2:29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</row>
    <row r="653" spans="2:29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</row>
    <row r="654" spans="2:29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</row>
    <row r="655" spans="2:29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</row>
    <row r="656" spans="2:29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</row>
    <row r="657" spans="2:29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</row>
    <row r="658" spans="2:29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</row>
    <row r="659" spans="2:29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</row>
    <row r="660" spans="2:29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</row>
    <row r="661" spans="2:29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</row>
    <row r="662" spans="2:29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</row>
    <row r="663" spans="2:29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</row>
    <row r="664" spans="2:29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</row>
    <row r="665" spans="2:29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</row>
    <row r="666" spans="2:29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</row>
    <row r="667" spans="2:29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</row>
    <row r="668" spans="2:29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</row>
    <row r="669" spans="2:29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</row>
    <row r="670" spans="2:29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</row>
    <row r="671" spans="2:29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</row>
    <row r="672" spans="2:29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</row>
    <row r="673" spans="2:29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</row>
    <row r="674" spans="2:29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</row>
    <row r="675" spans="2:29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</row>
    <row r="676" spans="2:29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</row>
    <row r="677" spans="2:29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</row>
    <row r="678" spans="2:29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</row>
    <row r="679" spans="2:29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</row>
    <row r="680" spans="2:29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</row>
    <row r="681" spans="2:29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</row>
    <row r="682" spans="2:29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</row>
    <row r="683" spans="2:29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</row>
    <row r="684" spans="2:29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</row>
    <row r="685" spans="2:29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</row>
    <row r="686" spans="2:29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</row>
    <row r="687" spans="2:29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</row>
    <row r="688" spans="2:29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</row>
    <row r="689" spans="2:29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</row>
    <row r="690" spans="2:29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</row>
    <row r="691" spans="2:29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</row>
    <row r="692" spans="2:29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</row>
    <row r="693" spans="2:29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</row>
    <row r="694" spans="2:29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</row>
    <row r="695" spans="2:29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</row>
    <row r="696" spans="2:29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</row>
    <row r="697" spans="2:29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</row>
    <row r="698" spans="2:29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</row>
    <row r="699" spans="2:29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</row>
    <row r="700" spans="2:29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</row>
    <row r="701" spans="2:29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</row>
    <row r="702" spans="2:29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</row>
    <row r="703" spans="2:29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</row>
    <row r="704" spans="2:29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</row>
    <row r="705" spans="2:29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</row>
    <row r="706" spans="2:29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</row>
    <row r="707" spans="2:29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</row>
    <row r="708" spans="2:29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</row>
    <row r="709" spans="2:29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</row>
    <row r="710" spans="2:29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</row>
    <row r="711" spans="2:29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</row>
    <row r="712" spans="2:29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</row>
    <row r="713" spans="2:29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</row>
    <row r="714" spans="2:29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</row>
    <row r="715" spans="2:29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</row>
    <row r="716" spans="2:29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</row>
    <row r="717" spans="2:29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</row>
    <row r="718" spans="2:29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</row>
    <row r="719" spans="2:29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</row>
    <row r="720" spans="2:29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</row>
    <row r="721" spans="2:29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</row>
    <row r="722" spans="2:29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</row>
    <row r="723" spans="2:29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</row>
    <row r="724" spans="2:29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</row>
    <row r="725" spans="2:29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</row>
    <row r="726" spans="2:29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</row>
    <row r="727" spans="2:29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</row>
    <row r="728" spans="2:29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</row>
    <row r="729" spans="2:29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</row>
    <row r="730" spans="2:29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</row>
    <row r="731" spans="2:29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</row>
    <row r="732" spans="2:29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</row>
    <row r="733" spans="2:29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</row>
    <row r="734" spans="2:29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</row>
    <row r="735" spans="2:29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</row>
    <row r="736" spans="2:29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</row>
    <row r="737" spans="2:29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</row>
    <row r="738" spans="2:29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</row>
    <row r="739" spans="2:29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</row>
    <row r="740" spans="2:29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</row>
    <row r="741" spans="2:29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</row>
    <row r="742" spans="2:29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</row>
    <row r="743" spans="2:29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</row>
    <row r="744" spans="2:29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</row>
    <row r="745" spans="2:29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</row>
    <row r="746" spans="2:29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</row>
    <row r="747" spans="2:29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</row>
    <row r="748" spans="2:29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</row>
    <row r="749" spans="2:29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</row>
    <row r="750" spans="2:29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</row>
    <row r="751" spans="2:29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</row>
    <row r="752" spans="2:29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</row>
    <row r="753" spans="2:29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</row>
    <row r="754" spans="2:29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</row>
    <row r="755" spans="2:29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</row>
    <row r="756" spans="2:29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</row>
    <row r="757" spans="2:29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</row>
    <row r="758" spans="2:29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</row>
    <row r="759" spans="2:29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</row>
    <row r="760" spans="2:29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</row>
    <row r="761" spans="2:29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</row>
    <row r="762" spans="2:29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</row>
    <row r="763" spans="2:29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</row>
    <row r="764" spans="2:29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</row>
    <row r="765" spans="2:29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</row>
    <row r="766" spans="2:29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</row>
    <row r="767" spans="2:29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</row>
    <row r="768" spans="2:29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</row>
    <row r="769" spans="2:29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</row>
    <row r="770" spans="2:29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</row>
    <row r="771" spans="2:29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</row>
    <row r="772" spans="2:29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</row>
    <row r="773" spans="2:29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</row>
    <row r="774" spans="2:29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</row>
    <row r="775" spans="2:29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</row>
    <row r="776" spans="2:29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</row>
    <row r="777" spans="2:29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</row>
    <row r="778" spans="2:29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</row>
    <row r="779" spans="2:29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</row>
    <row r="780" spans="2:29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</row>
    <row r="781" spans="2:29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</row>
    <row r="782" spans="2:29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</row>
    <row r="783" spans="2:29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</row>
    <row r="784" spans="2:29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</row>
    <row r="785" spans="2:29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</row>
    <row r="786" spans="2:29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</row>
    <row r="787" spans="2:29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</row>
    <row r="788" spans="2:29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</row>
    <row r="789" spans="2:29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</row>
    <row r="790" spans="2:29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</row>
    <row r="791" spans="2:29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</row>
    <row r="792" spans="2:29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</row>
    <row r="793" spans="2:29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</row>
    <row r="794" spans="2:29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</row>
    <row r="795" spans="2:29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</row>
    <row r="796" spans="2:29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</row>
    <row r="797" spans="2:29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</row>
    <row r="798" spans="2:29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</row>
    <row r="799" spans="2:29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  <c r="AA799" s="579"/>
      <c r="AB799" s="579"/>
      <c r="AC799" s="579"/>
    </row>
    <row r="800" spans="2:29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  <c r="AA800" s="579"/>
      <c r="AB800" s="579"/>
      <c r="AC800" s="579"/>
    </row>
    <row r="801" spans="2:29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  <c r="AA801" s="579"/>
      <c r="AB801" s="579"/>
      <c r="AC801" s="579"/>
    </row>
    <row r="802" spans="2:29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  <c r="AA802" s="579"/>
      <c r="AB802" s="579"/>
      <c r="AC802" s="579"/>
    </row>
    <row r="803" spans="2:29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</row>
    <row r="804" spans="2:29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</row>
    <row r="805" spans="2:29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</row>
    <row r="806" spans="2:29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</row>
    <row r="807" spans="2:29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</row>
    <row r="808" spans="2:29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</row>
    <row r="809" spans="2:29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</row>
    <row r="810" spans="2:29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</row>
    <row r="811" spans="2:29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</row>
    <row r="812" spans="2:29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</row>
    <row r="813" spans="2:29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</row>
    <row r="814" spans="2:29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</row>
    <row r="815" spans="2:29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</row>
    <row r="816" spans="2:29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</row>
    <row r="817" spans="2:29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</row>
    <row r="818" spans="2:29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</row>
    <row r="819" spans="2:29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</row>
    <row r="820" spans="2:29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</row>
    <row r="821" spans="2:29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</row>
    <row r="822" spans="2:29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</row>
    <row r="823" spans="2:29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</row>
    <row r="824" spans="2:29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</row>
    <row r="825" spans="2:29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</row>
    <row r="826" spans="2:29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</row>
    <row r="827" spans="2:29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</row>
    <row r="828" spans="2:29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</row>
    <row r="829" spans="2:29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</row>
    <row r="830" spans="2:29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</row>
    <row r="831" spans="2:29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</row>
    <row r="832" spans="2:29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</row>
    <row r="833" spans="2:29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</row>
    <row r="834" spans="2:29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</row>
    <row r="835" spans="2:29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</row>
    <row r="836" spans="2:29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</row>
    <row r="837" spans="2:29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</row>
    <row r="838" spans="2:29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</row>
    <row r="839" spans="2:29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</row>
    <row r="840" spans="2:29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</row>
    <row r="841" spans="2:29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</row>
    <row r="842" spans="2:29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</row>
    <row r="843" spans="2:29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</row>
    <row r="844" spans="2:29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</row>
    <row r="845" spans="2:29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</row>
    <row r="846" spans="2:29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</row>
    <row r="847" spans="2:29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</row>
    <row r="848" spans="2:29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</row>
    <row r="849" spans="2:29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</row>
    <row r="850" spans="2:29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</row>
    <row r="851" spans="2:29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</row>
    <row r="852" spans="2:29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</row>
    <row r="853" spans="2:29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</row>
    <row r="854" spans="2:29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</row>
    <row r="855" spans="2:29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</row>
    <row r="856" spans="2:29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</row>
    <row r="857" spans="2:29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</row>
    <row r="858" spans="2:29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</row>
    <row r="859" spans="2:29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</row>
    <row r="860" spans="2:29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</row>
    <row r="861" spans="2:29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</row>
    <row r="862" spans="2:29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</row>
    <row r="863" spans="2:29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</row>
    <row r="864" spans="2:29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</row>
    <row r="865" spans="2:29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</row>
    <row r="866" spans="2:29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</row>
    <row r="867" spans="2:29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</row>
    <row r="868" spans="2:29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</row>
    <row r="869" spans="2:29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</row>
    <row r="870" spans="2:29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</row>
    <row r="871" spans="2:29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</row>
    <row r="872" spans="2:29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</row>
    <row r="873" spans="2:29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</row>
    <row r="874" spans="2:29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</row>
    <row r="875" spans="2:29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</row>
    <row r="876" spans="2:29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</row>
    <row r="877" spans="2:29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</row>
    <row r="878" spans="2:29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</row>
    <row r="879" spans="2:29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</row>
    <row r="880" spans="2:29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</row>
    <row r="881" spans="2:29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</row>
    <row r="882" spans="2:29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</row>
    <row r="883" spans="2:29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</row>
    <row r="884" spans="2:29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</row>
    <row r="885" spans="2:29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</row>
    <row r="886" spans="2:29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</row>
    <row r="887" spans="2:29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</row>
    <row r="888" spans="2:29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</row>
    <row r="889" spans="2:29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</row>
    <row r="890" spans="2:29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</row>
    <row r="891" spans="2:29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</row>
    <row r="892" spans="2:29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</row>
    <row r="893" spans="2:29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</row>
    <row r="894" spans="2:29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</row>
    <row r="895" spans="2:29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</row>
    <row r="896" spans="2:29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</row>
    <row r="897" spans="2:29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</row>
    <row r="898" spans="2:29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</row>
    <row r="899" spans="2:29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</row>
    <row r="900" spans="2:29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</row>
    <row r="901" spans="2:29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</row>
    <row r="902" spans="2:29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</row>
    <row r="903" spans="2:29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</row>
    <row r="904" spans="2:29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</row>
    <row r="905" spans="2:29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</row>
    <row r="906" spans="2:29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</row>
    <row r="907" spans="2:29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</row>
    <row r="908" spans="2:29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</row>
    <row r="909" spans="2:29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</row>
    <row r="910" spans="2:29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</row>
    <row r="911" spans="2:29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</row>
    <row r="912" spans="2:29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</row>
    <row r="913" spans="2:29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</row>
    <row r="914" spans="2:29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</row>
    <row r="915" spans="2:29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</row>
    <row r="916" spans="2:29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</row>
    <row r="917" spans="2:29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</row>
    <row r="918" spans="2:29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</row>
    <row r="919" spans="2:29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</row>
    <row r="920" spans="2:29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</row>
    <row r="921" spans="2:29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</row>
    <row r="922" spans="2:29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</row>
    <row r="923" spans="2:29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</row>
    <row r="924" spans="2:29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</row>
    <row r="925" spans="2:29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</row>
    <row r="926" spans="2:29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</row>
    <row r="927" spans="2:29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</row>
    <row r="928" spans="2:29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</row>
    <row r="929" spans="2:29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</row>
    <row r="930" spans="2:29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</row>
    <row r="931" spans="2:29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</row>
    <row r="932" spans="2:29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</row>
    <row r="933" spans="2:29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</row>
    <row r="934" spans="2:29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</row>
    <row r="935" spans="2:29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</row>
    <row r="936" spans="2:29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</row>
    <row r="937" spans="2:29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</row>
    <row r="938" spans="2:29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</row>
    <row r="939" spans="2:29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</row>
    <row r="940" spans="2:29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</row>
    <row r="941" spans="2:29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</row>
    <row r="942" spans="2:29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</row>
    <row r="943" spans="2:29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</row>
    <row r="944" spans="2:29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</row>
    <row r="945" spans="2:29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</row>
    <row r="946" spans="2:29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</row>
    <row r="947" spans="2:29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</row>
    <row r="948" spans="2:29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</row>
    <row r="949" spans="2:29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</row>
    <row r="950" spans="2:29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</row>
    <row r="951" spans="2:29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</row>
    <row r="952" spans="2:29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</row>
    <row r="953" spans="2:29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</row>
    <row r="954" spans="2:29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</row>
    <row r="955" spans="2:29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</row>
    <row r="956" spans="2:29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</row>
    <row r="957" spans="2:29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</row>
    <row r="958" spans="2:29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</row>
    <row r="959" spans="2:29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</row>
    <row r="960" spans="2:29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</row>
    <row r="961" spans="2:29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</row>
    <row r="962" spans="2:29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</row>
    <row r="963" spans="2:29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</row>
    <row r="964" spans="2:29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</row>
    <row r="965" spans="2:29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</row>
    <row r="966" spans="2:29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</row>
    <row r="967" spans="2:29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</row>
    <row r="968" spans="2:29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</row>
    <row r="969" spans="2:29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</row>
    <row r="970" spans="2:29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</row>
    <row r="971" spans="2:29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</row>
    <row r="972" spans="2:29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</row>
    <row r="973" spans="2:29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</row>
    <row r="974" spans="2:29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</row>
    <row r="975" spans="2:29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</row>
    <row r="976" spans="2:29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</row>
    <row r="977" spans="2:29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</row>
    <row r="978" spans="2:29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</row>
    <row r="979" spans="2:29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</row>
    <row r="980" spans="2:29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</row>
    <row r="981" spans="2:29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</row>
    <row r="982" spans="2:29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</row>
    <row r="983" spans="2:29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</row>
    <row r="984" spans="2:29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</row>
    <row r="985" spans="2:29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</row>
    <row r="986" spans="2:29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</row>
    <row r="987" spans="2:29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</row>
    <row r="988" spans="2:29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</row>
    <row r="989" spans="2:29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</row>
    <row r="990" spans="2:29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</row>
    <row r="991" spans="2:29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</row>
    <row r="992" spans="2:29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</row>
    <row r="993" spans="2:29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</row>
    <row r="994" spans="2:29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</row>
    <row r="995" spans="2:29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</row>
    <row r="996" spans="2:29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</row>
    <row r="997" spans="2:29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</row>
    <row r="998" spans="2:29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</row>
    <row r="999" spans="2:29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</row>
    <row r="1000" spans="2:29">
      <c r="B1000" s="579"/>
      <c r="C1000" s="579"/>
      <c r="D1000" s="579"/>
      <c r="E1000" s="579"/>
      <c r="F1000" s="579"/>
      <c r="G1000" s="579"/>
      <c r="H1000" s="579"/>
      <c r="I1000" s="579"/>
      <c r="J1000" s="579"/>
      <c r="K1000" s="579"/>
      <c r="L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</row>
  </sheetData>
  <mergeCells count="7">
    <mergeCell ref="C83:K83"/>
    <mergeCell ref="C90:E90"/>
    <mergeCell ref="C1:K1"/>
    <mergeCell ref="C3:K3"/>
    <mergeCell ref="C20:K20"/>
    <mergeCell ref="C47:E47"/>
    <mergeCell ref="B51:K51"/>
  </mergeCells>
  <pageMargins left="0.7" right="0.7" top="0.75" bottom="0.75" header="0.3" footer="0.3"/>
  <pageSetup paperSize="9"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A914A-972E-407B-939F-FD5F2FCB46F1}">
  <dimension ref="B1:AO53"/>
  <sheetViews>
    <sheetView showGridLines="0" topLeftCell="X85" zoomScale="70" zoomScaleNormal="70" workbookViewId="0">
      <selection activeCell="AH113" sqref="AH113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0.6640625" style="580" customWidth="1"/>
    <col min="4" max="4" width="9.3320312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9.33203125" style="727" customWidth="1"/>
    <col min="19" max="19" width="8.44140625" style="727" customWidth="1"/>
    <col min="20" max="20" width="8.77734375" style="727" customWidth="1"/>
    <col min="21" max="21" width="9" style="727" customWidth="1"/>
    <col min="22" max="22" width="9.21875" style="727" customWidth="1"/>
    <col min="23" max="23" width="10.21875" style="727" customWidth="1"/>
    <col min="24" max="24" width="9.5546875" style="727" customWidth="1"/>
    <col min="25" max="25" width="9.77734375" style="727" customWidth="1"/>
    <col min="26" max="26" width="12.33203125" style="727" bestFit="1" customWidth="1"/>
    <col min="27" max="27" width="9.5546875" style="727" customWidth="1"/>
    <col min="28" max="30" width="10.6640625" style="727" customWidth="1"/>
    <col min="31" max="32" width="11.77734375" style="727" customWidth="1"/>
    <col min="33" max="33" width="11.109375" style="727" bestFit="1" customWidth="1"/>
    <col min="34" max="34" width="11.109375" style="580" customWidth="1"/>
    <col min="35" max="35" width="17.44140625" style="580" customWidth="1"/>
    <col min="36" max="36" width="14.6640625" style="580" customWidth="1"/>
    <col min="37" max="37" width="14.21875" style="580" customWidth="1"/>
    <col min="38" max="38" width="15.21875" style="580" customWidth="1"/>
    <col min="39" max="39" width="15" style="580" customWidth="1"/>
    <col min="40" max="40" width="14" style="580" customWidth="1"/>
    <col min="41" max="41" width="15.44140625" style="580" customWidth="1"/>
    <col min="42" max="42" width="15.109375" style="580" customWidth="1"/>
    <col min="43" max="43" width="11.5546875" style="580" customWidth="1"/>
    <col min="44" max="16384" width="9.21875" style="580"/>
  </cols>
  <sheetData>
    <row r="1" spans="2:41" hidden="1"/>
    <row r="2" spans="2:41" hidden="1"/>
    <row r="4" spans="2:41" ht="76.900000000000006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523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1057" t="s">
        <v>432</v>
      </c>
      <c r="O4" s="1058" t="s">
        <v>433</v>
      </c>
      <c r="P4" s="1059" t="s">
        <v>434</v>
      </c>
      <c r="Q4" s="1060" t="s">
        <v>435</v>
      </c>
      <c r="R4" s="744" t="s">
        <v>436</v>
      </c>
      <c r="S4" s="713" t="s">
        <v>437</v>
      </c>
      <c r="T4" s="710" t="s">
        <v>438</v>
      </c>
      <c r="U4" s="789" t="s">
        <v>439</v>
      </c>
      <c r="V4" s="1121" t="s">
        <v>440</v>
      </c>
      <c r="W4" s="710" t="s">
        <v>441</v>
      </c>
      <c r="X4" s="710" t="s">
        <v>442</v>
      </c>
      <c r="Y4" s="711" t="s">
        <v>443</v>
      </c>
      <c r="Z4" s="712" t="s">
        <v>390</v>
      </c>
      <c r="AA4" s="710" t="s">
        <v>391</v>
      </c>
      <c r="AB4" s="710" t="s">
        <v>392</v>
      </c>
      <c r="AC4" s="789" t="s">
        <v>393</v>
      </c>
      <c r="AD4" s="1121" t="s">
        <v>444</v>
      </c>
      <c r="AE4" s="710" t="s">
        <v>445</v>
      </c>
      <c r="AF4" s="710" t="s">
        <v>446</v>
      </c>
      <c r="AG4" s="789" t="s">
        <v>394</v>
      </c>
      <c r="AH4" s="728"/>
    </row>
    <row r="5" spans="2:41" ht="21.6">
      <c r="B5" s="716">
        <v>44589</v>
      </c>
      <c r="C5" s="749">
        <v>21.04</v>
      </c>
      <c r="D5" s="750">
        <v>15.2</v>
      </c>
      <c r="E5" s="751">
        <v>8.9</v>
      </c>
      <c r="F5" s="749">
        <v>3.58</v>
      </c>
      <c r="G5" s="1042">
        <f>SUM(Table2523467891011101213121412151615171819202122[[#This Row],[Jones Creek Target (Mbopd)]:[Egwa Target (Mbopd)]])</f>
        <v>48.719999999999992</v>
      </c>
      <c r="H5" s="1042">
        <v>17.937000000000001</v>
      </c>
      <c r="I5" s="1068">
        <v>0</v>
      </c>
      <c r="J5" s="1068">
        <v>4.7140000000000004</v>
      </c>
      <c r="K5" s="1069">
        <v>2.347</v>
      </c>
      <c r="L5" s="1122">
        <f t="shared" ref="L5:L11" si="0">H5+I5+J5+K5</f>
        <v>24.998000000000005</v>
      </c>
      <c r="M5" s="1126">
        <v>0</v>
      </c>
      <c r="N5" s="1124">
        <f>Table2523467891011101213121412151615171819202122[[#This Row],[Jones Creek Target (Mbopd)]]-Table2523467891011101213121412151615171819202122[[#This Row],[Jones Creek (Mbopd)]]</f>
        <v>3.102999999999998</v>
      </c>
      <c r="O5" s="1044">
        <f>Table2523467891011101213121412151615171819202122[[#This Row],[Odidi Target (Mbopd)]]-Table2523467891011101213121412151615171819202122[[#This Row],[Odidi (Mbopd)]]</f>
        <v>15.2</v>
      </c>
      <c r="P5" s="1044">
        <f>Table2523467891011101213121412151615171819202122[[#This Row],[Batan Target (Mbopd)]]-Table2523467891011101213121412151615171819202122[[#This Row],[Batan (Mbopd)]]</f>
        <v>4.1859999999999999</v>
      </c>
      <c r="Q5" s="1044">
        <f>Table2523467891011101213121412151615171819202122[[#This Row],[Egwa Target (Mbopd)]]-Table2523467891011101213121412151615171819202122[[#This Row],[Egwa (Mbopd)]]</f>
        <v>1.2330000000000001</v>
      </c>
      <c r="R5" s="1043">
        <v>10.17</v>
      </c>
      <c r="S5" s="1044">
        <v>0</v>
      </c>
      <c r="T5" s="1044">
        <v>1.84</v>
      </c>
      <c r="U5" s="1045">
        <v>2.2000000000000002</v>
      </c>
      <c r="V5" s="1046">
        <v>0.84</v>
      </c>
      <c r="W5" s="1044">
        <v>0</v>
      </c>
      <c r="X5" s="1044">
        <v>1</v>
      </c>
      <c r="Y5" s="1045">
        <v>0</v>
      </c>
      <c r="Z5" s="1046">
        <f>+Table2523467891011101213121412151615171819202122[[#This Row],[J/C Prod gas (MMscf)]]-Table2523467891011101213121412151615171819202122[[#This Row],[J/C Utilised gas (MMscf)]]</f>
        <v>9.33</v>
      </c>
      <c r="AA5" s="1044">
        <f>+Table2523467891011101213121412151615171819202122[[#This Row],[Odid Prod gas (MMscf)]]-Table2523467891011101213121412151615171819202122[[#This Row],[Gas Export (MMscf/d)]]</f>
        <v>0</v>
      </c>
      <c r="AB5" s="1044">
        <f>+Table2523467891011101213121412151615171819202122[[#This Row],[Batn Prod gas (MMscf)]]-Table2523467891011101213121412151615171819202122[[#This Row],[Batn Utilised gas (MMscf)]]</f>
        <v>0.84000000000000008</v>
      </c>
      <c r="AC5" s="1044">
        <f>+Table2523467891011101213121412151615171819202122[[#This Row],[Egwa Prod gas (MMscf)]]-Table2523467891011101213121412151615171819202122[[#This Row],[Egwa Utilised gas (MMscf)]]</f>
        <v>2.2000000000000002</v>
      </c>
      <c r="AD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14.21</v>
      </c>
      <c r="AE5" s="1044">
        <f>+Table2523467891011101213121412151615171819202122[[#This Row],[Gas Export (MMscf/d)]]</f>
        <v>0</v>
      </c>
      <c r="AF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12.370000000000001</v>
      </c>
      <c r="AH5" s="142"/>
    </row>
    <row r="6" spans="2:41" ht="21.6">
      <c r="B6" s="716">
        <v>44590</v>
      </c>
      <c r="C6" s="749">
        <v>21.04</v>
      </c>
      <c r="D6" s="750">
        <v>15.2</v>
      </c>
      <c r="E6" s="751">
        <v>8.9</v>
      </c>
      <c r="F6" s="749">
        <v>3.58</v>
      </c>
      <c r="G6" s="1042">
        <f>SUM(Table2523467891011101213121412151615171819202122[[#This Row],[Jones Creek Target (Mbopd)]:[Egwa Target (Mbopd)]])</f>
        <v>48.719999999999992</v>
      </c>
      <c r="H6" s="1068">
        <v>18.398</v>
      </c>
      <c r="I6" s="1068">
        <v>3.75</v>
      </c>
      <c r="J6" s="1068">
        <v>4.601</v>
      </c>
      <c r="K6" s="1069">
        <v>2.3460000000000001</v>
      </c>
      <c r="L6" s="1122">
        <f t="shared" si="0"/>
        <v>29.094999999999999</v>
      </c>
      <c r="M6" s="1126">
        <v>0</v>
      </c>
      <c r="N6" s="1124">
        <f>Table2523467891011101213121412151615171819202122[[#This Row],[Jones Creek Target (Mbopd)]]-Table2523467891011101213121412151615171819202122[[#This Row],[Jones Creek (Mbopd)]]</f>
        <v>2.6419999999999995</v>
      </c>
      <c r="O6" s="1044">
        <f>Table2523467891011101213121412151615171819202122[[#This Row],[Odidi Target (Mbopd)]]-Table2523467891011101213121412151615171819202122[[#This Row],[Odidi (Mbopd)]]</f>
        <v>11.45</v>
      </c>
      <c r="P6" s="1044">
        <f>Table2523467891011101213121412151615171819202122[[#This Row],[Batan Target (Mbopd)]]-Table2523467891011101213121412151615171819202122[[#This Row],[Batan (Mbopd)]]</f>
        <v>4.2990000000000004</v>
      </c>
      <c r="Q6" s="1044">
        <f>Table2523467891011101213121412151615171819202122[[#This Row],[Egwa Target (Mbopd)]]-Table2523467891011101213121412151615171819202122[[#This Row],[Egwa (Mbopd)]]</f>
        <v>1.234</v>
      </c>
      <c r="R6" s="1043">
        <v>10.39</v>
      </c>
      <c r="S6" s="1044">
        <v>7.38</v>
      </c>
      <c r="T6" s="1044">
        <v>2.5</v>
      </c>
      <c r="U6" s="1045">
        <v>2.25</v>
      </c>
      <c r="V6" s="1046">
        <v>0.84</v>
      </c>
      <c r="W6" s="1044">
        <v>0</v>
      </c>
      <c r="X6" s="1044">
        <v>1</v>
      </c>
      <c r="Y6" s="1045">
        <v>0</v>
      </c>
      <c r="Z6" s="1046">
        <f>+Table2523467891011101213121412151615171819202122[[#This Row],[J/C Prod gas (MMscf)]]-Table2523467891011101213121412151615171819202122[[#This Row],[J/C Utilised gas (MMscf)]]</f>
        <v>9.5500000000000007</v>
      </c>
      <c r="AA6" s="1044">
        <f>+Table2523467891011101213121412151615171819202122[[#This Row],[Odid Prod gas (MMscf)]]-Table2523467891011101213121412151615171819202122[[#This Row],[Gas Export (MMscf/d)]]</f>
        <v>7.38</v>
      </c>
      <c r="AB6" s="1044">
        <f>+Table2523467891011101213121412151615171819202122[[#This Row],[Batn Prod gas (MMscf)]]-Table2523467891011101213121412151615171819202122[[#This Row],[Batn Utilised gas (MMscf)]]</f>
        <v>1.5</v>
      </c>
      <c r="AC6" s="1044">
        <f>+Table2523467891011101213121412151615171819202122[[#This Row],[Egwa Prod gas (MMscf)]]-Table2523467891011101213121412151615171819202122[[#This Row],[Egwa Utilised gas (MMscf)]]</f>
        <v>2.25</v>
      </c>
      <c r="AD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22.52</v>
      </c>
      <c r="AE6" s="1044">
        <f>+Table2523467891011101213121412151615171819202122[[#This Row],[Gas Export (MMscf/d)]]</f>
        <v>0</v>
      </c>
      <c r="AF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20.68</v>
      </c>
      <c r="AH6" s="142"/>
    </row>
    <row r="7" spans="2:41" ht="21.6">
      <c r="B7" s="716">
        <v>44591</v>
      </c>
      <c r="C7" s="749">
        <v>21.04</v>
      </c>
      <c r="D7" s="750">
        <v>15.2</v>
      </c>
      <c r="E7" s="751">
        <v>8.9</v>
      </c>
      <c r="F7" s="749">
        <v>3.58</v>
      </c>
      <c r="G7" s="1042">
        <f>SUM(Table2523467891011101213121412151615171819202122[[#This Row],[Jones Creek Target (Mbopd)]:[Egwa Target (Mbopd)]])</f>
        <v>48.719999999999992</v>
      </c>
      <c r="H7" s="1068">
        <v>18.460999999999999</v>
      </c>
      <c r="I7" s="1068">
        <v>4.2949999999999999</v>
      </c>
      <c r="J7" s="1068">
        <v>4.5060000000000002</v>
      </c>
      <c r="K7" s="1069">
        <v>2.3759999999999999</v>
      </c>
      <c r="L7" s="1122">
        <f t="shared" si="0"/>
        <v>29.638000000000002</v>
      </c>
      <c r="M7" s="1126">
        <v>0</v>
      </c>
      <c r="N7" s="1124">
        <f>Table2523467891011101213121412151615171819202122[[#This Row],[Jones Creek Target (Mbopd)]]-Table2523467891011101213121412151615171819202122[[#This Row],[Jones Creek (Mbopd)]]</f>
        <v>2.5790000000000006</v>
      </c>
      <c r="O7" s="1044">
        <f>Table2523467891011101213121412151615171819202122[[#This Row],[Odidi Target (Mbopd)]]-Table2523467891011101213121412151615171819202122[[#This Row],[Odidi (Mbopd)]]</f>
        <v>10.904999999999999</v>
      </c>
      <c r="P7" s="1044">
        <f>Table2523467891011101213121412151615171819202122[[#This Row],[Batan Target (Mbopd)]]-Table2523467891011101213121412151615171819202122[[#This Row],[Batan (Mbopd)]]</f>
        <v>4.3940000000000001</v>
      </c>
      <c r="Q7" s="1044">
        <f>Table2523467891011101213121412151615171819202122[[#This Row],[Egwa Target (Mbopd)]]-Table2523467891011101213121412151615171819202122[[#This Row],[Egwa (Mbopd)]]</f>
        <v>1.2040000000000002</v>
      </c>
      <c r="R7" s="1043">
        <v>9.93</v>
      </c>
      <c r="S7" s="1044">
        <v>11.66</v>
      </c>
      <c r="T7" s="1044">
        <v>2.5</v>
      </c>
      <c r="U7" s="1045">
        <v>2.2599999999999998</v>
      </c>
      <c r="V7" s="1046">
        <v>0.84</v>
      </c>
      <c r="W7" s="1044">
        <v>0</v>
      </c>
      <c r="X7" s="1044">
        <v>1</v>
      </c>
      <c r="Y7" s="1045">
        <v>0</v>
      </c>
      <c r="Z7" s="1046">
        <f>+Table2523467891011101213121412151615171819202122[[#This Row],[J/C Prod gas (MMscf)]]-Table2523467891011101213121412151615171819202122[[#This Row],[J/C Utilised gas (MMscf)]]</f>
        <v>9.09</v>
      </c>
      <c r="AA7" s="1044">
        <f>+Table2523467891011101213121412151615171819202122[[#This Row],[Odid Prod gas (MMscf)]]-Table2523467891011101213121412151615171819202122[[#This Row],[Gas Export (MMscf/d)]]</f>
        <v>11.66</v>
      </c>
      <c r="AB7" s="1044">
        <f>+Table2523467891011101213121412151615171819202122[[#This Row],[Batn Prod gas (MMscf)]]-Table2523467891011101213121412151615171819202122[[#This Row],[Batn Utilised gas (MMscf)]]</f>
        <v>1.5</v>
      </c>
      <c r="AC7" s="1044">
        <f>+Table2523467891011101213121412151615171819202122[[#This Row],[Egwa Prod gas (MMscf)]]-Table2523467891011101213121412151615171819202122[[#This Row],[Egwa Utilised gas (MMscf)]]</f>
        <v>2.2599999999999998</v>
      </c>
      <c r="AD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26.35</v>
      </c>
      <c r="AE7" s="1044">
        <f>+Table2523467891011101213121412151615171819202122[[#This Row],[Gas Export (MMscf/d)]]</f>
        <v>0</v>
      </c>
      <c r="AF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24.509999999999998</v>
      </c>
      <c r="AH7" s="142"/>
    </row>
    <row r="8" spans="2:41" ht="24.6">
      <c r="B8" s="716">
        <v>44592</v>
      </c>
      <c r="C8" s="749">
        <v>20.47</v>
      </c>
      <c r="D8" s="750">
        <v>15.22</v>
      </c>
      <c r="E8" s="750">
        <v>5.15</v>
      </c>
      <c r="F8" s="749">
        <v>3.58</v>
      </c>
      <c r="G8" s="1042">
        <f>SUM(Table2523467891011101213121412151615171819202122[[#This Row],[Jones Creek Target (Mbopd)]:[Egwa Target (Mbopd)]])</f>
        <v>44.419999999999995</v>
      </c>
      <c r="H8" s="1068">
        <v>18.166</v>
      </c>
      <c r="I8" s="1068">
        <v>8.4760000000000009</v>
      </c>
      <c r="J8" s="1068">
        <v>4.5709999999999997</v>
      </c>
      <c r="K8" s="1069">
        <v>2.363</v>
      </c>
      <c r="L8" s="1122">
        <f t="shared" si="0"/>
        <v>33.576000000000001</v>
      </c>
      <c r="M8" s="1126">
        <v>0</v>
      </c>
      <c r="N8" s="1124">
        <f>Table2523467891011101213121412151615171819202122[[#This Row],[Jones Creek Target (Mbopd)]]-Table2523467891011101213121412151615171819202122[[#This Row],[Jones Creek (Mbopd)]]</f>
        <v>2.3039999999999985</v>
      </c>
      <c r="O8" s="1044">
        <f>Table2523467891011101213121412151615171819202122[[#This Row],[Odidi Target (Mbopd)]]-Table2523467891011101213121412151615171819202122[[#This Row],[Odidi (Mbopd)]]</f>
        <v>6.7439999999999998</v>
      </c>
      <c r="P8" s="1044">
        <f>Table2523467891011101213121412151615171819202122[[#This Row],[Batan Target (Mbopd)]]-Table2523467891011101213121412151615171819202122[[#This Row],[Batan (Mbopd)]]</f>
        <v>0.57900000000000063</v>
      </c>
      <c r="Q8" s="1044">
        <f>Table2523467891011101213121412151615171819202122[[#This Row],[Egwa Target (Mbopd)]]-Table2523467891011101213121412151615171819202122[[#This Row],[Egwa (Mbopd)]]</f>
        <v>1.2170000000000001</v>
      </c>
      <c r="R8" s="1043">
        <v>9.82</v>
      </c>
      <c r="S8" s="1044">
        <v>20.61</v>
      </c>
      <c r="T8" s="1044">
        <v>2.5</v>
      </c>
      <c r="U8" s="1045">
        <v>2.2999999999999998</v>
      </c>
      <c r="V8" s="1046">
        <v>0.84</v>
      </c>
      <c r="W8" s="1044">
        <v>0</v>
      </c>
      <c r="X8" s="1044">
        <v>1</v>
      </c>
      <c r="Y8" s="1045">
        <v>0</v>
      </c>
      <c r="Z8" s="1046">
        <f>+Table2523467891011101213121412151615171819202122[[#This Row],[J/C Prod gas (MMscf)]]-Table2523467891011101213121412151615171819202122[[#This Row],[J/C Utilised gas (MMscf)]]</f>
        <v>8.98</v>
      </c>
      <c r="AA8" s="1044">
        <f>+Table2523467891011101213121412151615171819202122[[#This Row],[Odid Prod gas (MMscf)]]-Table2523467891011101213121412151615171819202122[[#This Row],[Gas Export (MMscf/d)]]</f>
        <v>20.61</v>
      </c>
      <c r="AB8" s="1044">
        <f>+Table2523467891011101213121412151615171819202122[[#This Row],[Batn Prod gas (MMscf)]]-Table2523467891011101213121412151615171819202122[[#This Row],[Batn Utilised gas (MMscf)]]</f>
        <v>1.5</v>
      </c>
      <c r="AC8" s="1044">
        <f>+Table2523467891011101213121412151615171819202122[[#This Row],[Egwa Prod gas (MMscf)]]-Table2523467891011101213121412151615171819202122[[#This Row],[Egwa Utilised gas (MMscf)]]</f>
        <v>2.2999999999999998</v>
      </c>
      <c r="AD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35.229999999999997</v>
      </c>
      <c r="AE8" s="1044">
        <f>+Table2523467891011101213121412151615171819202122[[#This Row],[Gas Export (MMscf/d)]]</f>
        <v>0</v>
      </c>
      <c r="AF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33.39</v>
      </c>
      <c r="AH8" s="142"/>
      <c r="AI8" s="142"/>
      <c r="AJ8" s="1351" t="s">
        <v>0</v>
      </c>
      <c r="AK8" s="1351"/>
      <c r="AL8" s="1351"/>
      <c r="AM8" s="1351"/>
      <c r="AN8" s="1351"/>
      <c r="AO8" s="1351"/>
    </row>
    <row r="9" spans="2:41" ht="43.15">
      <c r="B9" s="716">
        <v>44592</v>
      </c>
      <c r="C9" s="749">
        <v>20.47</v>
      </c>
      <c r="D9" s="750">
        <v>15.22</v>
      </c>
      <c r="E9" s="750">
        <v>5.15</v>
      </c>
      <c r="F9" s="749">
        <v>3.58</v>
      </c>
      <c r="G9" s="1042">
        <f>SUM(Table2523467891011101213121412151615171819202122[[#This Row],[Jones Creek Target (Mbopd)]:[Egwa Target (Mbopd)]])</f>
        <v>44.419999999999995</v>
      </c>
      <c r="H9" s="1067">
        <v>17.564</v>
      </c>
      <c r="I9" s="1068">
        <v>7.726</v>
      </c>
      <c r="J9" s="1069">
        <v>4.5629999999999997</v>
      </c>
      <c r="K9" s="1070">
        <v>2.3170000000000002</v>
      </c>
      <c r="L9" s="1122">
        <f t="shared" si="0"/>
        <v>32.17</v>
      </c>
      <c r="M9" s="1126">
        <v>0</v>
      </c>
      <c r="N9" s="1124">
        <f>Table2523467891011101213121412151615171819202122[[#This Row],[Jones Creek Target (Mbopd)]]-Table2523467891011101213121412151615171819202122[[#This Row],[Jones Creek (Mbopd)]]</f>
        <v>2.9059999999999988</v>
      </c>
      <c r="O9" s="1044">
        <f>Table2523467891011101213121412151615171819202122[[#This Row],[Odidi Target (Mbopd)]]-Table2523467891011101213121412151615171819202122[[#This Row],[Odidi (Mbopd)]]</f>
        <v>7.4940000000000007</v>
      </c>
      <c r="P9" s="1044">
        <f>Table2523467891011101213121412151615171819202122[[#This Row],[Batan Target (Mbopd)]]-Table2523467891011101213121412151615171819202122[[#This Row],[Batan (Mbopd)]]</f>
        <v>0.58700000000000063</v>
      </c>
      <c r="Q9" s="1044">
        <f>Table2523467891011101213121412151615171819202122[[#This Row],[Egwa Target (Mbopd)]]-Table2523467891011101213121412151615171819202122[[#This Row],[Egwa (Mbopd)]]</f>
        <v>1.2629999999999999</v>
      </c>
      <c r="R9" s="1043">
        <v>9.82</v>
      </c>
      <c r="S9" s="1044">
        <v>17.440000000000001</v>
      </c>
      <c r="T9" s="1044">
        <v>2.5</v>
      </c>
      <c r="U9" s="1045">
        <v>2.29</v>
      </c>
      <c r="V9" s="1046">
        <v>0.84</v>
      </c>
      <c r="W9" s="1044">
        <v>0</v>
      </c>
      <c r="X9" s="1044">
        <v>1</v>
      </c>
      <c r="Y9" s="1045">
        <v>0</v>
      </c>
      <c r="Z9" s="1046">
        <f>+Table2523467891011101213121412151615171819202122[[#This Row],[J/C Prod gas (MMscf)]]-Table2523467891011101213121412151615171819202122[[#This Row],[J/C Utilised gas (MMscf)]]</f>
        <v>8.98</v>
      </c>
      <c r="AA9" s="1044">
        <f>+Table2523467891011101213121412151615171819202122[[#This Row],[Odid Prod gas (MMscf)]]-Table2523467891011101213121412151615171819202122[[#This Row],[Gas Export (MMscf/d)]]</f>
        <v>17.440000000000001</v>
      </c>
      <c r="AB9" s="1044">
        <f>+Table2523467891011101213121412151615171819202122[[#This Row],[Batn Prod gas (MMscf)]]-Table2523467891011101213121412151615171819202122[[#This Row],[Batn Utilised gas (MMscf)]]</f>
        <v>1.5</v>
      </c>
      <c r="AC9" s="1044">
        <f>+Table2523467891011101213121412151615171819202122[[#This Row],[Egwa Prod gas (MMscf)]]-Table2523467891011101213121412151615171819202122[[#This Row],[Egwa Utilised gas (MMscf)]]</f>
        <v>2.29</v>
      </c>
      <c r="AD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32.050000000000004</v>
      </c>
      <c r="AE9" s="1044">
        <f>+Table2523467891011101213121412151615171819202122[[#This Row],[Gas Export (MMscf/d)]]</f>
        <v>0</v>
      </c>
      <c r="AF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30.21</v>
      </c>
      <c r="AH9" s="142"/>
      <c r="AI9" s="142"/>
      <c r="AJ9" s="1038" t="s">
        <v>14</v>
      </c>
      <c r="AK9" s="1038" t="s">
        <v>147</v>
      </c>
      <c r="AL9" s="1038" t="s">
        <v>147</v>
      </c>
      <c r="AM9" s="1038" t="s">
        <v>147</v>
      </c>
      <c r="AN9" s="1038" t="s">
        <v>147</v>
      </c>
      <c r="AO9" s="1038" t="s">
        <v>147</v>
      </c>
    </row>
    <row r="10" spans="2:41" ht="36" customHeight="1">
      <c r="B10" s="716">
        <v>44593</v>
      </c>
      <c r="C10" s="749">
        <v>20.47</v>
      </c>
      <c r="D10" s="750">
        <v>15.22</v>
      </c>
      <c r="E10" s="750">
        <v>5.15</v>
      </c>
      <c r="F10" s="749">
        <v>3.58</v>
      </c>
      <c r="G10" s="1042">
        <f>SUM(Table2523467891011101213121412151615171819202122[[#This Row],[Jones Creek Target (Mbopd)]:[Egwa Target (Mbopd)]])</f>
        <v>44.419999999999995</v>
      </c>
      <c r="H10" s="1067">
        <v>17.562999999999999</v>
      </c>
      <c r="I10" s="1042">
        <v>2.8</v>
      </c>
      <c r="J10" s="1069">
        <v>4.593</v>
      </c>
      <c r="K10" s="1070">
        <v>2.3260000000000001</v>
      </c>
      <c r="L10" s="1122">
        <f t="shared" si="0"/>
        <v>27.282</v>
      </c>
      <c r="M10" s="1126">
        <v>0</v>
      </c>
      <c r="N10" s="1124">
        <f>Table2523467891011101213121412151615171819202122[[#This Row],[Jones Creek Target (Mbopd)]]-Table2523467891011101213121412151615171819202122[[#This Row],[Jones Creek (Mbopd)]]</f>
        <v>2.907</v>
      </c>
      <c r="O10" s="1044">
        <v>5.01</v>
      </c>
      <c r="P10" s="1044">
        <f>Table2523467891011101213121412151615171819202122[[#This Row],[Batan Target (Mbopd)]]-Table2523467891011101213121412151615171819202122[[#This Row],[Batan (Mbopd)]]</f>
        <v>0.55700000000000038</v>
      </c>
      <c r="Q10" s="1044">
        <f>Table2523467891011101213121412151615171819202122[[#This Row],[Egwa Target (Mbopd)]]-Table2523467891011101213121412151615171819202122[[#This Row],[Egwa (Mbopd)]]</f>
        <v>1.254</v>
      </c>
      <c r="R10" s="1043">
        <v>9.82</v>
      </c>
      <c r="S10" s="1127">
        <v>5.01</v>
      </c>
      <c r="T10" s="1044">
        <v>2.5</v>
      </c>
      <c r="U10" s="1045">
        <v>2.2999999999999998</v>
      </c>
      <c r="V10" s="1046">
        <v>0.84</v>
      </c>
      <c r="W10" s="1044">
        <v>0</v>
      </c>
      <c r="X10" s="1044">
        <v>1</v>
      </c>
      <c r="Y10" s="1045">
        <v>0</v>
      </c>
      <c r="Z10" s="1046">
        <f>+Table2523467891011101213121412151615171819202122[[#This Row],[J/C Prod gas (MMscf)]]-Table2523467891011101213121412151615171819202122[[#This Row],[J/C Utilised gas (MMscf)]]</f>
        <v>8.98</v>
      </c>
      <c r="AA10" s="1044">
        <f>+Table2523467891011101213121412151615171819202122[[#This Row],[Odid Prod gas (MMscf)]]-Table2523467891011101213121412151615171819202122[[#This Row],[Gas Export (MMscf/d)]]</f>
        <v>5.01</v>
      </c>
      <c r="AB10" s="1044">
        <f>+Table2523467891011101213121412151615171819202122[[#This Row],[Batn Prod gas (MMscf)]]-Table2523467891011101213121412151615171819202122[[#This Row],[Batn Utilised gas (MMscf)]]</f>
        <v>1.5</v>
      </c>
      <c r="AC10" s="1044">
        <f>+Table2523467891011101213121412151615171819202122[[#This Row],[Egwa Prod gas (MMscf)]]-Table2523467891011101213121412151615171819202122[[#This Row],[Egwa Utilised gas (MMscf)]]</f>
        <v>2.2999999999999998</v>
      </c>
      <c r="AD10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19.63</v>
      </c>
      <c r="AE10" s="1044">
        <f>+Table2523467891011101213121412151615171819202122[[#This Row],[Gas Export (MMscf/d)]]</f>
        <v>0</v>
      </c>
      <c r="AF10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0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17.79</v>
      </c>
      <c r="AH10" s="142"/>
      <c r="AI10" s="1037"/>
      <c r="AJ10" s="1081" t="s">
        <v>148</v>
      </c>
      <c r="AK10" s="1082">
        <f>B41</f>
        <v>44624</v>
      </c>
      <c r="AL10" s="1082">
        <f t="shared" ref="AL10:AN10" si="1">AK10+1</f>
        <v>44625</v>
      </c>
      <c r="AM10" s="1082">
        <f t="shared" si="1"/>
        <v>44626</v>
      </c>
      <c r="AN10" s="1082">
        <f t="shared" si="1"/>
        <v>44627</v>
      </c>
      <c r="AO10" s="1082">
        <f>AN10+1</f>
        <v>44628</v>
      </c>
    </row>
    <row r="11" spans="2:41" ht="21.6">
      <c r="B11" s="716">
        <v>44594</v>
      </c>
      <c r="C11" s="749">
        <v>20.47</v>
      </c>
      <c r="D11" s="750">
        <v>15.22</v>
      </c>
      <c r="E11" s="750">
        <v>5.15</v>
      </c>
      <c r="F11" s="749">
        <v>3.58</v>
      </c>
      <c r="G11" s="1042">
        <f>SUM(Table2523467891011101213121412151615171819202122[[#This Row],[Jones Creek Target (Mbopd)]:[Egwa Target (Mbopd)]])</f>
        <v>44.419999999999995</v>
      </c>
      <c r="H11" s="752">
        <v>17.317</v>
      </c>
      <c r="I11" s="752">
        <v>0</v>
      </c>
      <c r="J11" s="1062">
        <v>4.5839999999999996</v>
      </c>
      <c r="K11" s="1061">
        <v>2.3759999999999999</v>
      </c>
      <c r="L11" s="1122">
        <f t="shared" si="0"/>
        <v>24.277000000000001</v>
      </c>
      <c r="M11" s="1126">
        <v>0</v>
      </c>
      <c r="N11" s="1124">
        <f>Table2523467891011101213121412151615171819202122[[#This Row],[Jones Creek Target (Mbopd)]]-Table2523467891011101213121412151615171819202122[[#This Row],[Jones Creek (Mbopd)]]</f>
        <v>3.1529999999999987</v>
      </c>
      <c r="O11" s="1044">
        <f>Table2523467891011101213121412151615171819202122[[#This Row],[Odidi Target (Mbopd)]]-Table2523467891011101213121412151615171819202122[[#This Row],[Odidi (Mbopd)]]</f>
        <v>15.22</v>
      </c>
      <c r="P11" s="1044">
        <f>Table2523467891011101213121412151615171819202122[[#This Row],[Batan Target (Mbopd)]]-Table2523467891011101213121412151615171819202122[[#This Row],[Batan (Mbopd)]]</f>
        <v>0.56600000000000072</v>
      </c>
      <c r="Q11" s="1044">
        <f>Table2523467891011101213121412151615171819202122[[#This Row],[Egwa Target (Mbopd)]]-Table2523467891011101213121412151615171819202122[[#This Row],[Egwa (Mbopd)]]</f>
        <v>1.2040000000000002</v>
      </c>
      <c r="R11" s="1043">
        <v>9.82</v>
      </c>
      <c r="S11" s="723">
        <v>0</v>
      </c>
      <c r="T11" s="1044">
        <v>2.5</v>
      </c>
      <c r="U11" s="747">
        <v>2.33</v>
      </c>
      <c r="V11" s="1046">
        <v>0.84</v>
      </c>
      <c r="W11" s="1044">
        <v>0</v>
      </c>
      <c r="X11" s="1044">
        <v>1</v>
      </c>
      <c r="Y11" s="1045">
        <v>0</v>
      </c>
      <c r="Z11" s="1046">
        <f>+Table2523467891011101213121412151615171819202122[[#This Row],[J/C Prod gas (MMscf)]]-Table2523467891011101213121412151615171819202122[[#This Row],[J/C Utilised gas (MMscf)]]</f>
        <v>8.98</v>
      </c>
      <c r="AA11" s="1044">
        <f>+Table2523467891011101213121412151615171819202122[[#This Row],[Odid Prod gas (MMscf)]]-Table2523467891011101213121412151615171819202122[[#This Row],[Gas Export (MMscf/d)]]</f>
        <v>0</v>
      </c>
      <c r="AB11" s="1044">
        <f>+Table2523467891011101213121412151615171819202122[[#This Row],[Batn Prod gas (MMscf)]]-Table2523467891011101213121412151615171819202122[[#This Row],[Batn Utilised gas (MMscf)]]</f>
        <v>1.5</v>
      </c>
      <c r="AC11" s="1044">
        <f>+Table2523467891011101213121412151615171819202122[[#This Row],[Egwa Prod gas (MMscf)]]-Table2523467891011101213121412151615171819202122[[#This Row],[Egwa Utilised gas (MMscf)]]</f>
        <v>2.33</v>
      </c>
      <c r="AD11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14.65</v>
      </c>
      <c r="AE11" s="1044">
        <f>+Table2523467891011101213121412151615171819202122[[#This Row],[Gas Export (MMscf/d)]]</f>
        <v>0</v>
      </c>
      <c r="AF11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1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12.81</v>
      </c>
      <c r="AH11" s="142"/>
      <c r="AI11" s="1080" t="s">
        <v>17</v>
      </c>
      <c r="AJ11" s="1125">
        <v>20.47</v>
      </c>
      <c r="AK11" s="1044">
        <v>0</v>
      </c>
      <c r="AL11" s="1044">
        <v>0</v>
      </c>
      <c r="AM11" s="1044">
        <v>0</v>
      </c>
      <c r="AN11" s="1044">
        <v>8.4139999999999997</v>
      </c>
      <c r="AO11" s="1044">
        <v>8.41</v>
      </c>
    </row>
    <row r="12" spans="2:41" ht="21.6">
      <c r="B12" s="716">
        <v>44595</v>
      </c>
      <c r="C12" s="749">
        <v>20.47</v>
      </c>
      <c r="D12" s="750">
        <v>15.22</v>
      </c>
      <c r="E12" s="750">
        <v>5.15</v>
      </c>
      <c r="F12" s="749">
        <v>3.58</v>
      </c>
      <c r="G12" s="1042">
        <f>SUM(Table2523467891011101213121412151615171819202122[[#This Row],[Jones Creek Target (Mbopd)]:[Egwa Target (Mbopd)]])</f>
        <v>44.419999999999995</v>
      </c>
      <c r="H12" s="1068">
        <v>17.809000000000001</v>
      </c>
      <c r="I12" s="1068">
        <v>0</v>
      </c>
      <c r="J12" s="1132">
        <v>4.5830000000000002</v>
      </c>
      <c r="K12" s="1069">
        <v>2.2770000000000001</v>
      </c>
      <c r="L12" s="1122">
        <f t="shared" ref="L12:L15" si="2">H12+I12+J12+K12</f>
        <v>24.669000000000004</v>
      </c>
      <c r="M12" s="1126">
        <v>0</v>
      </c>
      <c r="N12" s="1124">
        <f>Table2523467891011101213121412151615171819202122[[#This Row],[Jones Creek Target (Mbopd)]]-Table2523467891011101213121412151615171819202122[[#This Row],[Jones Creek (Mbopd)]]</f>
        <v>2.6609999999999978</v>
      </c>
      <c r="O12" s="1044">
        <f>Table2523467891011101213121412151615171819202122[[#This Row],[Odidi Target (Mbopd)]]-Table2523467891011101213121412151615171819202122[[#This Row],[Odidi (Mbopd)]]</f>
        <v>15.22</v>
      </c>
      <c r="P12" s="1044">
        <f>Table2523467891011101213121412151615171819202122[[#This Row],[Batan Target (Mbopd)]]-Table2523467891011101213121412151615171819202122[[#This Row],[Batan (Mbopd)]]</f>
        <v>0.56700000000000017</v>
      </c>
      <c r="Q12" s="1044">
        <f>Table2523467891011101213121412151615171819202122[[#This Row],[Egwa Target (Mbopd)]]-Table2523467891011101213121412151615171819202122[[#This Row],[Egwa (Mbopd)]]</f>
        <v>1.3029999999999999</v>
      </c>
      <c r="R12" s="1043">
        <v>9.82</v>
      </c>
      <c r="S12" s="1044">
        <v>0</v>
      </c>
      <c r="T12" s="1044">
        <v>2.5</v>
      </c>
      <c r="U12" s="1045">
        <v>2.36</v>
      </c>
      <c r="V12" s="1046">
        <v>0.84</v>
      </c>
      <c r="W12" s="1044">
        <v>0</v>
      </c>
      <c r="X12" s="1044">
        <v>1</v>
      </c>
      <c r="Y12" s="1045">
        <v>0</v>
      </c>
      <c r="Z12" s="1046">
        <f>+Table2523467891011101213121412151615171819202122[[#This Row],[J/C Prod gas (MMscf)]]-Table2523467891011101213121412151615171819202122[[#This Row],[J/C Utilised gas (MMscf)]]</f>
        <v>8.98</v>
      </c>
      <c r="AA12" s="1044">
        <f>+Table2523467891011101213121412151615171819202122[[#This Row],[Odid Prod gas (MMscf)]]-Table2523467891011101213121412151615171819202122[[#This Row],[Gas Export (MMscf/d)]]</f>
        <v>0</v>
      </c>
      <c r="AB12" s="1044">
        <f>+Table2523467891011101213121412151615171819202122[[#This Row],[Batn Prod gas (MMscf)]]-Table2523467891011101213121412151615171819202122[[#This Row],[Batn Utilised gas (MMscf)]]</f>
        <v>1.5</v>
      </c>
      <c r="AC12" s="1044">
        <f>+Table2523467891011101213121412151615171819202122[[#This Row],[Egwa Prod gas (MMscf)]]-Table2523467891011101213121412151615171819202122[[#This Row],[Egwa Utilised gas (MMscf)]]</f>
        <v>2.36</v>
      </c>
      <c r="AD12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14.68</v>
      </c>
      <c r="AE12" s="1044">
        <f>+Table2523467891011101213121412151615171819202122[[#This Row],[Gas Export (MMscf/d)]]</f>
        <v>0</v>
      </c>
      <c r="AF12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2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12.84</v>
      </c>
      <c r="AI12" s="1080" t="s">
        <v>19</v>
      </c>
      <c r="AJ12" s="1125">
        <v>15.22</v>
      </c>
      <c r="AK12" s="1044">
        <v>9.1159999999999997</v>
      </c>
      <c r="AL12" s="1044">
        <v>5.1360000000000001</v>
      </c>
      <c r="AM12" s="1044">
        <v>0</v>
      </c>
      <c r="AN12" s="1044">
        <v>0</v>
      </c>
      <c r="AO12" s="1044">
        <v>0</v>
      </c>
    </row>
    <row r="13" spans="2:41" ht="21.6">
      <c r="B13" s="716">
        <v>44596</v>
      </c>
      <c r="C13" s="749">
        <v>20.47</v>
      </c>
      <c r="D13" s="750">
        <v>15.22</v>
      </c>
      <c r="E13" s="750">
        <v>5.15</v>
      </c>
      <c r="F13" s="749">
        <v>3.58</v>
      </c>
      <c r="G13" s="1042">
        <f>SUM(Table2523467891011101213121412151615171819202122[[#This Row],[Jones Creek Target (Mbopd)]:[Egwa Target (Mbopd)]])</f>
        <v>44.419999999999995</v>
      </c>
      <c r="H13" s="1068">
        <v>17.079000000000001</v>
      </c>
      <c r="I13" s="1068">
        <v>0</v>
      </c>
      <c r="J13" s="749">
        <v>4.5869999999999997</v>
      </c>
      <c r="K13" s="1069">
        <v>2.371</v>
      </c>
      <c r="L13" s="1122">
        <f t="shared" si="2"/>
        <v>24.036999999999999</v>
      </c>
      <c r="M13" s="1126">
        <v>0</v>
      </c>
      <c r="N13" s="1124">
        <f>Table2523467891011101213121412151615171819202122[[#This Row],[Jones Creek Target (Mbopd)]]-Table2523467891011101213121412151615171819202122[[#This Row],[Jones Creek (Mbopd)]]</f>
        <v>3.3909999999999982</v>
      </c>
      <c r="O13" s="1044">
        <f>Table2523467891011101213121412151615171819202122[[#This Row],[Odidi Target (Mbopd)]]-Table2523467891011101213121412151615171819202122[[#This Row],[Odidi (Mbopd)]]</f>
        <v>15.22</v>
      </c>
      <c r="P13" s="1044">
        <f>Table2523467891011101213121412151615171819202122[[#This Row],[Batan Target (Mbopd)]]-Table2523467891011101213121412151615171819202122[[#This Row],[Batan (Mbopd)]]</f>
        <v>0.56300000000000061</v>
      </c>
      <c r="Q13" s="1044">
        <f>Table2523467891011101213121412151615171819202122[[#This Row],[Egwa Target (Mbopd)]]-Table2523467891011101213121412151615171819202122[[#This Row],[Egwa (Mbopd)]]</f>
        <v>1.2090000000000001</v>
      </c>
      <c r="R13" s="1043">
        <v>9.7100000000000009</v>
      </c>
      <c r="S13" s="1044">
        <v>0</v>
      </c>
      <c r="T13" s="1044">
        <v>1.5</v>
      </c>
      <c r="U13" s="1045">
        <v>2.37</v>
      </c>
      <c r="V13" s="1046">
        <v>0.84</v>
      </c>
      <c r="W13" s="1044">
        <v>0</v>
      </c>
      <c r="X13" s="1044">
        <v>1</v>
      </c>
      <c r="Y13" s="1045">
        <v>0</v>
      </c>
      <c r="Z13" s="1046">
        <f>+Table2523467891011101213121412151615171819202122[[#This Row],[J/C Prod gas (MMscf)]]-Table2523467891011101213121412151615171819202122[[#This Row],[J/C Utilised gas (MMscf)]]</f>
        <v>8.870000000000001</v>
      </c>
      <c r="AA13" s="1044">
        <f>+Table2523467891011101213121412151615171819202122[[#This Row],[Odid Prod gas (MMscf)]]-Table2523467891011101213121412151615171819202122[[#This Row],[Gas Export (MMscf/d)]]</f>
        <v>0</v>
      </c>
      <c r="AB13" s="1044">
        <f>+Table2523467891011101213121412151615171819202122[[#This Row],[Batn Prod gas (MMscf)]]-Table2523467891011101213121412151615171819202122[[#This Row],[Batn Utilised gas (MMscf)]]</f>
        <v>0.5</v>
      </c>
      <c r="AC13" s="1044">
        <f>+Table2523467891011101213121412151615171819202122[[#This Row],[Egwa Prod gas (MMscf)]]-Table2523467891011101213121412151615171819202122[[#This Row],[Egwa Utilised gas (MMscf)]]</f>
        <v>2.37</v>
      </c>
      <c r="AD13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13.580000000000002</v>
      </c>
      <c r="AE13" s="1044">
        <f>+Table2523467891011101213121412151615171819202122[[#This Row],[Gas Export (MMscf/d)]]</f>
        <v>0</v>
      </c>
      <c r="AF13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3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11.740000000000002</v>
      </c>
      <c r="AI13" s="1080" t="s">
        <v>16</v>
      </c>
      <c r="AJ13" s="1125">
        <v>5.15</v>
      </c>
      <c r="AK13" s="1044">
        <v>0</v>
      </c>
      <c r="AL13" s="1044">
        <v>0</v>
      </c>
      <c r="AM13" s="1044">
        <v>0</v>
      </c>
      <c r="AN13" s="1044">
        <v>0</v>
      </c>
      <c r="AO13" s="1044">
        <v>0</v>
      </c>
    </row>
    <row r="14" spans="2:41" ht="21.6">
      <c r="B14" s="716">
        <v>44597</v>
      </c>
      <c r="C14" s="749">
        <v>20.47</v>
      </c>
      <c r="D14" s="750">
        <v>15.22</v>
      </c>
      <c r="E14" s="750">
        <v>5.15</v>
      </c>
      <c r="F14" s="749">
        <v>3.58</v>
      </c>
      <c r="G14" s="1042">
        <f>SUM(Table2523467891011101213121412151615171819202122[[#This Row],[Jones Creek Target (Mbopd)]:[Egwa Target (Mbopd)]])</f>
        <v>44.419999999999995</v>
      </c>
      <c r="H14" s="1068">
        <v>19.164999999999999</v>
      </c>
      <c r="I14" s="1042">
        <v>0</v>
      </c>
      <c r="J14" s="1068">
        <v>4.5890000000000004</v>
      </c>
      <c r="K14" s="1069">
        <v>2.4220000000000002</v>
      </c>
      <c r="L14" s="1122">
        <f t="shared" si="2"/>
        <v>26.175999999999998</v>
      </c>
      <c r="M14" s="1126">
        <v>0</v>
      </c>
      <c r="N14" s="1124">
        <f>Table2523467891011101213121412151615171819202122[[#This Row],[Jones Creek Target (Mbopd)]]-Table2523467891011101213121412151615171819202122[[#This Row],[Jones Creek (Mbopd)]]</f>
        <v>1.3049999999999997</v>
      </c>
      <c r="O14" s="1044">
        <f>Table2523467891011101213121412151615171819202122[[#This Row],[Odidi Target (Mbopd)]]-Table2523467891011101213121412151615171819202122[[#This Row],[Odidi (Mbopd)]]</f>
        <v>15.22</v>
      </c>
      <c r="P14" s="1044">
        <f>Table2523467891011101213121412151615171819202122[[#This Row],[Batan Target (Mbopd)]]-Table2523467891011101213121412151615171819202122[[#This Row],[Batan (Mbopd)]]</f>
        <v>0.56099999999999994</v>
      </c>
      <c r="Q14" s="1044">
        <f>Table2523467891011101213121412151615171819202122[[#This Row],[Egwa Target (Mbopd)]]-Table2523467891011101213121412151615171819202122[[#This Row],[Egwa (Mbopd)]]</f>
        <v>1.1579999999999999</v>
      </c>
      <c r="R14" s="1043">
        <v>9.68</v>
      </c>
      <c r="S14" s="1127">
        <v>0</v>
      </c>
      <c r="T14" s="1044">
        <v>1.5</v>
      </c>
      <c r="U14" s="1128">
        <v>2.34</v>
      </c>
      <c r="V14" s="1046">
        <v>0.84</v>
      </c>
      <c r="W14" s="1044">
        <v>0</v>
      </c>
      <c r="X14" s="1044">
        <v>1</v>
      </c>
      <c r="Y14" s="1045">
        <v>0</v>
      </c>
      <c r="Z14" s="1046">
        <f>+Table2523467891011101213121412151615171819202122[[#This Row],[J/C Prod gas (MMscf)]]-Table2523467891011101213121412151615171819202122[[#This Row],[J/C Utilised gas (MMscf)]]</f>
        <v>8.84</v>
      </c>
      <c r="AA14" s="1044">
        <f>+Table2523467891011101213121412151615171819202122[[#This Row],[Odid Prod gas (MMscf)]]-Table2523467891011101213121412151615171819202122[[#This Row],[Gas Export (MMscf/d)]]</f>
        <v>0</v>
      </c>
      <c r="AB14" s="1044">
        <f>+Table2523467891011101213121412151615171819202122[[#This Row],[Batn Prod gas (MMscf)]]-Table2523467891011101213121412151615171819202122[[#This Row],[Batn Utilised gas (MMscf)]]</f>
        <v>0.5</v>
      </c>
      <c r="AC14" s="1044">
        <f>+Table2523467891011101213121412151615171819202122[[#This Row],[Egwa Prod gas (MMscf)]]-Table2523467891011101213121412151615171819202122[[#This Row],[Egwa Utilised gas (MMscf)]]</f>
        <v>2.34</v>
      </c>
      <c r="AD14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13.52</v>
      </c>
      <c r="AE14" s="1044">
        <f>+Table2523467891011101213121412151615171819202122[[#This Row],[Gas Export (MMscf/d)]]</f>
        <v>0</v>
      </c>
      <c r="AF14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4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11.68</v>
      </c>
      <c r="AI14" s="1080" t="s">
        <v>18</v>
      </c>
      <c r="AJ14" s="1125">
        <v>3.58</v>
      </c>
      <c r="AK14" s="1075">
        <v>2.2509999999999999</v>
      </c>
      <c r="AL14" s="1075">
        <v>2.2250000000000001</v>
      </c>
      <c r="AM14" s="1075">
        <v>2.226</v>
      </c>
      <c r="AN14" s="1075">
        <v>2.2360000000000002</v>
      </c>
      <c r="AO14" s="1075">
        <v>2.2690000000000001</v>
      </c>
    </row>
    <row r="15" spans="2:41" ht="21.6">
      <c r="B15" s="716">
        <v>44598</v>
      </c>
      <c r="C15" s="749">
        <v>20.47</v>
      </c>
      <c r="D15" s="750">
        <v>15.22</v>
      </c>
      <c r="E15" s="750">
        <v>5.15</v>
      </c>
      <c r="F15" s="749">
        <v>3.58</v>
      </c>
      <c r="G15" s="1042">
        <f>SUM(Table2523467891011101213121412151615171819202122[[#This Row],[Jones Creek Target (Mbopd)]:[Egwa Target (Mbopd)]])</f>
        <v>44.419999999999995</v>
      </c>
      <c r="H15" s="1068">
        <v>16.59</v>
      </c>
      <c r="I15" s="1068">
        <v>0</v>
      </c>
      <c r="J15" s="1068">
        <v>4.5869999999999997</v>
      </c>
      <c r="K15" s="1069">
        <v>2.407</v>
      </c>
      <c r="L15" s="1122">
        <f t="shared" si="2"/>
        <v>23.584</v>
      </c>
      <c r="M15" s="1126">
        <v>0</v>
      </c>
      <c r="N15" s="1124">
        <f>Table2523467891011101213121412151615171819202122[[#This Row],[Jones Creek Target (Mbopd)]]-Table2523467891011101213121412151615171819202122[[#This Row],[Jones Creek (Mbopd)]]</f>
        <v>3.879999999999999</v>
      </c>
      <c r="O15" s="1044">
        <f>Table2523467891011101213121412151615171819202122[[#This Row],[Odidi Target (Mbopd)]]-Table2523467891011101213121412151615171819202122[[#This Row],[Odidi (Mbopd)]]</f>
        <v>15.22</v>
      </c>
      <c r="P15" s="1044">
        <f>Table2523467891011101213121412151615171819202122[[#This Row],[Batan Target (Mbopd)]]-Table2523467891011101213121412151615171819202122[[#This Row],[Batan (Mbopd)]]</f>
        <v>0.56300000000000061</v>
      </c>
      <c r="Q15" s="1044">
        <f>Table2523467891011101213121412151615171819202122[[#This Row],[Egwa Target (Mbopd)]]-Table2523467891011101213121412151615171819202122[[#This Row],[Egwa (Mbopd)]]</f>
        <v>1.173</v>
      </c>
      <c r="R15" s="1043">
        <v>9.68</v>
      </c>
      <c r="S15" s="1127">
        <v>0</v>
      </c>
      <c r="T15" s="1044">
        <v>2.5</v>
      </c>
      <c r="U15" s="1045">
        <v>2.35</v>
      </c>
      <c r="V15" s="1046">
        <v>0.84</v>
      </c>
      <c r="W15" s="1044">
        <v>0</v>
      </c>
      <c r="X15" s="1044">
        <v>1</v>
      </c>
      <c r="Y15" s="1045">
        <v>0</v>
      </c>
      <c r="Z15" s="1046">
        <f>+Table2523467891011101213121412151615171819202122[[#This Row],[J/C Prod gas (MMscf)]]-Table2523467891011101213121412151615171819202122[[#This Row],[J/C Utilised gas (MMscf)]]</f>
        <v>8.84</v>
      </c>
      <c r="AA15" s="1044">
        <f>+Table2523467891011101213121412151615171819202122[[#This Row],[Odid Prod gas (MMscf)]]-Table2523467891011101213121412151615171819202122[[#This Row],[Gas Export (MMscf/d)]]</f>
        <v>0</v>
      </c>
      <c r="AB15" s="1044">
        <f>+Table2523467891011101213121412151615171819202122[[#This Row],[Batn Prod gas (MMscf)]]-Table2523467891011101213121412151615171819202122[[#This Row],[Batn Utilised gas (MMscf)]]</f>
        <v>1.5</v>
      </c>
      <c r="AC15" s="1044">
        <f>+Table2523467891011101213121412151615171819202122[[#This Row],[Egwa Prod gas (MMscf)]]-Table2523467891011101213121412151615171819202122[[#This Row],[Egwa Utilised gas (MMscf)]]</f>
        <v>2.35</v>
      </c>
      <c r="AD1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14.53</v>
      </c>
      <c r="AE15" s="1044">
        <f>+Table2523467891011101213121412151615171819202122[[#This Row],[Gas Export (MMscf/d)]]</f>
        <v>0</v>
      </c>
      <c r="AF1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12.69</v>
      </c>
      <c r="AI15" s="1080" t="s">
        <v>447</v>
      </c>
      <c r="AJ15" s="1129">
        <f>SUM(AJ11:AJ14)</f>
        <v>44.419999999999995</v>
      </c>
      <c r="AK15" s="1142">
        <f>AK11+AK12+AK13+AK14</f>
        <v>11.366999999999999</v>
      </c>
      <c r="AL15" s="1142">
        <f>AL11+AL12+AL13+AL14</f>
        <v>7.3610000000000007</v>
      </c>
      <c r="AM15" s="1142">
        <f>AM11+AM12+AM13+AM14</f>
        <v>2.226</v>
      </c>
      <c r="AN15" s="1142">
        <f>AN11+AN12+AN13+AN14</f>
        <v>10.65</v>
      </c>
      <c r="AO15" s="1142">
        <f>AO11+AO12+AO13+AO14</f>
        <v>10.679</v>
      </c>
    </row>
    <row r="16" spans="2:41" ht="21.6">
      <c r="B16" s="716">
        <v>44599</v>
      </c>
      <c r="C16" s="749">
        <v>20.47</v>
      </c>
      <c r="D16" s="750">
        <v>15.22</v>
      </c>
      <c r="E16" s="750">
        <v>5.15</v>
      </c>
      <c r="F16" s="749">
        <v>3.58</v>
      </c>
      <c r="G16" s="1042">
        <f>SUM(Table2523467891011101213121412151615171819202122[[#This Row],[Jones Creek Target (Mbopd)]:[Egwa Target (Mbopd)]])</f>
        <v>44.419999999999995</v>
      </c>
      <c r="H16" s="1068">
        <v>16.655000000000001</v>
      </c>
      <c r="I16" s="1068">
        <v>3.2730000000000001</v>
      </c>
      <c r="J16" s="1042">
        <v>4.5389999999999997</v>
      </c>
      <c r="K16" s="1069">
        <v>2.4049999999999998</v>
      </c>
      <c r="L16" s="1122">
        <f t="shared" ref="L16:L18" si="3">H16+I16+J16+K16</f>
        <v>26.872</v>
      </c>
      <c r="M16" s="1126">
        <v>0</v>
      </c>
      <c r="N16" s="1124">
        <f>Table2523467891011101213121412151615171819202122[[#This Row],[Jones Creek Target (Mbopd)]]-Table2523467891011101213121412151615171819202122[[#This Row],[Jones Creek (Mbopd)]]</f>
        <v>3.8149999999999977</v>
      </c>
      <c r="O16" s="1044">
        <f>Table2523467891011101213121412151615171819202122[[#This Row],[Odidi Target (Mbopd)]]-Table2523467891011101213121412151615171819202122[[#This Row],[Odidi (Mbopd)]]</f>
        <v>11.947000000000001</v>
      </c>
      <c r="P16" s="1044">
        <f>Table2523467891011101213121412151615171819202122[[#This Row],[Batan Target (Mbopd)]]-Table2523467891011101213121412151615171819202122[[#This Row],[Batan (Mbopd)]]</f>
        <v>0.61100000000000065</v>
      </c>
      <c r="Q16" s="1044">
        <f>Table2523467891011101213121412151615171819202122[[#This Row],[Egwa Target (Mbopd)]]-Table2523467891011101213121412151615171819202122[[#This Row],[Egwa (Mbopd)]]</f>
        <v>1.1750000000000003</v>
      </c>
      <c r="R16" s="1043">
        <v>9.68</v>
      </c>
      <c r="S16" s="1044">
        <v>2.5299999999999998</v>
      </c>
      <c r="T16" s="1044">
        <v>2.5</v>
      </c>
      <c r="U16" s="1045">
        <v>2.38</v>
      </c>
      <c r="V16" s="1046">
        <v>0.84</v>
      </c>
      <c r="W16" s="1044">
        <v>0</v>
      </c>
      <c r="X16" s="1044">
        <v>1</v>
      </c>
      <c r="Y16" s="1045">
        <v>0</v>
      </c>
      <c r="Z16" s="1046">
        <f>+Table2523467891011101213121412151615171819202122[[#This Row],[J/C Prod gas (MMscf)]]-Table2523467891011101213121412151615171819202122[[#This Row],[J/C Utilised gas (MMscf)]]</f>
        <v>8.84</v>
      </c>
      <c r="AA16" s="1044">
        <f>+Table2523467891011101213121412151615171819202122[[#This Row],[Odid Prod gas (MMscf)]]-Table2523467891011101213121412151615171819202122[[#This Row],[Gas Export (MMscf/d)]]</f>
        <v>2.5299999999999998</v>
      </c>
      <c r="AB16" s="1044">
        <f>+Table2523467891011101213121412151615171819202122[[#This Row],[Batn Prod gas (MMscf)]]-Table2523467891011101213121412151615171819202122[[#This Row],[Batn Utilised gas (MMscf)]]</f>
        <v>1.5</v>
      </c>
      <c r="AC16" s="1044">
        <f>+Table2523467891011101213121412151615171819202122[[#This Row],[Egwa Prod gas (MMscf)]]-Table2523467891011101213121412151615171819202122[[#This Row],[Egwa Utilised gas (MMscf)]]</f>
        <v>2.38</v>
      </c>
      <c r="AD1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17.09</v>
      </c>
      <c r="AE16" s="1044">
        <f>+Table2523467891011101213121412151615171819202122[[#This Row],[Gas Export (MMscf/d)]]</f>
        <v>0</v>
      </c>
      <c r="AF1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1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15.25</v>
      </c>
      <c r="AI16" s="1080" t="s">
        <v>448</v>
      </c>
      <c r="AJ16" s="1129">
        <v>26</v>
      </c>
      <c r="AK16" s="1088">
        <v>0</v>
      </c>
      <c r="AL16" s="1088">
        <v>0</v>
      </c>
      <c r="AM16" s="1088">
        <v>0</v>
      </c>
      <c r="AN16" s="1088">
        <v>0</v>
      </c>
      <c r="AO16" s="1088">
        <v>0</v>
      </c>
    </row>
    <row r="17" spans="2:35" ht="21.6">
      <c r="B17" s="716">
        <v>44600</v>
      </c>
      <c r="C17" s="749">
        <v>20.47</v>
      </c>
      <c r="D17" s="750">
        <v>15.22</v>
      </c>
      <c r="E17" s="750">
        <v>5.15</v>
      </c>
      <c r="F17" s="749">
        <v>3.58</v>
      </c>
      <c r="G17" s="1042">
        <f>SUM(Table2523467891011101213121412151615171819202122[[#This Row],[Jones Creek Target (Mbopd)]:[Egwa Target (Mbopd)]])</f>
        <v>44.419999999999995</v>
      </c>
      <c r="H17" s="1068">
        <v>14.234</v>
      </c>
      <c r="I17" s="1068">
        <v>6.6710000000000003</v>
      </c>
      <c r="J17" s="1068">
        <v>0.19800000000000001</v>
      </c>
      <c r="K17" s="1069">
        <v>2.3980000000000001</v>
      </c>
      <c r="L17" s="1122">
        <f t="shared" si="3"/>
        <v>23.501000000000001</v>
      </c>
      <c r="M17" s="1126">
        <v>0</v>
      </c>
      <c r="N17" s="1124">
        <f>Table2523467891011101213121412151615171819202122[[#This Row],[Jones Creek Target (Mbopd)]]-Table2523467891011101213121412151615171819202122[[#This Row],[Jones Creek (Mbopd)]]</f>
        <v>6.2359999999999989</v>
      </c>
      <c r="O17" s="1044">
        <f>Table2523467891011101213121412151615171819202122[[#This Row],[Odidi Target (Mbopd)]]-Table2523467891011101213121412151615171819202122[[#This Row],[Odidi (Mbopd)]]</f>
        <v>8.5489999999999995</v>
      </c>
      <c r="P17" s="1044">
        <f>Table2523467891011101213121412151615171819202122[[#This Row],[Batan Target (Mbopd)]]-Table2523467891011101213121412151615171819202122[[#This Row],[Batan (Mbopd)]]</f>
        <v>4.952</v>
      </c>
      <c r="Q17" s="1044">
        <f>Table2523467891011101213121412151615171819202122[[#This Row],[Egwa Target (Mbopd)]]-Table2523467891011101213121412151615171819202122[[#This Row],[Egwa (Mbopd)]]</f>
        <v>1.1819999999999999</v>
      </c>
      <c r="R17" s="1043">
        <v>9.68</v>
      </c>
      <c r="S17" s="1044">
        <v>12.83</v>
      </c>
      <c r="T17" s="1044">
        <v>0.4</v>
      </c>
      <c r="U17" s="1045">
        <v>2.38</v>
      </c>
      <c r="V17" s="1046">
        <v>0.84</v>
      </c>
      <c r="W17" s="1044">
        <v>0</v>
      </c>
      <c r="X17" s="1044">
        <v>0.1</v>
      </c>
      <c r="Y17" s="1045">
        <v>0</v>
      </c>
      <c r="Z17" s="1046">
        <f>+Table2523467891011101213121412151615171819202122[[#This Row],[J/C Prod gas (MMscf)]]-Table2523467891011101213121412151615171819202122[[#This Row],[J/C Utilised gas (MMscf)]]</f>
        <v>8.84</v>
      </c>
      <c r="AA17" s="1044">
        <f>+Table2523467891011101213121412151615171819202122[[#This Row],[Odid Prod gas (MMscf)]]-Table2523467891011101213121412151615171819202122[[#This Row],[Gas Export (MMscf/d)]]</f>
        <v>12.83</v>
      </c>
      <c r="AB17" s="1044">
        <f>+Table2523467891011101213121412151615171819202122[[#This Row],[Batn Prod gas (MMscf)]]-Table2523467891011101213121412151615171819202122[[#This Row],[Batn Utilised gas (MMscf)]]</f>
        <v>0.30000000000000004</v>
      </c>
      <c r="AC17" s="1044">
        <f>+Table2523467891011101213121412151615171819202122[[#This Row],[Egwa Prod gas (MMscf)]]-Table2523467891011101213121412151615171819202122[[#This Row],[Egwa Utilised gas (MMscf)]]</f>
        <v>2.38</v>
      </c>
      <c r="AD1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25.289999999999996</v>
      </c>
      <c r="AE17" s="1044">
        <f>+Table2523467891011101213121412151615171819202122[[#This Row],[Gas Export (MMscf/d)]]</f>
        <v>0</v>
      </c>
      <c r="AF1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0.94</v>
      </c>
      <c r="AG1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24.35</v>
      </c>
      <c r="AI17" s="142"/>
    </row>
    <row r="18" spans="2:35" ht="21.6">
      <c r="B18" s="716">
        <v>44601</v>
      </c>
      <c r="C18" s="749">
        <v>20.47</v>
      </c>
      <c r="D18" s="750">
        <v>15.22</v>
      </c>
      <c r="E18" s="750">
        <v>5.15</v>
      </c>
      <c r="F18" s="749">
        <v>3.58</v>
      </c>
      <c r="G18" s="1042">
        <f>SUM(Table2523467891011101213121412151615171819202122[[#This Row],[Jones Creek Target (Mbopd)]:[Egwa Target (Mbopd)]])</f>
        <v>44.419999999999995</v>
      </c>
      <c r="H18" s="1068">
        <v>8.6769999999999996</v>
      </c>
      <c r="I18" s="1068">
        <v>7.28</v>
      </c>
      <c r="J18" s="1068">
        <v>0</v>
      </c>
      <c r="K18" s="1069">
        <v>2.4009999999999998</v>
      </c>
      <c r="L18" s="1122">
        <f t="shared" si="3"/>
        <v>18.358000000000001</v>
      </c>
      <c r="M18" s="1126">
        <v>0</v>
      </c>
      <c r="N18" s="1124">
        <f>Table2523467891011101213121412151615171819202122[[#This Row],[Jones Creek Target (Mbopd)]]-Table2523467891011101213121412151615171819202122[[#This Row],[Jones Creek (Mbopd)]]</f>
        <v>11.792999999999999</v>
      </c>
      <c r="O18" s="1044">
        <f>Table2523467891011101213121412151615171819202122[[#This Row],[Odidi Target (Mbopd)]]-Table2523467891011101213121412151615171819202122[[#This Row],[Odidi (Mbopd)]]</f>
        <v>7.94</v>
      </c>
      <c r="P18" s="1044">
        <f>Table2523467891011101213121412151615171819202122[[#This Row],[Batan Target (Mbopd)]]-Table2523467891011101213121412151615171819202122[[#This Row],[Batan (Mbopd)]]</f>
        <v>5.15</v>
      </c>
      <c r="Q18" s="1044">
        <f>Table2523467891011101213121412151615171819202122[[#This Row],[Egwa Target (Mbopd)]]-Table2523467891011101213121412151615171819202122[[#This Row],[Egwa (Mbopd)]]</f>
        <v>1.1790000000000003</v>
      </c>
      <c r="R18" s="1149">
        <v>9.68</v>
      </c>
      <c r="S18" s="1044">
        <v>15.41</v>
      </c>
      <c r="T18" s="1044">
        <v>0</v>
      </c>
      <c r="U18" s="1045">
        <v>2.37</v>
      </c>
      <c r="V18" s="1046">
        <v>0.84</v>
      </c>
      <c r="W18" s="1044">
        <v>0</v>
      </c>
      <c r="X18" s="1044">
        <v>0</v>
      </c>
      <c r="Y18" s="1045">
        <v>0</v>
      </c>
      <c r="Z18" s="1046">
        <f>+Table2523467891011101213121412151615171819202122[[#This Row],[J/C Prod gas (MMscf)]]-Table2523467891011101213121412151615171819202122[[#This Row],[J/C Utilised gas (MMscf)]]</f>
        <v>8.84</v>
      </c>
      <c r="AA18" s="1044">
        <f>+Table2523467891011101213121412151615171819202122[[#This Row],[Odid Prod gas (MMscf)]]-Table2523467891011101213121412151615171819202122[[#This Row],[Gas Export (MMscf/d)]]</f>
        <v>15.41</v>
      </c>
      <c r="AB18" s="1044">
        <f>+Table2523467891011101213121412151615171819202122[[#This Row],[Batn Prod gas (MMscf)]]-Table2523467891011101213121412151615171819202122[[#This Row],[Batn Utilised gas (MMscf)]]</f>
        <v>0</v>
      </c>
      <c r="AC18" s="1044">
        <f>+Table2523467891011101213121412151615171819202122[[#This Row],[Egwa Prod gas (MMscf)]]-Table2523467891011101213121412151615171819202122[[#This Row],[Egwa Utilised gas (MMscf)]]</f>
        <v>2.37</v>
      </c>
      <c r="AD1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27.46</v>
      </c>
      <c r="AE18" s="1044">
        <f>+Table2523467891011101213121412151615171819202122[[#This Row],[Gas Export (MMscf/d)]]</f>
        <v>0</v>
      </c>
      <c r="AF1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1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26.62</v>
      </c>
      <c r="AI18" s="242"/>
    </row>
    <row r="19" spans="2:35" ht="21.6">
      <c r="B19" s="716">
        <v>44602</v>
      </c>
      <c r="C19" s="749">
        <v>20.47</v>
      </c>
      <c r="D19" s="750">
        <v>15.22</v>
      </c>
      <c r="E19" s="750">
        <v>5.15</v>
      </c>
      <c r="F19" s="749">
        <v>3.58</v>
      </c>
      <c r="G19" s="1042">
        <f>SUM(Table2523467891011101213121412151615171819202122[[#This Row],[Jones Creek Target (Mbopd)]:[Egwa Target (Mbopd)]])</f>
        <v>44.419999999999995</v>
      </c>
      <c r="H19" s="1068">
        <v>8.5299999999999994</v>
      </c>
      <c r="I19" s="1068">
        <v>8.359</v>
      </c>
      <c r="J19" s="1068">
        <v>0</v>
      </c>
      <c r="K19" s="1069">
        <v>2.375</v>
      </c>
      <c r="L19" s="1122">
        <f t="shared" ref="L19" si="4">H19+I19+J19+K19</f>
        <v>19.263999999999999</v>
      </c>
      <c r="M19" s="1126">
        <v>0</v>
      </c>
      <c r="N19" s="1124">
        <f>Table2523467891011101213121412151615171819202122[[#This Row],[Jones Creek Target (Mbopd)]]-Table2523467891011101213121412151615171819202122[[#This Row],[Jones Creek (Mbopd)]]</f>
        <v>11.94</v>
      </c>
      <c r="O19" s="1044">
        <f>Table2523467891011101213121412151615171819202122[[#This Row],[Odidi Target (Mbopd)]]-Table2523467891011101213121412151615171819202122[[#This Row],[Odidi (Mbopd)]]</f>
        <v>6.8610000000000007</v>
      </c>
      <c r="P19" s="1044">
        <f>Table2523467891011101213121412151615171819202122[[#This Row],[Batan Target (Mbopd)]]-Table2523467891011101213121412151615171819202122[[#This Row],[Batan (Mbopd)]]</f>
        <v>5.15</v>
      </c>
      <c r="Q19" s="1044">
        <f>Table2523467891011101213121412151615171819202122[[#This Row],[Egwa Target (Mbopd)]]-Table2523467891011101213121412151615171819202122[[#This Row],[Egwa (Mbopd)]]</f>
        <v>1.2050000000000001</v>
      </c>
      <c r="R19" s="1149">
        <v>9.68</v>
      </c>
      <c r="S19" s="1044">
        <v>19.09</v>
      </c>
      <c r="T19" s="1044">
        <v>0</v>
      </c>
      <c r="U19" s="1045">
        <v>2.41</v>
      </c>
      <c r="V19" s="1046">
        <v>0.84</v>
      </c>
      <c r="W19" s="1044">
        <v>0</v>
      </c>
      <c r="X19" s="1044">
        <v>0</v>
      </c>
      <c r="Y19" s="1045">
        <v>0</v>
      </c>
      <c r="Z19" s="1046">
        <f>+Table2523467891011101213121412151615171819202122[[#This Row],[J/C Prod gas (MMscf)]]-Table2523467891011101213121412151615171819202122[[#This Row],[J/C Utilised gas (MMscf)]]</f>
        <v>8.84</v>
      </c>
      <c r="AA19" s="1044">
        <f>+Table2523467891011101213121412151615171819202122[[#This Row],[Odid Prod gas (MMscf)]]-Table2523467891011101213121412151615171819202122[[#This Row],[Gas Export (MMscf/d)]]</f>
        <v>19.09</v>
      </c>
      <c r="AB19" s="1044">
        <f>+Table2523467891011101213121412151615171819202122[[#This Row],[Batn Prod gas (MMscf)]]-Table2523467891011101213121412151615171819202122[[#This Row],[Batn Utilised gas (MMscf)]]</f>
        <v>0</v>
      </c>
      <c r="AC19" s="1044">
        <f>+Table2523467891011101213121412151615171819202122[[#This Row],[Egwa Prod gas (MMscf)]]-Table2523467891011101213121412151615171819202122[[#This Row],[Egwa Utilised gas (MMscf)]]</f>
        <v>2.41</v>
      </c>
      <c r="AD1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31.18</v>
      </c>
      <c r="AE19" s="1044">
        <f>+Table2523467891011101213121412151615171819202122[[#This Row],[Gas Export (MMscf/d)]]</f>
        <v>0</v>
      </c>
      <c r="AF1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1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30.34</v>
      </c>
      <c r="AH19" s="734"/>
      <c r="AI19" s="242"/>
    </row>
    <row r="20" spans="2:35">
      <c r="B20" s="716">
        <v>44603</v>
      </c>
      <c r="C20" s="749">
        <v>20.47</v>
      </c>
      <c r="D20" s="750">
        <v>15.22</v>
      </c>
      <c r="E20" s="750">
        <v>5.15</v>
      </c>
      <c r="F20" s="749">
        <v>3.58</v>
      </c>
      <c r="G20" s="1042">
        <f>SUM(Table2523467891011101213121412151615171819202122[[#This Row],[Jones Creek Target (Mbopd)]:[Egwa Target (Mbopd)]])</f>
        <v>44.419999999999995</v>
      </c>
      <c r="H20" s="1068">
        <v>8.6460000000000008</v>
      </c>
      <c r="I20" s="1068">
        <v>9.4489999999999998</v>
      </c>
      <c r="J20" s="1068">
        <v>0</v>
      </c>
      <c r="K20" s="1132">
        <v>2.3610000000000002</v>
      </c>
      <c r="L20" s="1122">
        <f t="shared" ref="L20" si="5">H20+I20+J20+K20</f>
        <v>20.456</v>
      </c>
      <c r="M20" s="1126">
        <v>0</v>
      </c>
      <c r="N20" s="1124">
        <f>Table2523467891011101213121412151615171819202122[[#This Row],[Jones Creek Target (Mbopd)]]-Table2523467891011101213121412151615171819202122[[#This Row],[Jones Creek (Mbopd)]]</f>
        <v>11.823999999999998</v>
      </c>
      <c r="O20" s="1044">
        <f>Table2523467891011101213121412151615171819202122[[#This Row],[Odidi Target (Mbopd)]]-Table2523467891011101213121412151615171819202122[[#This Row],[Odidi (Mbopd)]]</f>
        <v>5.7710000000000008</v>
      </c>
      <c r="P20" s="1044">
        <f>Table2523467891011101213121412151615171819202122[[#This Row],[Batan Target (Mbopd)]]-Table2523467891011101213121412151615171819202122[[#This Row],[Batan (Mbopd)]]</f>
        <v>5.15</v>
      </c>
      <c r="Q20" s="1044">
        <f>Table2523467891011101213121412151615171819202122[[#This Row],[Egwa Target (Mbopd)]]-Table2523467891011101213121412151615171819202122[[#This Row],[Egwa (Mbopd)]]</f>
        <v>1.2189999999999999</v>
      </c>
      <c r="R20" s="1043">
        <v>2.58</v>
      </c>
      <c r="S20" s="1044">
        <v>21.43</v>
      </c>
      <c r="T20" s="1044">
        <v>0</v>
      </c>
      <c r="U20" s="1045">
        <v>2.41</v>
      </c>
      <c r="V20" s="1046">
        <v>0.84</v>
      </c>
      <c r="W20" s="1044">
        <v>0</v>
      </c>
      <c r="X20" s="1044">
        <v>0</v>
      </c>
      <c r="Y20" s="1045">
        <v>0</v>
      </c>
      <c r="Z20" s="1046">
        <f>+Table2523467891011101213121412151615171819202122[[#This Row],[J/C Prod gas (MMscf)]]-Table2523467891011101213121412151615171819202122[[#This Row],[J/C Utilised gas (MMscf)]]</f>
        <v>1.7400000000000002</v>
      </c>
      <c r="AA20" s="1044">
        <f>+Table2523467891011101213121412151615171819202122[[#This Row],[Odid Prod gas (MMscf)]]-Table2523467891011101213121412151615171819202122[[#This Row],[Gas Export (MMscf/d)]]</f>
        <v>21.43</v>
      </c>
      <c r="AB20" s="1044">
        <f>+Table2523467891011101213121412151615171819202122[[#This Row],[Batn Prod gas (MMscf)]]-Table2523467891011101213121412151615171819202122[[#This Row],[Batn Utilised gas (MMscf)]]</f>
        <v>0</v>
      </c>
      <c r="AC20" s="1044">
        <f>+Table2523467891011101213121412151615171819202122[[#This Row],[Egwa Prod gas (MMscf)]]-Table2523467891011101213121412151615171819202122[[#This Row],[Egwa Utilised gas (MMscf)]]</f>
        <v>2.41</v>
      </c>
      <c r="AD20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26.419999999999998</v>
      </c>
      <c r="AE20" s="1044">
        <f>+Table2523467891011101213121412151615171819202122[[#This Row],[Gas Export (MMscf/d)]]</f>
        <v>0</v>
      </c>
      <c r="AF20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0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25.580000000000002</v>
      </c>
    </row>
    <row r="21" spans="2:35">
      <c r="B21" s="716">
        <v>44604</v>
      </c>
      <c r="C21" s="749">
        <v>20.47</v>
      </c>
      <c r="D21" s="750">
        <v>15.22</v>
      </c>
      <c r="E21" s="750">
        <v>5.15</v>
      </c>
      <c r="F21" s="749">
        <v>3.58</v>
      </c>
      <c r="G21" s="1042">
        <f>SUM(Table2523467891011101213121412151615171819202122[[#This Row],[Jones Creek Target (Mbopd)]:[Egwa Target (Mbopd)]])</f>
        <v>44.419999999999995</v>
      </c>
      <c r="H21" s="1068">
        <v>9.3859999999999992</v>
      </c>
      <c r="I21" s="1068">
        <v>11.102</v>
      </c>
      <c r="J21" s="1068">
        <v>0</v>
      </c>
      <c r="K21" s="1132">
        <v>2.3940000000000001</v>
      </c>
      <c r="L21" s="1122">
        <f t="shared" ref="L21:L24" si="6">H21+I21+J21+K21</f>
        <v>22.881999999999998</v>
      </c>
      <c r="M21" s="1126">
        <v>0</v>
      </c>
      <c r="N21" s="1124">
        <f>Table2523467891011101213121412151615171819202122[[#This Row],[Jones Creek Target (Mbopd)]]-Table2523467891011101213121412151615171819202122[[#This Row],[Jones Creek (Mbopd)]]</f>
        <v>11.084</v>
      </c>
      <c r="O21" s="1044">
        <f>Table2523467891011101213121412151615171819202122[[#This Row],[Odidi Target (Mbopd)]]-Table2523467891011101213121412151615171819202122[[#This Row],[Odidi (Mbopd)]]</f>
        <v>4.1180000000000003</v>
      </c>
      <c r="P21" s="1044">
        <f>Table2523467891011101213121412151615171819202122[[#This Row],[Batan Target (Mbopd)]]-Table2523467891011101213121412151615171819202122[[#This Row],[Batan (Mbopd)]]</f>
        <v>5.15</v>
      </c>
      <c r="Q21" s="1044">
        <f>Table2523467891011101213121412151615171819202122[[#This Row],[Egwa Target (Mbopd)]]-Table2523467891011101213121412151615171819202122[[#This Row],[Egwa (Mbopd)]]</f>
        <v>1.1859999999999999</v>
      </c>
      <c r="R21" s="1043">
        <v>2.58</v>
      </c>
      <c r="S21" s="1044">
        <v>26.33</v>
      </c>
      <c r="T21" s="1044">
        <v>0</v>
      </c>
      <c r="U21" s="1045">
        <v>2.44</v>
      </c>
      <c r="V21" s="1046">
        <v>0.84</v>
      </c>
      <c r="W21" s="1044">
        <v>0</v>
      </c>
      <c r="X21" s="1044">
        <v>0</v>
      </c>
      <c r="Y21" s="1045">
        <v>0</v>
      </c>
      <c r="Z21" s="1046">
        <f>+Table2523467891011101213121412151615171819202122[[#This Row],[J/C Prod gas (MMscf)]]-Table2523467891011101213121412151615171819202122[[#This Row],[J/C Utilised gas (MMscf)]]</f>
        <v>1.7400000000000002</v>
      </c>
      <c r="AA21" s="1044">
        <f>+Table2523467891011101213121412151615171819202122[[#This Row],[Odid Prod gas (MMscf)]]-Table2523467891011101213121412151615171819202122[[#This Row],[Gas Export (MMscf/d)]]</f>
        <v>26.33</v>
      </c>
      <c r="AB21" s="1044">
        <f>+Table2523467891011101213121412151615171819202122[[#This Row],[Batn Prod gas (MMscf)]]-Table2523467891011101213121412151615171819202122[[#This Row],[Batn Utilised gas (MMscf)]]</f>
        <v>0</v>
      </c>
      <c r="AC21" s="1044">
        <f>+Table2523467891011101213121412151615171819202122[[#This Row],[Egwa Prod gas (MMscf)]]-Table2523467891011101213121412151615171819202122[[#This Row],[Egwa Utilised gas (MMscf)]]</f>
        <v>2.44</v>
      </c>
      <c r="AD21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31.349999999999998</v>
      </c>
      <c r="AE21" s="1044">
        <f>+Table2523467891011101213121412151615171819202122[[#This Row],[Gas Export (MMscf/d)]]</f>
        <v>0</v>
      </c>
      <c r="AF21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1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30.51</v>
      </c>
    </row>
    <row r="22" spans="2:35">
      <c r="B22" s="716">
        <v>44605</v>
      </c>
      <c r="C22" s="749">
        <v>20.47</v>
      </c>
      <c r="D22" s="750">
        <v>15.22</v>
      </c>
      <c r="E22" s="750">
        <v>5.15</v>
      </c>
      <c r="F22" s="749">
        <v>3.58</v>
      </c>
      <c r="G22" s="1042">
        <f>SUM(Table2523467891011101213121412151615171819202122[[#This Row],[Jones Creek Target (Mbopd)]:[Egwa Target (Mbopd)]])</f>
        <v>44.419999999999995</v>
      </c>
      <c r="H22" s="1068">
        <v>8.9789999999999992</v>
      </c>
      <c r="I22" s="1151">
        <v>10.026</v>
      </c>
      <c r="J22" s="1068">
        <v>0</v>
      </c>
      <c r="K22" s="1069">
        <v>2.359</v>
      </c>
      <c r="L22" s="1122">
        <f t="shared" si="6"/>
        <v>21.363999999999997</v>
      </c>
      <c r="M22" s="1126">
        <v>0</v>
      </c>
      <c r="N22" s="1124">
        <f>Table2523467891011101213121412151615171819202122[[#This Row],[Jones Creek Target (Mbopd)]]-Table2523467891011101213121412151615171819202122[[#This Row],[Jones Creek (Mbopd)]]</f>
        <v>11.491</v>
      </c>
      <c r="O22" s="1044">
        <f>Table2523467891011101213121412151615171819202122[[#This Row],[Odidi Target (Mbopd)]]-Table2523467891011101213121412151615171819202122[[#This Row],[Odidi (Mbopd)]]</f>
        <v>5.1940000000000008</v>
      </c>
      <c r="P22" s="1044">
        <f>Table2523467891011101213121412151615171819202122[[#This Row],[Batan Target (Mbopd)]]-Table2523467891011101213121412151615171819202122[[#This Row],[Batan (Mbopd)]]</f>
        <v>5.15</v>
      </c>
      <c r="Q22" s="1044">
        <f>Table2523467891011101213121412151615171819202122[[#This Row],[Egwa Target (Mbopd)]]-Table2523467891011101213121412151615171819202122[[#This Row],[Egwa (Mbopd)]]</f>
        <v>1.2210000000000001</v>
      </c>
      <c r="R22" s="1043">
        <v>2.6</v>
      </c>
      <c r="S22" s="1044">
        <v>32.090000000000003</v>
      </c>
      <c r="T22" s="1044">
        <v>0</v>
      </c>
      <c r="U22" s="1045">
        <v>2.4300000000000002</v>
      </c>
      <c r="V22" s="1046">
        <v>0.84</v>
      </c>
      <c r="W22" s="1044">
        <v>0</v>
      </c>
      <c r="X22" s="1044">
        <v>0</v>
      </c>
      <c r="Y22" s="1045">
        <v>0</v>
      </c>
      <c r="Z22" s="1046">
        <f>+Table2523467891011101213121412151615171819202122[[#This Row],[J/C Prod gas (MMscf)]]-Table2523467891011101213121412151615171819202122[[#This Row],[J/C Utilised gas (MMscf)]]</f>
        <v>1.7600000000000002</v>
      </c>
      <c r="AA22" s="1044">
        <f>+Table2523467891011101213121412151615171819202122[[#This Row],[Odid Prod gas (MMscf)]]-Table2523467891011101213121412151615171819202122[[#This Row],[Gas Export (MMscf/d)]]</f>
        <v>32.090000000000003</v>
      </c>
      <c r="AB22" s="1044">
        <f>+Table2523467891011101213121412151615171819202122[[#This Row],[Batn Prod gas (MMscf)]]-Table2523467891011101213121412151615171819202122[[#This Row],[Batn Utilised gas (MMscf)]]</f>
        <v>0</v>
      </c>
      <c r="AC22" s="1044">
        <f>+Table2523467891011101213121412151615171819202122[[#This Row],[Egwa Prod gas (MMscf)]]-Table2523467891011101213121412151615171819202122[[#This Row],[Egwa Utilised gas (MMscf)]]</f>
        <v>2.4300000000000002</v>
      </c>
      <c r="AD22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37.120000000000005</v>
      </c>
      <c r="AE22" s="1044">
        <f>+Table2523467891011101213121412151615171819202122[[#This Row],[Gas Export (MMscf/d)]]</f>
        <v>0</v>
      </c>
      <c r="AF22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2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36.28</v>
      </c>
    </row>
    <row r="23" spans="2:35">
      <c r="B23" s="716">
        <v>44606</v>
      </c>
      <c r="C23" s="749">
        <v>20.47</v>
      </c>
      <c r="D23" s="750">
        <v>15.22</v>
      </c>
      <c r="E23" s="750">
        <v>5.15</v>
      </c>
      <c r="F23" s="749">
        <v>3.58</v>
      </c>
      <c r="G23" s="1042">
        <f>SUM(Table2523467891011101213121412151615171819202122[[#This Row],[Jones Creek Target (Mbopd)]:[Egwa Target (Mbopd)]])</f>
        <v>44.419999999999995</v>
      </c>
      <c r="H23" s="1068">
        <v>8.9429999999999996</v>
      </c>
      <c r="I23" s="1068">
        <v>12.457000000000001</v>
      </c>
      <c r="J23" s="1068">
        <v>0</v>
      </c>
      <c r="K23" s="1069">
        <v>2.355</v>
      </c>
      <c r="L23" s="1122">
        <f t="shared" si="6"/>
        <v>23.754999999999999</v>
      </c>
      <c r="M23" s="1123">
        <v>0</v>
      </c>
      <c r="N23" s="1124">
        <f>Table2523467891011101213121412151615171819202122[[#This Row],[Jones Creek Target (Mbopd)]]-Table2523467891011101213121412151615171819202122[[#This Row],[Jones Creek (Mbopd)]]</f>
        <v>11.526999999999999</v>
      </c>
      <c r="O23" s="1044">
        <f>Table2523467891011101213121412151615171819202122[[#This Row],[Odidi Target (Mbopd)]]-Table2523467891011101213121412151615171819202122[[#This Row],[Odidi (Mbopd)]]</f>
        <v>2.7629999999999999</v>
      </c>
      <c r="P23" s="1044">
        <f>Table2523467891011101213121412151615171819202122[[#This Row],[Batan Target (Mbopd)]]-Table2523467891011101213121412151615171819202122[[#This Row],[Batan (Mbopd)]]</f>
        <v>5.15</v>
      </c>
      <c r="Q23" s="1044">
        <f>Table2523467891011101213121412151615171819202122[[#This Row],[Egwa Target (Mbopd)]]-Table2523467891011101213121412151615171819202122[[#This Row],[Egwa (Mbopd)]]</f>
        <v>1.2250000000000001</v>
      </c>
      <c r="R23" s="1043">
        <v>2.6</v>
      </c>
      <c r="S23" s="1044">
        <v>34.72</v>
      </c>
      <c r="T23" s="1044">
        <v>0</v>
      </c>
      <c r="U23" s="1045">
        <v>2.44</v>
      </c>
      <c r="V23" s="1046">
        <v>0.84</v>
      </c>
      <c r="W23" s="1044">
        <v>0</v>
      </c>
      <c r="X23" s="1044">
        <v>0</v>
      </c>
      <c r="Y23" s="1045">
        <v>0</v>
      </c>
      <c r="Z23" s="1046">
        <f>+Table2523467891011101213121412151615171819202122[[#This Row],[J/C Prod gas (MMscf)]]-Table2523467891011101213121412151615171819202122[[#This Row],[J/C Utilised gas (MMscf)]]</f>
        <v>1.7600000000000002</v>
      </c>
      <c r="AA23" s="1044">
        <f>+Table2523467891011101213121412151615171819202122[[#This Row],[Odid Prod gas (MMscf)]]-Table2523467891011101213121412151615171819202122[[#This Row],[Gas Export (MMscf/d)]]</f>
        <v>34.72</v>
      </c>
      <c r="AB23" s="1044">
        <f>+Table2523467891011101213121412151615171819202122[[#This Row],[Batn Prod gas (MMscf)]]-Table2523467891011101213121412151615171819202122[[#This Row],[Batn Utilised gas (MMscf)]]</f>
        <v>0</v>
      </c>
      <c r="AC23" s="1044">
        <f>+Table2523467891011101213121412151615171819202122[[#This Row],[Egwa Prod gas (MMscf)]]-Table2523467891011101213121412151615171819202122[[#This Row],[Egwa Utilised gas (MMscf)]]</f>
        <v>2.44</v>
      </c>
      <c r="AD23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39.76</v>
      </c>
      <c r="AE23" s="1044">
        <f>+Table2523467891011101213121412151615171819202122[[#This Row],[Gas Export (MMscf/d)]]</f>
        <v>0</v>
      </c>
      <c r="AF23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23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38.919999999999995</v>
      </c>
    </row>
    <row r="24" spans="2:35">
      <c r="B24" s="716">
        <v>44607</v>
      </c>
      <c r="C24" s="749">
        <v>20.47</v>
      </c>
      <c r="D24" s="750">
        <v>15.22</v>
      </c>
      <c r="E24" s="750">
        <v>5.15</v>
      </c>
      <c r="F24" s="749">
        <v>3.58</v>
      </c>
      <c r="G24" s="1042">
        <f>SUM(Table2523467891011101213121412151615171819202122[[#This Row],[Jones Creek Target (Mbopd)]:[Egwa Target (Mbopd)]])</f>
        <v>44.419999999999995</v>
      </c>
      <c r="H24" s="752">
        <v>8.9570000000000007</v>
      </c>
      <c r="I24" s="1068">
        <v>11.353999999999999</v>
      </c>
      <c r="J24" s="1068">
        <v>2.2839999999999998</v>
      </c>
      <c r="K24" s="1069">
        <v>1.915</v>
      </c>
      <c r="L24" s="1122">
        <f t="shared" si="6"/>
        <v>24.509999999999998</v>
      </c>
      <c r="M24" s="1123">
        <v>0</v>
      </c>
      <c r="N24" s="1124">
        <f>Table2523467891011101213121412151615171819202122[[#This Row],[Jones Creek Target (Mbopd)]]-Table2523467891011101213121412151615171819202122[[#This Row],[Jones Creek (Mbopd)]]</f>
        <v>11.512999999999998</v>
      </c>
      <c r="O24" s="1044">
        <f>Table2523467891011101213121412151615171819202122[[#This Row],[Odidi Target (Mbopd)]]-Table2523467891011101213121412151615171819202122[[#This Row],[Odidi (Mbopd)]]</f>
        <v>3.8660000000000014</v>
      </c>
      <c r="P24" s="1044">
        <f>Table2523467891011101213121412151615171819202122[[#This Row],[Batan Target (Mbopd)]]-Table2523467891011101213121412151615171819202122[[#This Row],[Batan (Mbopd)]]</f>
        <v>2.8660000000000005</v>
      </c>
      <c r="Q24" s="1044">
        <f>Table2523467891011101213121412151615171819202122[[#This Row],[Egwa Target (Mbopd)]]-Table2523467891011101213121412151615171819202122[[#This Row],[Egwa (Mbopd)]]</f>
        <v>1.665</v>
      </c>
      <c r="R24" s="1043">
        <v>2.76</v>
      </c>
      <c r="S24" s="1044">
        <v>32.54</v>
      </c>
      <c r="T24" s="1044">
        <v>0.69</v>
      </c>
      <c r="U24" s="1045">
        <v>1.97</v>
      </c>
      <c r="V24" s="1046">
        <v>0.84</v>
      </c>
      <c r="W24" s="1044">
        <v>0</v>
      </c>
      <c r="X24" s="1044">
        <v>0.2</v>
      </c>
      <c r="Y24" s="1045">
        <v>0</v>
      </c>
      <c r="Z24" s="1046">
        <f>+Table2523467891011101213121412151615171819202122[[#This Row],[J/C Prod gas (MMscf)]]-Table2523467891011101213121412151615171819202122[[#This Row],[J/C Utilised gas (MMscf)]]</f>
        <v>1.92</v>
      </c>
      <c r="AA24" s="1044">
        <f>+Table2523467891011101213121412151615171819202122[[#This Row],[Odid Prod gas (MMscf)]]-Table2523467891011101213121412151615171819202122[[#This Row],[Gas Export (MMscf/d)]]</f>
        <v>32.54</v>
      </c>
      <c r="AB24" s="1044">
        <f>+Table2523467891011101213121412151615171819202122[[#This Row],[Batn Prod gas (MMscf)]]-Table2523467891011101213121412151615171819202122[[#This Row],[Batn Utilised gas (MMscf)]]</f>
        <v>0.48999999999999994</v>
      </c>
      <c r="AC24" s="1044">
        <f>+Table2523467891011101213121412151615171819202122[[#This Row],[Egwa Prod gas (MMscf)]]-Table2523467891011101213121412151615171819202122[[#This Row],[Egwa Utilised gas (MMscf)]]</f>
        <v>1.97</v>
      </c>
      <c r="AD24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37.959999999999994</v>
      </c>
      <c r="AE24" s="1044">
        <f>+Table2523467891011101213121412151615171819202122[[#This Row],[Gas Export (MMscf/d)]]</f>
        <v>0</v>
      </c>
      <c r="AF24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24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36.92</v>
      </c>
    </row>
    <row r="25" spans="2:35">
      <c r="B25" s="716">
        <v>44608</v>
      </c>
      <c r="C25" s="749">
        <v>20.47</v>
      </c>
      <c r="D25" s="750">
        <v>15.22</v>
      </c>
      <c r="E25" s="750">
        <v>5.15</v>
      </c>
      <c r="F25" s="749">
        <v>3.58</v>
      </c>
      <c r="G25" s="1042">
        <f>SUM(Table2523467891011101213121412151615171819202122[[#This Row],[Jones Creek Target (Mbopd)]:[Egwa Target (Mbopd)]])</f>
        <v>44.419999999999995</v>
      </c>
      <c r="H25" s="1068">
        <v>9.4459999999999997</v>
      </c>
      <c r="I25" s="1068">
        <v>12.06</v>
      </c>
      <c r="J25" s="1068">
        <v>4.0110000000000001</v>
      </c>
      <c r="K25" s="1069">
        <v>2.3450000000000002</v>
      </c>
      <c r="L25" s="1122">
        <f t="shared" ref="L25:L33" si="7">H25+I25+J25+K25</f>
        <v>27.861999999999998</v>
      </c>
      <c r="M25" s="1123">
        <v>0</v>
      </c>
      <c r="N25" s="1124">
        <f>Table2523467891011101213121412151615171819202122[[#This Row],[Jones Creek Target (Mbopd)]]-Table2523467891011101213121412151615171819202122[[#This Row],[Jones Creek (Mbopd)]]</f>
        <v>11.023999999999999</v>
      </c>
      <c r="O25" s="1044">
        <f>Table2523467891011101213121412151615171819202122[[#This Row],[Odidi Target (Mbopd)]]-Table2523467891011101213121412151615171819202122[[#This Row],[Odidi (Mbopd)]]</f>
        <v>3.16</v>
      </c>
      <c r="P25" s="1044">
        <f>Table2523467891011101213121412151615171819202122[[#This Row],[Batan Target (Mbopd)]]-Table2523467891011101213121412151615171819202122[[#This Row],[Batan (Mbopd)]]</f>
        <v>1.1390000000000002</v>
      </c>
      <c r="Q25" s="1044">
        <f>Table2523467891011101213121412151615171819202122[[#This Row],[Egwa Target (Mbopd)]]-Table2523467891011101213121412151615171819202122[[#This Row],[Egwa (Mbopd)]]</f>
        <v>1.2349999999999999</v>
      </c>
      <c r="R25" s="1043">
        <v>2.8</v>
      </c>
      <c r="S25" s="1044">
        <v>29.85</v>
      </c>
      <c r="T25" s="1044">
        <v>1.25</v>
      </c>
      <c r="U25" s="1045">
        <v>2.46</v>
      </c>
      <c r="V25" s="1046">
        <v>0.84</v>
      </c>
      <c r="W25" s="1044">
        <v>0</v>
      </c>
      <c r="X25" s="1044">
        <v>0.2</v>
      </c>
      <c r="Y25" s="1045">
        <v>0</v>
      </c>
      <c r="Z25" s="1046">
        <f>+Table2523467891011101213121412151615171819202122[[#This Row],[J/C Prod gas (MMscf)]]-Table2523467891011101213121412151615171819202122[[#This Row],[J/C Utilised gas (MMscf)]]</f>
        <v>1.96</v>
      </c>
      <c r="AA25" s="1044">
        <f>+Table2523467891011101213121412151615171819202122[[#This Row],[Odid Prod gas (MMscf)]]-Table2523467891011101213121412151615171819202122[[#This Row],[Gas Export (MMscf/d)]]</f>
        <v>29.85</v>
      </c>
      <c r="AB25" s="1044">
        <f>+Table2523467891011101213121412151615171819202122[[#This Row],[Batn Prod gas (MMscf)]]-Table2523467891011101213121412151615171819202122[[#This Row],[Batn Utilised gas (MMscf)]]</f>
        <v>1.05</v>
      </c>
      <c r="AC25" s="1044">
        <f>+Table2523467891011101213121412151615171819202122[[#This Row],[Egwa Prod gas (MMscf)]]-Table2523467891011101213121412151615171819202122[[#This Row],[Egwa Utilised gas (MMscf)]]</f>
        <v>2.46</v>
      </c>
      <c r="AD2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36.36</v>
      </c>
      <c r="AE25" s="1044">
        <f>+Table2523467891011101213121412151615171819202122[[#This Row],[Gas Export (MMscf/d)]]</f>
        <v>0</v>
      </c>
      <c r="AF2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2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35.32</v>
      </c>
    </row>
    <row r="26" spans="2:35">
      <c r="B26" s="716">
        <v>44609</v>
      </c>
      <c r="C26" s="749">
        <v>20.47</v>
      </c>
      <c r="D26" s="750">
        <v>15.22</v>
      </c>
      <c r="E26" s="750">
        <v>5.15</v>
      </c>
      <c r="F26" s="749">
        <v>3.58</v>
      </c>
      <c r="G26" s="1042">
        <f>SUM(Table2523467891011101213121412151615171819202122[[#This Row],[Jones Creek Target (Mbopd)]:[Egwa Target (Mbopd)]])</f>
        <v>44.419999999999995</v>
      </c>
      <c r="H26" s="1068">
        <v>15.260999999999999</v>
      </c>
      <c r="I26" s="1068">
        <v>7.2830000000000004</v>
      </c>
      <c r="J26" s="1068">
        <v>4.5810000000000004</v>
      </c>
      <c r="K26" s="1069">
        <v>2.3780000000000001</v>
      </c>
      <c r="L26" s="1122">
        <f t="shared" si="7"/>
        <v>29.503</v>
      </c>
      <c r="M26" s="1123">
        <v>0</v>
      </c>
      <c r="N26" s="1124">
        <f>Table2523467891011101213121412151615171819202122[[#This Row],[Jones Creek Target (Mbopd)]]-Table2523467891011101213121412151615171819202122[[#This Row],[Jones Creek (Mbopd)]]</f>
        <v>5.2089999999999996</v>
      </c>
      <c r="O26" s="1044">
        <f>Table2523467891011101213121412151615171819202122[[#This Row],[Odidi Target (Mbopd)]]-Table2523467891011101213121412151615171819202122[[#This Row],[Odidi (Mbopd)]]</f>
        <v>7.9370000000000003</v>
      </c>
      <c r="P26" s="1044">
        <f>Table2523467891011101213121412151615171819202122[[#This Row],[Batan Target (Mbopd)]]-Table2523467891011101213121412151615171819202122[[#This Row],[Batan (Mbopd)]]</f>
        <v>0.56899999999999995</v>
      </c>
      <c r="Q26" s="1044">
        <f>Table2523467891011101213121412151615171819202122[[#This Row],[Egwa Target (Mbopd)]]-Table2523467891011101213121412151615171819202122[[#This Row],[Egwa (Mbopd)]]</f>
        <v>1.202</v>
      </c>
      <c r="R26" s="1043">
        <v>4.63</v>
      </c>
      <c r="S26" s="1044">
        <v>20.69</v>
      </c>
      <c r="T26" s="1044">
        <v>1.49</v>
      </c>
      <c r="U26" s="1045">
        <v>2.4700000000000002</v>
      </c>
      <c r="V26" s="1046">
        <v>0.84</v>
      </c>
      <c r="W26" s="1044">
        <v>0</v>
      </c>
      <c r="X26" s="1044">
        <v>0.2</v>
      </c>
      <c r="Y26" s="1045">
        <v>0</v>
      </c>
      <c r="Z26" s="1046">
        <f>+Table2523467891011101213121412151615171819202122[[#This Row],[J/C Prod gas (MMscf)]]-Table2523467891011101213121412151615171819202122[[#This Row],[J/C Utilised gas (MMscf)]]</f>
        <v>3.79</v>
      </c>
      <c r="AA26" s="1044">
        <f>+Table2523467891011101213121412151615171819202122[[#This Row],[Odid Prod gas (MMscf)]]-Table2523467891011101213121412151615171819202122[[#This Row],[Gas Export (MMscf/d)]]</f>
        <v>20.69</v>
      </c>
      <c r="AB26" s="1044">
        <f>+Table2523467891011101213121412151615171819202122[[#This Row],[Batn Prod gas (MMscf)]]-Table2523467891011101213121412151615171819202122[[#This Row],[Batn Utilised gas (MMscf)]]</f>
        <v>1.29</v>
      </c>
      <c r="AC26" s="1044">
        <f>+Table2523467891011101213121412151615171819202122[[#This Row],[Egwa Prod gas (MMscf)]]-Table2523467891011101213121412151615171819202122[[#This Row],[Egwa Utilised gas (MMscf)]]</f>
        <v>2.4700000000000002</v>
      </c>
      <c r="AD2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29.279999999999998</v>
      </c>
      <c r="AE26" s="1044">
        <f>+Table2523467891011101213121412151615171819202122[[#This Row],[Gas Export (MMscf/d)]]</f>
        <v>0</v>
      </c>
      <c r="AF2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2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28.24</v>
      </c>
    </row>
    <row r="27" spans="2:35">
      <c r="B27" s="716">
        <v>44610</v>
      </c>
      <c r="C27" s="749">
        <v>20.47</v>
      </c>
      <c r="D27" s="750">
        <v>15.22</v>
      </c>
      <c r="E27" s="750">
        <v>5.15</v>
      </c>
      <c r="F27" s="749">
        <v>3.58</v>
      </c>
      <c r="G27" s="1120">
        <f>SUM(Table2523467891011101213121412151615171819202122[[#This Row],[Jones Creek Target (Mbopd)]:[Egwa Target (Mbopd)]])</f>
        <v>44.419999999999995</v>
      </c>
      <c r="H27" s="1068">
        <v>20.140999999999998</v>
      </c>
      <c r="I27" s="1068">
        <v>0</v>
      </c>
      <c r="J27" s="1068">
        <v>4.5640000000000001</v>
      </c>
      <c r="K27" s="1069">
        <v>2.3690000000000002</v>
      </c>
      <c r="L27" s="1122">
        <f t="shared" si="7"/>
        <v>27.073999999999998</v>
      </c>
      <c r="M27" s="1123">
        <v>0</v>
      </c>
      <c r="N27" s="1124">
        <f>Table2523467891011101213121412151615171819202122[[#This Row],[Jones Creek Target (Mbopd)]]-Table2523467891011101213121412151615171819202122[[#This Row],[Jones Creek (Mbopd)]]</f>
        <v>0.32900000000000063</v>
      </c>
      <c r="O27" s="1044">
        <f>Table2523467891011101213121412151615171819202122[[#This Row],[Odidi Target (Mbopd)]]-Table2523467891011101213121412151615171819202122[[#This Row],[Odidi (Mbopd)]]</f>
        <v>15.22</v>
      </c>
      <c r="P27" s="1044">
        <f>Table2523467891011101213121412151615171819202122[[#This Row],[Batan Target (Mbopd)]]-Table2523467891011101213121412151615171819202122[[#This Row],[Batan (Mbopd)]]</f>
        <v>0.5860000000000003</v>
      </c>
      <c r="Q27" s="1044">
        <f>Table2523467891011101213121412151615171819202122[[#This Row],[Egwa Target (Mbopd)]]-Table2523467891011101213121412151615171819202122[[#This Row],[Egwa (Mbopd)]]</f>
        <v>1.2109999999999999</v>
      </c>
      <c r="R27" s="1043">
        <v>5.76</v>
      </c>
      <c r="S27" s="1044">
        <v>0</v>
      </c>
      <c r="T27" s="1044">
        <v>1.49</v>
      </c>
      <c r="U27" s="1045">
        <v>2.48</v>
      </c>
      <c r="V27" s="1046">
        <v>0.84</v>
      </c>
      <c r="W27" s="1044">
        <v>0</v>
      </c>
      <c r="X27" s="1044">
        <v>1</v>
      </c>
      <c r="Y27" s="1045">
        <v>0</v>
      </c>
      <c r="Z27" s="1046">
        <f>+Table2523467891011101213121412151615171819202122[[#This Row],[J/C Prod gas (MMscf)]]-Table2523467891011101213121412151615171819202122[[#This Row],[J/C Utilised gas (MMscf)]]</f>
        <v>4.92</v>
      </c>
      <c r="AA27" s="1044">
        <f>+Table2523467891011101213121412151615171819202122[[#This Row],[Odid Prod gas (MMscf)]]-Table2523467891011101213121412151615171819202122[[#This Row],[Gas Export (MMscf/d)]]</f>
        <v>0</v>
      </c>
      <c r="AB27" s="1044">
        <f>+Table2523467891011101213121412151615171819202122[[#This Row],[Batn Prod gas (MMscf)]]-Table2523467891011101213121412151615171819202122[[#This Row],[Batn Utilised gas (MMscf)]]</f>
        <v>0.49</v>
      </c>
      <c r="AC27" s="1044">
        <f>+Table2523467891011101213121412151615171819202122[[#This Row],[Egwa Prod gas (MMscf)]]-Table2523467891011101213121412151615171819202122[[#This Row],[Egwa Utilised gas (MMscf)]]</f>
        <v>2.48</v>
      </c>
      <c r="AD2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9.73</v>
      </c>
      <c r="AE27" s="1044">
        <f>+Table2523467891011101213121412151615171819202122[[#This Row],[Gas Export (MMscf/d)]]</f>
        <v>0</v>
      </c>
      <c r="AF2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2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7.8900000000000006</v>
      </c>
    </row>
    <row r="28" spans="2:35">
      <c r="B28" s="716">
        <v>44611</v>
      </c>
      <c r="C28" s="749">
        <v>20.47</v>
      </c>
      <c r="D28" s="750">
        <v>15.22</v>
      </c>
      <c r="E28" s="750">
        <v>5.15</v>
      </c>
      <c r="F28" s="749">
        <v>3.58</v>
      </c>
      <c r="G28" s="1042">
        <f>SUM(Table2523467891011101213121412151615171819202122[[#This Row],[Jones Creek Target (Mbopd)]:[Egwa Target (Mbopd)]])</f>
        <v>44.419999999999995</v>
      </c>
      <c r="H28" s="1068">
        <v>19.241</v>
      </c>
      <c r="I28" s="1068">
        <v>0</v>
      </c>
      <c r="J28" s="1068">
        <v>4.5549999999999997</v>
      </c>
      <c r="K28" s="1069">
        <v>2.375</v>
      </c>
      <c r="L28" s="1122">
        <f t="shared" si="7"/>
        <v>26.170999999999999</v>
      </c>
      <c r="M28" s="1123">
        <v>0</v>
      </c>
      <c r="N28" s="1124">
        <f>Table2523467891011101213121412151615171819202122[[#This Row],[Jones Creek Target (Mbopd)]]-Table2523467891011101213121412151615171819202122[[#This Row],[Jones Creek (Mbopd)]]</f>
        <v>1.2289999999999992</v>
      </c>
      <c r="O28" s="1044">
        <f>Table2523467891011101213121412151615171819202122[[#This Row],[Odidi Target (Mbopd)]]-Table2523467891011101213121412151615171819202122[[#This Row],[Odidi (Mbopd)]]</f>
        <v>15.22</v>
      </c>
      <c r="P28" s="1044">
        <f>Table2523467891011101213121412151615171819202122[[#This Row],[Batan Target (Mbopd)]]-Table2523467891011101213121412151615171819202122[[#This Row],[Batan (Mbopd)]]</f>
        <v>0.59500000000000064</v>
      </c>
      <c r="Q28" s="1044">
        <f>Table2523467891011101213121412151615171819202122[[#This Row],[Egwa Target (Mbopd)]]-Table2523467891011101213121412151615171819202122[[#This Row],[Egwa (Mbopd)]]</f>
        <v>1.2050000000000001</v>
      </c>
      <c r="R28" s="1043">
        <v>6.41</v>
      </c>
      <c r="S28" s="1044">
        <v>0</v>
      </c>
      <c r="T28" s="1044">
        <v>1.49</v>
      </c>
      <c r="U28" s="1045">
        <v>2.48</v>
      </c>
      <c r="V28" s="1046">
        <v>0.84</v>
      </c>
      <c r="W28" s="1044">
        <v>0</v>
      </c>
      <c r="X28" s="1044">
        <v>1</v>
      </c>
      <c r="Y28" s="1045">
        <v>0</v>
      </c>
      <c r="Z28" s="1046">
        <f>+Table2523467891011101213121412151615171819202122[[#This Row],[J/C Prod gas (MMscf)]]-Table2523467891011101213121412151615171819202122[[#This Row],[J/C Utilised gas (MMscf)]]</f>
        <v>5.57</v>
      </c>
      <c r="AA28" s="1044">
        <f>+Table2523467891011101213121412151615171819202122[[#This Row],[Odid Prod gas (MMscf)]]-Table2523467891011101213121412151615171819202122[[#This Row],[Gas Export (MMscf/d)]]</f>
        <v>0</v>
      </c>
      <c r="AB28" s="1044">
        <f>+Table2523467891011101213121412151615171819202122[[#This Row],[Batn Prod gas (MMscf)]]-Table2523467891011101213121412151615171819202122[[#This Row],[Batn Utilised gas (MMscf)]]</f>
        <v>0.49</v>
      </c>
      <c r="AC28" s="1044">
        <f>+Table2523467891011101213121412151615171819202122[[#This Row],[Egwa Prod gas (MMscf)]]-Table2523467891011101213121412151615171819202122[[#This Row],[Egwa Utilised gas (MMscf)]]</f>
        <v>2.48</v>
      </c>
      <c r="AD2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10.38</v>
      </c>
      <c r="AE28" s="1044">
        <f>+Table2523467891011101213121412151615171819202122[[#This Row],[Gas Export (MMscf/d)]]</f>
        <v>0</v>
      </c>
      <c r="AF2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2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8.5400000000000009</v>
      </c>
    </row>
    <row r="29" spans="2:35">
      <c r="B29" s="716">
        <v>44612</v>
      </c>
      <c r="C29" s="749">
        <v>20.47</v>
      </c>
      <c r="D29" s="750">
        <v>15.22</v>
      </c>
      <c r="E29" s="750">
        <v>5.15</v>
      </c>
      <c r="F29" s="749">
        <v>3.58</v>
      </c>
      <c r="G29" s="1042">
        <f>SUM(Table2523467891011101213121412151615171819202122[[#This Row],[Jones Creek Target (Mbopd)]:[Egwa Target (Mbopd)]])</f>
        <v>44.419999999999995</v>
      </c>
      <c r="H29" s="1068">
        <v>18.141999999999999</v>
      </c>
      <c r="I29" s="1068">
        <v>0</v>
      </c>
      <c r="J29" s="1068">
        <v>4.5540000000000003</v>
      </c>
      <c r="K29" s="1069">
        <v>2.359</v>
      </c>
      <c r="L29" s="1122">
        <f t="shared" si="7"/>
        <v>25.055</v>
      </c>
      <c r="M29" s="1123">
        <v>0</v>
      </c>
      <c r="N29" s="1124">
        <f>Table2523467891011101213121412151615171819202122[[#This Row],[Jones Creek Target (Mbopd)]]-Table2523467891011101213121412151615171819202122[[#This Row],[Jones Creek (Mbopd)]]</f>
        <v>2.3279999999999994</v>
      </c>
      <c r="O29" s="1044">
        <f>Table2523467891011101213121412151615171819202122[[#This Row],[Odidi Target (Mbopd)]]-Table2523467891011101213121412151615171819202122[[#This Row],[Odidi (Mbopd)]]</f>
        <v>15.22</v>
      </c>
      <c r="P29" s="1044">
        <f>Table2523467891011101213121412151615171819202122[[#This Row],[Batan Target (Mbopd)]]-Table2523467891011101213121412151615171819202122[[#This Row],[Batan (Mbopd)]]</f>
        <v>0.59600000000000009</v>
      </c>
      <c r="Q29" s="1044">
        <f>Table2523467891011101213121412151615171819202122[[#This Row],[Egwa Target (Mbopd)]]-Table2523467891011101213121412151615171819202122[[#This Row],[Egwa (Mbopd)]]</f>
        <v>1.2210000000000001</v>
      </c>
      <c r="R29" s="1043">
        <v>6.41</v>
      </c>
      <c r="S29" s="1044">
        <v>0</v>
      </c>
      <c r="T29" s="1044">
        <v>1.49</v>
      </c>
      <c r="U29" s="1045">
        <v>2.48</v>
      </c>
      <c r="V29" s="1046">
        <v>0.84</v>
      </c>
      <c r="W29" s="1044">
        <v>0</v>
      </c>
      <c r="X29" s="1044">
        <v>1</v>
      </c>
      <c r="Y29" s="1045">
        <v>0</v>
      </c>
      <c r="Z29" s="1046">
        <f>+Table2523467891011101213121412151615171819202122[[#This Row],[J/C Prod gas (MMscf)]]-Table2523467891011101213121412151615171819202122[[#This Row],[J/C Utilised gas (MMscf)]]</f>
        <v>5.57</v>
      </c>
      <c r="AA29" s="1044">
        <f>+Table2523467891011101213121412151615171819202122[[#This Row],[Odid Prod gas (MMscf)]]-Table2523467891011101213121412151615171819202122[[#This Row],[Gas Export (MMscf/d)]]</f>
        <v>0</v>
      </c>
      <c r="AB29" s="1044">
        <f>+Table2523467891011101213121412151615171819202122[[#This Row],[Batn Prod gas (MMscf)]]-Table2523467891011101213121412151615171819202122[[#This Row],[Batn Utilised gas (MMscf)]]</f>
        <v>0.49</v>
      </c>
      <c r="AC29" s="1044">
        <f>+Table2523467891011101213121412151615171819202122[[#This Row],[Egwa Prod gas (MMscf)]]-Table2523467891011101213121412151615171819202122[[#This Row],[Egwa Utilised gas (MMscf)]]</f>
        <v>2.48</v>
      </c>
      <c r="AD2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10.38</v>
      </c>
      <c r="AE29" s="1044">
        <f>+Table2523467891011101213121412151615171819202122[[#This Row],[Gas Export (MMscf/d)]]</f>
        <v>0</v>
      </c>
      <c r="AF2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2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8.5400000000000009</v>
      </c>
    </row>
    <row r="30" spans="2:35">
      <c r="B30" s="716">
        <v>44613</v>
      </c>
      <c r="C30" s="749">
        <v>20.47</v>
      </c>
      <c r="D30" s="750">
        <v>15.22</v>
      </c>
      <c r="E30" s="750">
        <v>5.15</v>
      </c>
      <c r="F30" s="749">
        <v>3.58</v>
      </c>
      <c r="G30" s="1042">
        <f>SUM(Table2523467891011101213121412151615171819202122[[#This Row],[Jones Creek Target (Mbopd)]:[Egwa Target (Mbopd)]])</f>
        <v>44.419999999999995</v>
      </c>
      <c r="H30" s="1068">
        <v>17.356000000000002</v>
      </c>
      <c r="I30" s="1068">
        <v>2.891</v>
      </c>
      <c r="J30" s="1068">
        <v>4.5540000000000003</v>
      </c>
      <c r="K30" s="1069">
        <v>2.3620000000000001</v>
      </c>
      <c r="L30" s="1122">
        <f t="shared" si="7"/>
        <v>27.163000000000004</v>
      </c>
      <c r="M30" s="1123">
        <v>0</v>
      </c>
      <c r="N30" s="1124">
        <f>Table2523467891011101213121412151615171819202122[[#This Row],[Jones Creek Target (Mbopd)]]-Table2523467891011101213121412151615171819202122[[#This Row],[Jones Creek (Mbopd)]]</f>
        <v>3.1139999999999972</v>
      </c>
      <c r="O30" s="1044">
        <f>Table2523467891011101213121412151615171819202122[[#This Row],[Odidi Target (Mbopd)]]-Table2523467891011101213121412151615171819202122[[#This Row],[Odidi (Mbopd)]]</f>
        <v>12.329000000000001</v>
      </c>
      <c r="P30" s="1044">
        <f>Table2523467891011101213121412151615171819202122[[#This Row],[Batan Target (Mbopd)]]-Table2523467891011101213121412151615171819202122[[#This Row],[Batan (Mbopd)]]</f>
        <v>0.59600000000000009</v>
      </c>
      <c r="Q30" s="1044">
        <f>Table2523467891011101213121412151615171819202122[[#This Row],[Egwa Target (Mbopd)]]-Table2523467891011101213121412151615171819202122[[#This Row],[Egwa (Mbopd)]]</f>
        <v>1.218</v>
      </c>
      <c r="R30" s="1043">
        <v>10.85</v>
      </c>
      <c r="S30" s="1044">
        <v>1.67</v>
      </c>
      <c r="T30" s="1044">
        <v>1.49</v>
      </c>
      <c r="U30" s="1045">
        <v>2.4900000000000002</v>
      </c>
      <c r="V30" s="1046">
        <v>0.84</v>
      </c>
      <c r="W30" s="1044">
        <v>0</v>
      </c>
      <c r="X30" s="1044">
        <v>1</v>
      </c>
      <c r="Y30" s="1045">
        <v>0</v>
      </c>
      <c r="Z30" s="1046">
        <f>+Table2523467891011101213121412151615171819202122[[#This Row],[J/C Prod gas (MMscf)]]-Table2523467891011101213121412151615171819202122[[#This Row],[J/C Utilised gas (MMscf)]]</f>
        <v>10.01</v>
      </c>
      <c r="AA30" s="1044">
        <f>+Table2523467891011101213121412151615171819202122[[#This Row],[Odid Prod gas (MMscf)]]-Table2523467891011101213121412151615171819202122[[#This Row],[Gas Export (MMscf/d)]]</f>
        <v>1.67</v>
      </c>
      <c r="AB30" s="1044">
        <f>+Table2523467891011101213121412151615171819202122[[#This Row],[Batn Prod gas (MMscf)]]-Table2523467891011101213121412151615171819202122[[#This Row],[Batn Utilised gas (MMscf)]]</f>
        <v>0.49</v>
      </c>
      <c r="AC30" s="1044">
        <f>+Table2523467891011101213121412151615171819202122[[#This Row],[Egwa Prod gas (MMscf)]]-Table2523467891011101213121412151615171819202122[[#This Row],[Egwa Utilised gas (MMscf)]]</f>
        <v>2.4900000000000002</v>
      </c>
      <c r="AD30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16.5</v>
      </c>
      <c r="AE30" s="1044">
        <f>+Table2523467891011101213121412151615171819202122[[#This Row],[Gas Export (MMscf/d)]]</f>
        <v>0</v>
      </c>
      <c r="AF30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0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14.66</v>
      </c>
    </row>
    <row r="31" spans="2:35">
      <c r="B31" s="716">
        <v>44614</v>
      </c>
      <c r="C31" s="749">
        <v>20.47</v>
      </c>
      <c r="D31" s="750">
        <v>15.22</v>
      </c>
      <c r="E31" s="750">
        <v>5.15</v>
      </c>
      <c r="F31" s="749">
        <v>3.58</v>
      </c>
      <c r="G31" s="1042">
        <f>SUM(Table2523467891011101213121412151615171819202122[[#This Row],[Jones Creek Target (Mbopd)]:[Egwa Target (Mbopd)]])</f>
        <v>44.419999999999995</v>
      </c>
      <c r="H31" s="1068">
        <v>18.277999999999999</v>
      </c>
      <c r="I31" s="1068">
        <v>5.01</v>
      </c>
      <c r="J31" s="1068">
        <v>4.5259999999999998</v>
      </c>
      <c r="K31" s="1069">
        <v>2.2589999999999999</v>
      </c>
      <c r="L31" s="1122">
        <f t="shared" si="7"/>
        <v>30.072999999999997</v>
      </c>
      <c r="M31" s="1123">
        <v>0</v>
      </c>
      <c r="N31" s="1124">
        <f>Table2523467891011101213121412151615171819202122[[#This Row],[Jones Creek Target (Mbopd)]]-Table2523467891011101213121412151615171819202122[[#This Row],[Jones Creek (Mbopd)]]</f>
        <v>2.1920000000000002</v>
      </c>
      <c r="O31" s="1044">
        <f>Table2523467891011101213121412151615171819202122[[#This Row],[Odidi Target (Mbopd)]]-Table2523467891011101213121412151615171819202122[[#This Row],[Odidi (Mbopd)]]</f>
        <v>10.210000000000001</v>
      </c>
      <c r="P31" s="1044">
        <f>Table2523467891011101213121412151615171819202122[[#This Row],[Batan Target (Mbopd)]]-Table2523467891011101213121412151615171819202122[[#This Row],[Batan (Mbopd)]]</f>
        <v>0.62400000000000055</v>
      </c>
      <c r="Q31" s="1044">
        <f>Table2523467891011101213121412151615171819202122[[#This Row],[Egwa Target (Mbopd)]]-Table2523467891011101213121412151615171819202122[[#This Row],[Egwa (Mbopd)]]</f>
        <v>1.3210000000000002</v>
      </c>
      <c r="R31" s="1043">
        <v>10.52</v>
      </c>
      <c r="S31" s="1044">
        <v>4.6399999999999997</v>
      </c>
      <c r="T31" s="1044">
        <v>1.49</v>
      </c>
      <c r="U31" s="1045">
        <v>2.39</v>
      </c>
      <c r="V31" s="1046">
        <v>0.84</v>
      </c>
      <c r="W31" s="1044">
        <v>0</v>
      </c>
      <c r="X31" s="1044">
        <v>1</v>
      </c>
      <c r="Y31" s="1045">
        <v>0</v>
      </c>
      <c r="Z31" s="1046">
        <f>+Table2523467891011101213121412151615171819202122[[#This Row],[J/C Prod gas (MMscf)]]-Table2523467891011101213121412151615171819202122[[#This Row],[J/C Utilised gas (MMscf)]]</f>
        <v>9.68</v>
      </c>
      <c r="AA31" s="1044">
        <f>+Table2523467891011101213121412151615171819202122[[#This Row],[Odid Prod gas (MMscf)]]-Table2523467891011101213121412151615171819202122[[#This Row],[Gas Export (MMscf/d)]]</f>
        <v>4.6399999999999997</v>
      </c>
      <c r="AB31" s="1044">
        <f>+Table2523467891011101213121412151615171819202122[[#This Row],[Batn Prod gas (MMscf)]]-Table2523467891011101213121412151615171819202122[[#This Row],[Batn Utilised gas (MMscf)]]</f>
        <v>0.49</v>
      </c>
      <c r="AC31" s="1044">
        <f>+Table2523467891011101213121412151615171819202122[[#This Row],[Egwa Prod gas (MMscf)]]-Table2523467891011101213121412151615171819202122[[#This Row],[Egwa Utilised gas (MMscf)]]</f>
        <v>2.39</v>
      </c>
      <c r="AD31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19.04</v>
      </c>
      <c r="AE31" s="1044">
        <f>+Table2523467891011101213121412151615171819202122[[#This Row],[Gas Export (MMscf/d)]]</f>
        <v>0</v>
      </c>
      <c r="AF31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1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17.2</v>
      </c>
    </row>
    <row r="32" spans="2:35">
      <c r="B32" s="716">
        <v>44615</v>
      </c>
      <c r="C32" s="749">
        <v>20.47</v>
      </c>
      <c r="D32" s="750">
        <v>15.22</v>
      </c>
      <c r="E32" s="750">
        <v>5.15</v>
      </c>
      <c r="F32" s="749">
        <v>3.58</v>
      </c>
      <c r="G32" s="1042">
        <f>SUM(Table2523467891011101213121412151615171819202122[[#This Row],[Jones Creek Target (Mbopd)]:[Egwa Target (Mbopd)]])</f>
        <v>44.419999999999995</v>
      </c>
      <c r="H32" s="1068">
        <v>19.231999999999999</v>
      </c>
      <c r="I32" s="1042">
        <v>4.2699999999999996</v>
      </c>
      <c r="J32" s="1068">
        <v>4.5709999999999997</v>
      </c>
      <c r="K32" s="1069">
        <v>0</v>
      </c>
      <c r="L32" s="1122">
        <f t="shared" si="7"/>
        <v>28.073</v>
      </c>
      <c r="M32" s="1123">
        <v>0</v>
      </c>
      <c r="N32" s="1124">
        <f>Table2523467891011101213121412151615171819202122[[#This Row],[Jones Creek Target (Mbopd)]]-Table2523467891011101213121412151615171819202122[[#This Row],[Jones Creek (Mbopd)]]</f>
        <v>1.2379999999999995</v>
      </c>
      <c r="O32" s="1044">
        <f>Table2523467891011101213121412151615171819202122[[#This Row],[Odidi Target (Mbopd)]]-Table2523467891011101213121412151615171819202122[[#This Row],[Odidi (Mbopd)]]</f>
        <v>10.950000000000001</v>
      </c>
      <c r="P32" s="1044">
        <f>Table2523467891011101213121412151615171819202122[[#This Row],[Batan Target (Mbopd)]]-Table2523467891011101213121412151615171819202122[[#This Row],[Batan (Mbopd)]]</f>
        <v>0.57900000000000063</v>
      </c>
      <c r="Q32" s="1044">
        <f>Table2523467891011101213121412151615171819202122[[#This Row],[Egwa Target (Mbopd)]]-Table2523467891011101213121412151615171819202122[[#This Row],[Egwa (Mbopd)]]</f>
        <v>3.58</v>
      </c>
      <c r="R32" s="1043">
        <v>10.53</v>
      </c>
      <c r="S32" s="1127">
        <v>7.03</v>
      </c>
      <c r="T32" s="1044">
        <v>1.49</v>
      </c>
      <c r="U32" s="1045">
        <v>0</v>
      </c>
      <c r="V32" s="1046">
        <v>0.84</v>
      </c>
      <c r="W32" s="1044">
        <v>0</v>
      </c>
      <c r="X32" s="1044">
        <v>1</v>
      </c>
      <c r="Y32" s="1045">
        <v>0</v>
      </c>
      <c r="Z32" s="1046">
        <f>+Table2523467891011101213121412151615171819202122[[#This Row],[J/C Prod gas (MMscf)]]-Table2523467891011101213121412151615171819202122[[#This Row],[J/C Utilised gas (MMscf)]]</f>
        <v>9.69</v>
      </c>
      <c r="AA32" s="1044">
        <f>+Table2523467891011101213121412151615171819202122[[#This Row],[Odid Prod gas (MMscf)]]-Table2523467891011101213121412151615171819202122[[#This Row],[Gas Export (MMscf/d)]]</f>
        <v>7.03</v>
      </c>
      <c r="AB32" s="1044">
        <f>+Table2523467891011101213121412151615171819202122[[#This Row],[Batn Prod gas (MMscf)]]-Table2523467891011101213121412151615171819202122[[#This Row],[Batn Utilised gas (MMscf)]]</f>
        <v>0.49</v>
      </c>
      <c r="AC32" s="1044">
        <f>+Table2523467891011101213121412151615171819202122[[#This Row],[Egwa Prod gas (MMscf)]]-Table2523467891011101213121412151615171819202122[[#This Row],[Egwa Utilised gas (MMscf)]]</f>
        <v>0</v>
      </c>
      <c r="AD32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19.049999999999997</v>
      </c>
      <c r="AE32" s="1044">
        <f>+Table2523467891011101213121412151615171819202122[[#This Row],[Gas Export (MMscf/d)]]</f>
        <v>0</v>
      </c>
      <c r="AF32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2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17.209999999999997</v>
      </c>
    </row>
    <row r="33" spans="2:33">
      <c r="B33" s="716">
        <v>44616</v>
      </c>
      <c r="C33" s="749">
        <v>20.47</v>
      </c>
      <c r="D33" s="750">
        <v>15.22</v>
      </c>
      <c r="E33" s="750">
        <v>5.15</v>
      </c>
      <c r="F33" s="749">
        <v>3.58</v>
      </c>
      <c r="G33" s="1042">
        <f>SUM(Table2523467891011101213121412151615171819202122[[#This Row],[Jones Creek Target (Mbopd)]:[Egwa Target (Mbopd)]])</f>
        <v>44.419999999999995</v>
      </c>
      <c r="H33" s="1068">
        <v>18.46</v>
      </c>
      <c r="I33" s="1068">
        <v>0</v>
      </c>
      <c r="J33" s="1068">
        <v>4.569</v>
      </c>
      <c r="K33" s="1069">
        <v>0</v>
      </c>
      <c r="L33" s="1122">
        <f t="shared" si="7"/>
        <v>23.029</v>
      </c>
      <c r="M33" s="1123">
        <v>0</v>
      </c>
      <c r="N33" s="1124">
        <f>Table2523467891011101213121412151615171819202122[[#This Row],[Jones Creek Target (Mbopd)]]-Table2523467891011101213121412151615171819202122[[#This Row],[Jones Creek (Mbopd)]]</f>
        <v>2.009999999999998</v>
      </c>
      <c r="O33" s="1044">
        <f>Table2523467891011101213121412151615171819202122[[#This Row],[Odidi Target (Mbopd)]]-Table2523467891011101213121412151615171819202122[[#This Row],[Odidi (Mbopd)]]</f>
        <v>15.22</v>
      </c>
      <c r="P33" s="1044">
        <f>Table2523467891011101213121412151615171819202122[[#This Row],[Batan Target (Mbopd)]]-Table2523467891011101213121412151615171819202122[[#This Row],[Batan (Mbopd)]]</f>
        <v>0.58100000000000041</v>
      </c>
      <c r="Q33" s="1044">
        <f>Table2523467891011101213121412151615171819202122[[#This Row],[Egwa Target (Mbopd)]]-Table2523467891011101213121412151615171819202122[[#This Row],[Egwa (Mbopd)]]</f>
        <v>3.58</v>
      </c>
      <c r="R33" s="1043">
        <v>10.5</v>
      </c>
      <c r="S33" s="1044">
        <v>0</v>
      </c>
      <c r="T33" s="1044">
        <v>1.49</v>
      </c>
      <c r="U33" s="1045">
        <v>0</v>
      </c>
      <c r="V33" s="1046">
        <v>0.84</v>
      </c>
      <c r="W33" s="1044">
        <v>0</v>
      </c>
      <c r="X33" s="1044">
        <v>1</v>
      </c>
      <c r="Y33" s="1045">
        <v>0</v>
      </c>
      <c r="Z33" s="1046">
        <f>+Table2523467891011101213121412151615171819202122[[#This Row],[J/C Prod gas (MMscf)]]-Table2523467891011101213121412151615171819202122[[#This Row],[J/C Utilised gas (MMscf)]]</f>
        <v>9.66</v>
      </c>
      <c r="AA33" s="1044">
        <f>+Table2523467891011101213121412151615171819202122[[#This Row],[Odid Prod gas (MMscf)]]-Table2523467891011101213121412151615171819202122[[#This Row],[Gas Export (MMscf/d)]]</f>
        <v>0</v>
      </c>
      <c r="AB33" s="1044">
        <f>+Table2523467891011101213121412151615171819202122[[#This Row],[Batn Prod gas (MMscf)]]-Table2523467891011101213121412151615171819202122[[#This Row],[Batn Utilised gas (MMscf)]]</f>
        <v>0.49</v>
      </c>
      <c r="AC33" s="1044">
        <f>+Table2523467891011101213121412151615171819202122[[#This Row],[Egwa Prod gas (MMscf)]]-Table2523467891011101213121412151615171819202122[[#This Row],[Egwa Utilised gas (MMscf)]]</f>
        <v>0</v>
      </c>
      <c r="AD33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11.99</v>
      </c>
      <c r="AE33" s="1044">
        <f>+Table2523467891011101213121412151615171819202122[[#This Row],[Gas Export (MMscf/d)]]</f>
        <v>0</v>
      </c>
      <c r="AF33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1.8399999999999999</v>
      </c>
      <c r="AG33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10.15</v>
      </c>
    </row>
    <row r="34" spans="2:33">
      <c r="B34" s="716">
        <v>44617</v>
      </c>
      <c r="C34" s="749">
        <v>20.47</v>
      </c>
      <c r="D34" s="750">
        <v>15.22</v>
      </c>
      <c r="E34" s="750">
        <v>5.15</v>
      </c>
      <c r="F34" s="749">
        <v>3.58</v>
      </c>
      <c r="G34" s="1042">
        <f>SUM(Table2523467891011101213121412151615171819202122[[#This Row],[Jones Creek Target (Mbopd)]:[Egwa Target (Mbopd)]])</f>
        <v>44.419999999999995</v>
      </c>
      <c r="H34" s="1068">
        <v>18.911000000000001</v>
      </c>
      <c r="I34" s="1042">
        <v>2.4750000000000001</v>
      </c>
      <c r="J34" s="1068">
        <v>2.2730000000000001</v>
      </c>
      <c r="K34" s="1069">
        <v>1.21</v>
      </c>
      <c r="L34" s="1122">
        <f t="shared" ref="L34" si="8">H34+I34+J34+K34</f>
        <v>24.869000000000003</v>
      </c>
      <c r="M34" s="1123">
        <v>0</v>
      </c>
      <c r="N34" s="1124">
        <f>Table2523467891011101213121412151615171819202122[[#This Row],[Jones Creek Target (Mbopd)]]-Table2523467891011101213121412151615171819202122[[#This Row],[Jones Creek (Mbopd)]]</f>
        <v>1.5589999999999975</v>
      </c>
      <c r="O34" s="1044">
        <f>Table2523467891011101213121412151615171819202122[[#This Row],[Odidi Target (Mbopd)]]-Table2523467891011101213121412151615171819202122[[#This Row],[Odidi (Mbopd)]]</f>
        <v>12.745000000000001</v>
      </c>
      <c r="P34" s="1044">
        <f>Table2523467891011101213121412151615171819202122[[#This Row],[Batan Target (Mbopd)]]-Table2523467891011101213121412151615171819202122[[#This Row],[Batan (Mbopd)]]</f>
        <v>2.8770000000000002</v>
      </c>
      <c r="Q34" s="1044">
        <f>Table2523467891011101213121412151615171819202122[[#This Row],[Egwa Target (Mbopd)]]-Table2523467891011101213121412151615171819202122[[#This Row],[Egwa (Mbopd)]]</f>
        <v>2.37</v>
      </c>
      <c r="R34" s="1043">
        <v>10.49</v>
      </c>
      <c r="S34" s="1044">
        <v>3.67</v>
      </c>
      <c r="T34" s="1044">
        <v>1.02</v>
      </c>
      <c r="U34" s="1045">
        <v>0.35</v>
      </c>
      <c r="V34" s="1046">
        <v>0.84</v>
      </c>
      <c r="W34" s="1044">
        <v>0</v>
      </c>
      <c r="X34" s="1044">
        <v>0.2</v>
      </c>
      <c r="Y34" s="1045">
        <v>0</v>
      </c>
      <c r="Z34" s="1046">
        <f>+Table2523467891011101213121412151615171819202122[[#This Row],[J/C Prod gas (MMscf)]]-Table2523467891011101213121412151615171819202122[[#This Row],[J/C Utilised gas (MMscf)]]</f>
        <v>9.65</v>
      </c>
      <c r="AA34" s="1044">
        <f>+Table2523467891011101213121412151615171819202122[[#This Row],[Odid Prod gas (MMscf)]]-Table2523467891011101213121412151615171819202122[[#This Row],[Gas Export (MMscf/d)]]</f>
        <v>3.67</v>
      </c>
      <c r="AB34" s="1044">
        <f>+Table2523467891011101213121412151615171819202122[[#This Row],[Batn Prod gas (MMscf)]]-Table2523467891011101213121412151615171819202122[[#This Row],[Batn Utilised gas (MMscf)]]</f>
        <v>0.82000000000000006</v>
      </c>
      <c r="AC34" s="1044">
        <f>+Table2523467891011101213121412151615171819202122[[#This Row],[Egwa Prod gas (MMscf)]]-Table2523467891011101213121412151615171819202122[[#This Row],[Egwa Utilised gas (MMscf)]]</f>
        <v>0.35</v>
      </c>
      <c r="AD34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15.53</v>
      </c>
      <c r="AE34" s="1044">
        <f>+Table2523467891011101213121412151615171819202122[[#This Row],[Gas Export (MMscf/d)]]</f>
        <v>0</v>
      </c>
      <c r="AF34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1.04</v>
      </c>
      <c r="AG34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14.49</v>
      </c>
    </row>
    <row r="35" spans="2:33">
      <c r="B35" s="716">
        <v>44618</v>
      </c>
      <c r="C35" s="749">
        <v>20.47</v>
      </c>
      <c r="D35" s="750">
        <v>15.22</v>
      </c>
      <c r="E35" s="750">
        <v>5.15</v>
      </c>
      <c r="F35" s="749">
        <v>3.58</v>
      </c>
      <c r="G35" s="1042">
        <f>SUM(Table2523467891011101213121412151615171819202122[[#This Row],[Jones Creek Target (Mbopd)]:[Egwa Target (Mbopd)]])</f>
        <v>44.419999999999995</v>
      </c>
      <c r="H35" s="1042">
        <v>19.061</v>
      </c>
      <c r="I35" s="1068">
        <v>4.2359999999999998</v>
      </c>
      <c r="J35" s="1068">
        <v>0</v>
      </c>
      <c r="K35" s="1069">
        <v>2.415</v>
      </c>
      <c r="L35" s="1122">
        <f t="shared" ref="L35:L37" si="9">H35+I35+J35+K35</f>
        <v>25.712</v>
      </c>
      <c r="M35" s="1123">
        <v>0</v>
      </c>
      <c r="N35" s="1124">
        <f>Table2523467891011101213121412151615171819202122[[#This Row],[Jones Creek Target (Mbopd)]]-Table2523467891011101213121412151615171819202122[[#This Row],[Jones Creek (Mbopd)]]</f>
        <v>1.4089999999999989</v>
      </c>
      <c r="O35" s="1044">
        <f>Table2523467891011101213121412151615171819202122[[#This Row],[Odidi Target (Mbopd)]]-Table2523467891011101213121412151615171819202122[[#This Row],[Odidi (Mbopd)]]</f>
        <v>10.984000000000002</v>
      </c>
      <c r="P35" s="1044">
        <f>Table2523467891011101213121412151615171819202122[[#This Row],[Batan Target (Mbopd)]]-Table2523467891011101213121412151615171819202122[[#This Row],[Batan (Mbopd)]]</f>
        <v>5.15</v>
      </c>
      <c r="Q35" s="1044">
        <f>Table2523467891011101213121412151615171819202122[[#This Row],[Egwa Target (Mbopd)]]-Table2523467891011101213121412151615171819202122[[#This Row],[Egwa (Mbopd)]]</f>
        <v>1.165</v>
      </c>
      <c r="R35" s="1043">
        <v>10.18</v>
      </c>
      <c r="S35" s="1044">
        <v>7.03</v>
      </c>
      <c r="T35" s="1044">
        <v>0</v>
      </c>
      <c r="U35" s="1045">
        <v>1.8</v>
      </c>
      <c r="V35" s="1046">
        <v>0.84</v>
      </c>
      <c r="W35" s="1044">
        <v>0</v>
      </c>
      <c r="X35" s="1044">
        <v>0</v>
      </c>
      <c r="Y35" s="1045">
        <v>0</v>
      </c>
      <c r="Z35" s="1046">
        <f>+Table2523467891011101213121412151615171819202122[[#This Row],[J/C Prod gas (MMscf)]]-Table2523467891011101213121412151615171819202122[[#This Row],[J/C Utilised gas (MMscf)]]</f>
        <v>9.34</v>
      </c>
      <c r="AA35" s="1044">
        <f>+Table2523467891011101213121412151615171819202122[[#This Row],[Odid Prod gas (MMscf)]]-Table2523467891011101213121412151615171819202122[[#This Row],[Gas Export (MMscf/d)]]</f>
        <v>7.03</v>
      </c>
      <c r="AB35" s="1044">
        <f>+Table2523467891011101213121412151615171819202122[[#This Row],[Batn Prod gas (MMscf)]]-Table2523467891011101213121412151615171819202122[[#This Row],[Batn Utilised gas (MMscf)]]</f>
        <v>0</v>
      </c>
      <c r="AC35" s="1044">
        <f>+Table2523467891011101213121412151615171819202122[[#This Row],[Egwa Prod gas (MMscf)]]-Table2523467891011101213121412151615171819202122[[#This Row],[Egwa Utilised gas (MMscf)]]</f>
        <v>1.8</v>
      </c>
      <c r="AD35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19.010000000000002</v>
      </c>
      <c r="AE35" s="1044">
        <f>+Table2523467891011101213121412151615171819202122[[#This Row],[Gas Export (MMscf/d)]]</f>
        <v>0</v>
      </c>
      <c r="AF35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35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18.170000000000002</v>
      </c>
    </row>
    <row r="36" spans="2:33">
      <c r="B36" s="716">
        <v>44619</v>
      </c>
      <c r="C36" s="749">
        <v>20.47</v>
      </c>
      <c r="D36" s="750">
        <v>15.22</v>
      </c>
      <c r="E36" s="750">
        <v>5.15</v>
      </c>
      <c r="F36" s="749">
        <v>3.58</v>
      </c>
      <c r="G36" s="1042">
        <f>SUM(Table2523467891011101213121412151615171819202122[[#This Row],[Jones Creek Target (Mbopd)]:[Egwa Target (Mbopd)]])</f>
        <v>44.419999999999995</v>
      </c>
      <c r="H36" s="1068">
        <v>19.411000000000001</v>
      </c>
      <c r="I36" s="1068">
        <v>4.4459999999999997</v>
      </c>
      <c r="J36" s="1068">
        <v>0</v>
      </c>
      <c r="K36" s="1069">
        <v>2.3410000000000002</v>
      </c>
      <c r="L36" s="1122">
        <f t="shared" si="9"/>
        <v>26.198</v>
      </c>
      <c r="M36" s="1123">
        <v>0</v>
      </c>
      <c r="N36" s="1124">
        <f>Table2523467891011101213121412151615171819202122[[#This Row],[Jones Creek Target (Mbopd)]]-Table2523467891011101213121412151615171819202122[[#This Row],[Jones Creek (Mbopd)]]</f>
        <v>1.0589999999999975</v>
      </c>
      <c r="O36" s="1044">
        <f>Table2523467891011101213121412151615171819202122[[#This Row],[Odidi Target (Mbopd)]]-Table2523467891011101213121412151615171819202122[[#This Row],[Odidi (Mbopd)]]</f>
        <v>10.774000000000001</v>
      </c>
      <c r="P36" s="1044">
        <f>Table2523467891011101213121412151615171819202122[[#This Row],[Batan Target (Mbopd)]]-Table2523467891011101213121412151615171819202122[[#This Row],[Batan (Mbopd)]]</f>
        <v>5.15</v>
      </c>
      <c r="Q36" s="1044">
        <f>Table2523467891011101213121412151615171819202122[[#This Row],[Egwa Target (Mbopd)]]-Table2523467891011101213121412151615171819202122[[#This Row],[Egwa (Mbopd)]]</f>
        <v>1.2389999999999999</v>
      </c>
      <c r="R36" s="1043">
        <v>10.49</v>
      </c>
      <c r="S36" s="1044">
        <v>7.03</v>
      </c>
      <c r="T36" s="1044">
        <v>0</v>
      </c>
      <c r="U36" s="1045">
        <v>2.2000000000000002</v>
      </c>
      <c r="V36" s="1046">
        <v>0.84</v>
      </c>
      <c r="W36" s="1044">
        <v>0</v>
      </c>
      <c r="X36" s="1044">
        <v>0</v>
      </c>
      <c r="Y36" s="1045">
        <v>0</v>
      </c>
      <c r="Z36" s="1046">
        <f>+Table2523467891011101213121412151615171819202122[[#This Row],[J/C Prod gas (MMscf)]]-Table2523467891011101213121412151615171819202122[[#This Row],[J/C Utilised gas (MMscf)]]</f>
        <v>9.65</v>
      </c>
      <c r="AA36" s="1044">
        <f>+Table2523467891011101213121412151615171819202122[[#This Row],[Odid Prod gas (MMscf)]]-Table2523467891011101213121412151615171819202122[[#This Row],[Gas Export (MMscf/d)]]</f>
        <v>7.03</v>
      </c>
      <c r="AB36" s="1044">
        <f>+Table2523467891011101213121412151615171819202122[[#This Row],[Batn Prod gas (MMscf)]]-Table2523467891011101213121412151615171819202122[[#This Row],[Batn Utilised gas (MMscf)]]</f>
        <v>0</v>
      </c>
      <c r="AC36" s="1044">
        <f>+Table2523467891011101213121412151615171819202122[[#This Row],[Egwa Prod gas (MMscf)]]-Table2523467891011101213121412151615171819202122[[#This Row],[Egwa Utilised gas (MMscf)]]</f>
        <v>2.2000000000000002</v>
      </c>
      <c r="AD36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19.72</v>
      </c>
      <c r="AE36" s="1044">
        <f>+Table2523467891011101213121412151615171819202122[[#This Row],[Gas Export (MMscf/d)]]</f>
        <v>0</v>
      </c>
      <c r="AF36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36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18.88</v>
      </c>
    </row>
    <row r="37" spans="2:33">
      <c r="B37" s="716">
        <v>44620</v>
      </c>
      <c r="C37" s="749">
        <v>20.47</v>
      </c>
      <c r="D37" s="750">
        <v>15.22</v>
      </c>
      <c r="E37" s="750">
        <v>5.15</v>
      </c>
      <c r="F37" s="749">
        <v>3.58</v>
      </c>
      <c r="G37" s="1042">
        <f>SUM(Table2523467891011101213121412151615171819202122[[#This Row],[Jones Creek Target (Mbopd)]:[Egwa Target (Mbopd)]])</f>
        <v>44.419999999999995</v>
      </c>
      <c r="H37" s="1068">
        <v>7.6029999999999998</v>
      </c>
      <c r="I37" s="1068">
        <v>9.1620000000000008</v>
      </c>
      <c r="J37" s="1068">
        <v>0</v>
      </c>
      <c r="K37" s="1069">
        <v>2.266</v>
      </c>
      <c r="L37" s="1122">
        <f t="shared" si="9"/>
        <v>19.030999999999999</v>
      </c>
      <c r="M37" s="1123">
        <v>0</v>
      </c>
      <c r="N37" s="1124">
        <f>Table2523467891011101213121412151615171819202122[[#This Row],[Jones Creek Target (Mbopd)]]-Table2523467891011101213121412151615171819202122[[#This Row],[Jones Creek (Mbopd)]]</f>
        <v>12.866999999999999</v>
      </c>
      <c r="O37" s="1044">
        <f>Table2523467891011101213121412151615171819202122[[#This Row],[Odidi Target (Mbopd)]]-Table2523467891011101213121412151615171819202122[[#This Row],[Odidi (Mbopd)]]</f>
        <v>6.0579999999999998</v>
      </c>
      <c r="P37" s="1044">
        <f>Table2523467891011101213121412151615171819202122[[#This Row],[Batan Target (Mbopd)]]-Table2523467891011101213121412151615171819202122[[#This Row],[Batan (Mbopd)]]</f>
        <v>5.15</v>
      </c>
      <c r="Q37" s="1044">
        <f>Table2523467891011101213121412151615171819202122[[#This Row],[Egwa Target (Mbopd)]]-Table2523467891011101213121412151615171819202122[[#This Row],[Egwa (Mbopd)]]</f>
        <v>1.3140000000000001</v>
      </c>
      <c r="R37" s="1043">
        <v>10.49</v>
      </c>
      <c r="S37" s="1044">
        <v>18.190000000000001</v>
      </c>
      <c r="T37" s="1044">
        <v>0</v>
      </c>
      <c r="U37" s="1045">
        <v>2.3340000000000001</v>
      </c>
      <c r="V37" s="1046">
        <v>0.84</v>
      </c>
      <c r="W37" s="1044">
        <v>0</v>
      </c>
      <c r="X37" s="1044">
        <v>0</v>
      </c>
      <c r="Y37" s="1045">
        <v>0</v>
      </c>
      <c r="Z37" s="1046">
        <f>+Table2523467891011101213121412151615171819202122[[#This Row],[J/C Prod gas (MMscf)]]-Table2523467891011101213121412151615171819202122[[#This Row],[J/C Utilised gas (MMscf)]]</f>
        <v>9.65</v>
      </c>
      <c r="AA37" s="1044">
        <v>18.190000000000001</v>
      </c>
      <c r="AB37" s="1044">
        <f>+Table2523467891011101213121412151615171819202122[[#This Row],[Batn Prod gas (MMscf)]]-Table2523467891011101213121412151615171819202122[[#This Row],[Batn Utilised gas (MMscf)]]</f>
        <v>0</v>
      </c>
      <c r="AC37" s="1045">
        <v>2.33</v>
      </c>
      <c r="AD37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31.013999999999999</v>
      </c>
      <c r="AE37" s="1044">
        <f>+Table2523467891011101213121412151615171819202122[[#This Row],[Gas Export (MMscf/d)]]</f>
        <v>0</v>
      </c>
      <c r="AF37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0.84</v>
      </c>
      <c r="AG37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30.17</v>
      </c>
    </row>
    <row r="38" spans="2:33">
      <c r="B38" s="716">
        <v>44621</v>
      </c>
      <c r="C38" s="749">
        <v>20.47</v>
      </c>
      <c r="D38" s="750">
        <v>15.22</v>
      </c>
      <c r="E38" s="750">
        <v>5.15</v>
      </c>
      <c r="F38" s="749">
        <v>3.58</v>
      </c>
      <c r="G38" s="1042">
        <f>SUM(Table2523467891011101213121412151615171819202122[[#This Row],[Jones Creek Target (Mbopd)]:[Egwa Target (Mbopd)]])</f>
        <v>44.419999999999995</v>
      </c>
      <c r="H38" s="1068">
        <v>0</v>
      </c>
      <c r="I38" s="1068">
        <v>9.1159999999999997</v>
      </c>
      <c r="J38" s="1068">
        <v>0</v>
      </c>
      <c r="K38" s="1069">
        <v>2.2480000000000002</v>
      </c>
      <c r="L38" s="1122">
        <f>H38+I38+J38+K38</f>
        <v>11.364000000000001</v>
      </c>
      <c r="M38" s="1123">
        <v>0</v>
      </c>
      <c r="N38" s="1124">
        <f>Table2523467891011101213121412151615171819202122[[#This Row],[Jones Creek Target (Mbopd)]]-Table2523467891011101213121412151615171819202122[[#This Row],[Jones Creek (Mbopd)]]</f>
        <v>20.47</v>
      </c>
      <c r="O38" s="1044">
        <f>Table2523467891011101213121412151615171819202122[[#This Row],[Odidi Target (Mbopd)]]-Table2523467891011101213121412151615171819202122[[#This Row],[Odidi (Mbopd)]]</f>
        <v>6.104000000000001</v>
      </c>
      <c r="P38" s="1044">
        <f>Table2523467891011101213121412151615171819202122[[#This Row],[Batan Target (Mbopd)]]-Table2523467891011101213121412151615171819202122[[#This Row],[Batan (Mbopd)]]</f>
        <v>5.15</v>
      </c>
      <c r="Q38" s="1044">
        <f>Table2523467891011101213121412151615171819202122[[#This Row],[Egwa Target (Mbopd)]]-Table2523467891011101213121412151615171819202122[[#This Row],[Egwa (Mbopd)]]</f>
        <v>1.3319999999999999</v>
      </c>
      <c r="R38" s="1043">
        <v>0</v>
      </c>
      <c r="S38" s="1044">
        <v>18.78</v>
      </c>
      <c r="T38" s="1044">
        <v>0</v>
      </c>
      <c r="U38" s="1045">
        <v>2.36</v>
      </c>
      <c r="V38" s="1046">
        <v>0</v>
      </c>
      <c r="W38" s="1044">
        <v>0</v>
      </c>
      <c r="X38" s="1044">
        <v>0</v>
      </c>
      <c r="Y38" s="1045">
        <v>0</v>
      </c>
      <c r="Z38" s="1046">
        <f>+Table2523467891011101213121412151615171819202122[[#This Row],[J/C Prod gas (MMscf)]]-Table2523467891011101213121412151615171819202122[[#This Row],[J/C Utilised gas (MMscf)]]</f>
        <v>0</v>
      </c>
      <c r="AA38" s="1044">
        <v>18.78</v>
      </c>
      <c r="AB38" s="1044">
        <f>+Table2523467891011101213121412151615171819202122[[#This Row],[Batn Prod gas (MMscf)]]-Table2523467891011101213121412151615171819202122[[#This Row],[Batn Utilised gas (MMscf)]]</f>
        <v>0</v>
      </c>
      <c r="AC38" s="1045">
        <v>2.33</v>
      </c>
      <c r="AD38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21.14</v>
      </c>
      <c r="AE38" s="1044">
        <f>+Table2523467891011101213121412151615171819202122[[#This Row],[Gas Export (MMscf/d)]]</f>
        <v>0</v>
      </c>
      <c r="AF38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38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21.11</v>
      </c>
    </row>
    <row r="39" spans="2:33">
      <c r="B39" s="716">
        <v>44622</v>
      </c>
      <c r="C39" s="749">
        <v>20.47</v>
      </c>
      <c r="D39" s="750">
        <v>15.22</v>
      </c>
      <c r="E39" s="750">
        <v>5.15</v>
      </c>
      <c r="F39" s="749">
        <v>3.58</v>
      </c>
      <c r="G39" s="1042">
        <f>SUM(Table2523467891011101213121412151615171819202122[[#This Row],[Jones Creek Target (Mbopd)]:[Egwa Target (Mbopd)]])</f>
        <v>44.419999999999995</v>
      </c>
      <c r="H39" s="1068">
        <v>0</v>
      </c>
      <c r="I39" s="1068">
        <v>9.1159999999999997</v>
      </c>
      <c r="J39" s="1068">
        <v>0</v>
      </c>
      <c r="K39" s="1069">
        <v>2.2509999999999999</v>
      </c>
      <c r="L39" s="1122">
        <f>H39+I39+J39+K39</f>
        <v>11.366999999999999</v>
      </c>
      <c r="M39" s="1123">
        <v>0</v>
      </c>
      <c r="N39" s="1124">
        <f>Table2523467891011101213121412151615171819202122[[#This Row],[Jones Creek Target (Mbopd)]]-Table2523467891011101213121412151615171819202122[[#This Row],[Jones Creek (Mbopd)]]</f>
        <v>20.47</v>
      </c>
      <c r="O39" s="1044">
        <f>Table2523467891011101213121412151615171819202122[[#This Row],[Odidi Target (Mbopd)]]-Table2523467891011101213121412151615171819202122[[#This Row],[Odidi (Mbopd)]]</f>
        <v>6.104000000000001</v>
      </c>
      <c r="P39" s="1044">
        <f>Table2523467891011101213121412151615171819202122[[#This Row],[Batan Target (Mbopd)]]-Table2523467891011101213121412151615171819202122[[#This Row],[Batan (Mbopd)]]</f>
        <v>5.15</v>
      </c>
      <c r="Q39" s="1044">
        <f>Table2523467891011101213121412151615171819202122[[#This Row],[Egwa Target (Mbopd)]]-Table2523467891011101213121412151615171819202122[[#This Row],[Egwa (Mbopd)]]</f>
        <v>1.3290000000000002</v>
      </c>
      <c r="R39" s="1043">
        <v>0</v>
      </c>
      <c r="S39" s="1044">
        <v>18.78</v>
      </c>
      <c r="T39" s="1044">
        <v>0</v>
      </c>
      <c r="U39" s="1045">
        <v>2.3780000000000001</v>
      </c>
      <c r="V39" s="1046">
        <v>0</v>
      </c>
      <c r="W39" s="1046">
        <v>0</v>
      </c>
      <c r="X39" s="1044">
        <v>0</v>
      </c>
      <c r="Y39" s="1045">
        <v>0</v>
      </c>
      <c r="Z39" s="1046">
        <f>+Table2523467891011101213121412151615171819202122[[#This Row],[J/C Prod gas (MMscf)]]-Table2523467891011101213121412151615171819202122[[#This Row],[J/C Utilised gas (MMscf)]]</f>
        <v>0</v>
      </c>
      <c r="AA39" s="1044">
        <f>+Table2523467891011101213121412151615171819202122[[#This Row],[Odid Prod gas (MMscf)]]-Table2523467891011101213121412151615171819202122[[#This Row],[Gas Export (MMscf/d)]]</f>
        <v>18.78</v>
      </c>
      <c r="AB39" s="1044">
        <f>+Table2523467891011101213121412151615171819202122[[#This Row],[Batn Prod gas (MMscf)]]-Table2523467891011101213121412151615171819202122[[#This Row],[Batn Utilised gas (MMscf)]]</f>
        <v>0</v>
      </c>
      <c r="AC39" s="1045">
        <f>+Table2523467891011101213121412151615171819202122[[#This Row],[Egwa Prod gas (MMscf)]]-Table2523467891011101213121412151615171819202122[[#This Row],[Egwa Utilised gas (MMscf)]]</f>
        <v>2.3780000000000001</v>
      </c>
      <c r="AD39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21.158000000000001</v>
      </c>
      <c r="AE39" s="1044">
        <f>+Table2523467891011101213121412151615171819202122[[#This Row],[Gas Export (MMscf/d)]]</f>
        <v>0</v>
      </c>
      <c r="AF39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39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21.158000000000001</v>
      </c>
    </row>
    <row r="40" spans="2:33">
      <c r="B40" s="716">
        <v>44623</v>
      </c>
      <c r="C40" s="749">
        <v>20.47</v>
      </c>
      <c r="D40" s="750">
        <v>15.22</v>
      </c>
      <c r="E40" s="750">
        <v>5.15</v>
      </c>
      <c r="F40" s="749">
        <v>3.58</v>
      </c>
      <c r="G40" s="1042">
        <f>SUM(Table2523467891011101213121412151615171819202122[[#This Row],[Jones Creek Target (Mbopd)]:[Egwa Target (Mbopd)]])</f>
        <v>44.419999999999995</v>
      </c>
      <c r="H40" s="1068">
        <v>0</v>
      </c>
      <c r="I40" s="1068">
        <v>5.3159999999999998</v>
      </c>
      <c r="J40" s="1068">
        <v>0</v>
      </c>
      <c r="K40" s="1069">
        <v>2.2250000000000001</v>
      </c>
      <c r="L40" s="1122">
        <f t="shared" ref="L40:L41" si="10">H40+I40+J40+K40</f>
        <v>7.5410000000000004</v>
      </c>
      <c r="M40" s="1123">
        <v>0</v>
      </c>
      <c r="N40" s="1124">
        <f>Table2523467891011101213121412151615171819202122[[#This Row],[Jones Creek Target (Mbopd)]]-Table2523467891011101213121412151615171819202122[[#This Row],[Jones Creek (Mbopd)]]</f>
        <v>20.47</v>
      </c>
      <c r="O40" s="1044">
        <f>Table2523467891011101213121412151615171819202122[[#This Row],[Odidi Target (Mbopd)]]-Table2523467891011101213121412151615171819202122[[#This Row],[Odidi (Mbopd)]]</f>
        <v>9.9039999999999999</v>
      </c>
      <c r="P40" s="1044">
        <f>Table2523467891011101213121412151615171819202122[[#This Row],[Batan Target (Mbopd)]]-Table2523467891011101213121412151615171819202122[[#This Row],[Batan (Mbopd)]]</f>
        <v>5.15</v>
      </c>
      <c r="Q40" s="1044">
        <f>Table2523467891011101213121412151615171819202122[[#This Row],[Egwa Target (Mbopd)]]-Table2523467891011101213121412151615171819202122[[#This Row],[Egwa (Mbopd)]]</f>
        <v>1.355</v>
      </c>
      <c r="R40" s="1043">
        <v>0</v>
      </c>
      <c r="S40" s="1044">
        <v>7.15</v>
      </c>
      <c r="T40" s="1044">
        <v>0</v>
      </c>
      <c r="U40" s="1045">
        <v>2.3919999999999999</v>
      </c>
      <c r="V40" s="1046">
        <v>0</v>
      </c>
      <c r="W40" s="1046">
        <v>0</v>
      </c>
      <c r="X40" s="1044">
        <v>0</v>
      </c>
      <c r="Y40" s="1045">
        <v>0</v>
      </c>
      <c r="Z40" s="1046">
        <f>+Table2523467891011101213121412151615171819202122[[#This Row],[J/C Prod gas (MMscf)]]-Table2523467891011101213121412151615171819202122[[#This Row],[J/C Utilised gas (MMscf)]]</f>
        <v>0</v>
      </c>
      <c r="AA40" s="1044">
        <f>+Table2523467891011101213121412151615171819202122[[#This Row],[Odid Prod gas (MMscf)]]-Table2523467891011101213121412151615171819202122[[#This Row],[Gas Export (MMscf/d)]]</f>
        <v>7.15</v>
      </c>
      <c r="AB40" s="1044">
        <f>+Table2523467891011101213121412151615171819202122[[#This Row],[Batn Prod gas (MMscf)]]-Table2523467891011101213121412151615171819202122[[#This Row],[Batn Utilised gas (MMscf)]]</f>
        <v>0</v>
      </c>
      <c r="AC40" s="1045">
        <f>+Table2523467891011101213121412151615171819202122[[#This Row],[Egwa Prod gas (MMscf)]]-Table2523467891011101213121412151615171819202122[[#This Row],[Egwa Utilised gas (MMscf)]]</f>
        <v>2.3919999999999999</v>
      </c>
      <c r="AD40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9.5419999999999998</v>
      </c>
      <c r="AE40" s="1044">
        <f>+Table2523467891011101213121412151615171819202122[[#This Row],[Gas Export (MMscf/d)]]</f>
        <v>0</v>
      </c>
      <c r="AF40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40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9.5419999999999998</v>
      </c>
    </row>
    <row r="41" spans="2:33">
      <c r="B41" s="716">
        <v>44624</v>
      </c>
      <c r="C41" s="749">
        <v>20.47</v>
      </c>
      <c r="D41" s="750">
        <v>15.22</v>
      </c>
      <c r="E41" s="750">
        <v>5.15</v>
      </c>
      <c r="F41" s="749">
        <v>3.58</v>
      </c>
      <c r="G41" s="1042">
        <f>SUM(Table2523467891011101213121412151615171819202122[[#This Row],[Jones Creek Target (Mbopd)]:[Egwa Target (Mbopd)]])</f>
        <v>44.419999999999995</v>
      </c>
      <c r="H41" s="1068">
        <v>0</v>
      </c>
      <c r="I41" s="1068">
        <v>0</v>
      </c>
      <c r="J41" s="1068">
        <v>0</v>
      </c>
      <c r="K41" s="1069">
        <v>2.226</v>
      </c>
      <c r="L41" s="1122">
        <f t="shared" si="10"/>
        <v>2.226</v>
      </c>
      <c r="M41" s="1123">
        <v>0</v>
      </c>
      <c r="N41" s="1124">
        <f>Table2523467891011101213121412151615171819202122[[#This Row],[Jones Creek Target (Mbopd)]]-Table2523467891011101213121412151615171819202122[[#This Row],[Jones Creek (Mbopd)]]</f>
        <v>20.47</v>
      </c>
      <c r="O41" s="1044">
        <f>Table2523467891011101213121412151615171819202122[[#This Row],[Odidi Target (Mbopd)]]-Table2523467891011101213121412151615171819202122[[#This Row],[Odidi (Mbopd)]]</f>
        <v>15.22</v>
      </c>
      <c r="P41" s="1044">
        <f>Table2523467891011101213121412151615171819202122[[#This Row],[Batan Target (Mbopd)]]-Table2523467891011101213121412151615171819202122[[#This Row],[Batan (Mbopd)]]</f>
        <v>5.15</v>
      </c>
      <c r="Q41" s="1044">
        <f>Table2523467891011101213121412151615171819202122[[#This Row],[Egwa Target (Mbopd)]]-Table2523467891011101213121412151615171819202122[[#This Row],[Egwa (Mbopd)]]</f>
        <v>1.3540000000000001</v>
      </c>
      <c r="R41" s="1043">
        <v>0</v>
      </c>
      <c r="S41" s="1044">
        <v>0</v>
      </c>
      <c r="T41" s="1044">
        <v>0</v>
      </c>
      <c r="U41" s="1045">
        <v>2.4209999999999998</v>
      </c>
      <c r="V41" s="1046">
        <v>0</v>
      </c>
      <c r="W41" s="1046">
        <v>0</v>
      </c>
      <c r="X41" s="1044">
        <v>0</v>
      </c>
      <c r="Y41" s="1045">
        <v>0</v>
      </c>
      <c r="Z41" s="1046">
        <f>+Table2523467891011101213121412151615171819202122[[#This Row],[J/C Prod gas (MMscf)]]-Table2523467891011101213121412151615171819202122[[#This Row],[J/C Utilised gas (MMscf)]]</f>
        <v>0</v>
      </c>
      <c r="AA41" s="1044">
        <f>+Table2523467891011101213121412151615171819202122[[#This Row],[Odid Prod gas (MMscf)]]-Table2523467891011101213121412151615171819202122[[#This Row],[Gas Export (MMscf/d)]]</f>
        <v>0</v>
      </c>
      <c r="AB41" s="1044">
        <f>+Table2523467891011101213121412151615171819202122[[#This Row],[Batn Prod gas (MMscf)]]-Table2523467891011101213121412151615171819202122[[#This Row],[Batn Utilised gas (MMscf)]]</f>
        <v>0</v>
      </c>
      <c r="AC41" s="1045">
        <f>+Table2523467891011101213121412151615171819202122[[#This Row],[Egwa Prod gas (MMscf)]]-Table2523467891011101213121412151615171819202122[[#This Row],[Egwa Utilised gas (MMscf)]]</f>
        <v>2.4209999999999998</v>
      </c>
      <c r="AD41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2.4209999999999998</v>
      </c>
      <c r="AE41" s="1044">
        <f>+Table2523467891011101213121412151615171819202122[[#This Row],[Gas Export (MMscf/d)]]</f>
        <v>0</v>
      </c>
      <c r="AF41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41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2.4209999999999998</v>
      </c>
    </row>
    <row r="42" spans="2:33">
      <c r="B42" s="716">
        <v>44625</v>
      </c>
      <c r="C42" s="749">
        <v>20.47</v>
      </c>
      <c r="D42" s="750">
        <v>15.22</v>
      </c>
      <c r="E42" s="750">
        <v>5.15</v>
      </c>
      <c r="F42" s="749">
        <v>3.58</v>
      </c>
      <c r="G42" s="1042">
        <f>SUM(Table2523467891011101213121412151615171819202122[[#This Row],[Jones Creek Target (Mbopd)]:[Egwa Target (Mbopd)]])</f>
        <v>44.419999999999995</v>
      </c>
      <c r="H42" s="1068">
        <v>8.4139999999999997</v>
      </c>
      <c r="I42" s="1068">
        <v>0</v>
      </c>
      <c r="J42" s="1068">
        <v>0</v>
      </c>
      <c r="K42" s="1069">
        <v>2.2360000000000002</v>
      </c>
      <c r="L42" s="1164">
        <f t="shared" ref="L42:L43" si="11">H42+I42+J42+K42</f>
        <v>10.65</v>
      </c>
      <c r="M42" s="1123">
        <v>0</v>
      </c>
      <c r="N42" s="1124">
        <f>Table2523467891011101213121412151615171819202122[[#This Row],[Jones Creek Target (Mbopd)]]-Table2523467891011101213121412151615171819202122[[#This Row],[Jones Creek (Mbopd)]]</f>
        <v>12.055999999999999</v>
      </c>
      <c r="O42" s="1044">
        <f>Table2523467891011101213121412151615171819202122[[#This Row],[Odidi Target (Mbopd)]]-Table2523467891011101213121412151615171819202122[[#This Row],[Odidi (Mbopd)]]</f>
        <v>15.22</v>
      </c>
      <c r="P42" s="1044">
        <f>Table2523467891011101213121412151615171819202122[[#This Row],[Batan Target (Mbopd)]]-Table2523467891011101213121412151615171819202122[[#This Row],[Batan (Mbopd)]]</f>
        <v>5.15</v>
      </c>
      <c r="Q42" s="1044">
        <f>Table2523467891011101213121412151615171819202122[[#This Row],[Egwa Target (Mbopd)]]-Table2523467891011101213121412151615171819202122[[#This Row],[Egwa (Mbopd)]]</f>
        <v>1.3439999999999999</v>
      </c>
      <c r="R42" s="1043">
        <v>5.2888000000000002</v>
      </c>
      <c r="S42" s="1044">
        <v>0</v>
      </c>
      <c r="T42" s="1044">
        <v>0</v>
      </c>
      <c r="U42" s="1045">
        <v>2.4279999999999999</v>
      </c>
      <c r="V42" s="1046">
        <v>4.8640999999999996</v>
      </c>
      <c r="W42" s="1046">
        <v>0</v>
      </c>
      <c r="X42" s="1044">
        <v>0</v>
      </c>
      <c r="Y42" s="1045">
        <v>0</v>
      </c>
      <c r="Z42" s="1046">
        <f>+Table2523467891011101213121412151615171819202122[[#This Row],[J/C Prod gas (MMscf)]]-Table2523467891011101213121412151615171819202122[[#This Row],[J/C Utilised gas (MMscf)]]</f>
        <v>0.42470000000000052</v>
      </c>
      <c r="AA42" s="1044">
        <f>+Table2523467891011101213121412151615171819202122[[#This Row],[Odid Prod gas (MMscf)]]-Table2523467891011101213121412151615171819202122[[#This Row],[Gas Export (MMscf/d)]]</f>
        <v>0</v>
      </c>
      <c r="AB42" s="1044">
        <f>+Table2523467891011101213121412151615171819202122[[#This Row],[Batn Prod gas (MMscf)]]-Table2523467891011101213121412151615171819202122[[#This Row],[Batn Utilised gas (MMscf)]]</f>
        <v>0</v>
      </c>
      <c r="AC42" s="1045">
        <f>+Table2523467891011101213121412151615171819202122[[#This Row],[Egwa Prod gas (MMscf)]]-Table2523467891011101213121412151615171819202122[[#This Row],[Egwa Utilised gas (MMscf)]]</f>
        <v>2.4279999999999999</v>
      </c>
      <c r="AD42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7.7168000000000001</v>
      </c>
      <c r="AE42" s="1044">
        <f>+Table2523467891011101213121412151615171819202122[[#This Row],[Gas Export (MMscf/d)]]</f>
        <v>0</v>
      </c>
      <c r="AF42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4.8640999999999996</v>
      </c>
      <c r="AG42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2.8527000000000005</v>
      </c>
    </row>
    <row r="43" spans="2:33">
      <c r="B43" s="716">
        <v>44626</v>
      </c>
      <c r="C43" s="749">
        <v>20.47</v>
      </c>
      <c r="D43" s="750">
        <v>15.22</v>
      </c>
      <c r="E43" s="750">
        <v>5.15</v>
      </c>
      <c r="F43" s="749">
        <v>3.58</v>
      </c>
      <c r="G43" s="1042">
        <f>SUM(Table2523467891011101213121412151615171819202122[[#This Row],[Jones Creek Target (Mbopd)]:[Egwa Target (Mbopd)]])</f>
        <v>44.419999999999995</v>
      </c>
      <c r="H43" s="1068">
        <v>8.4139999999999997</v>
      </c>
      <c r="I43" s="1068">
        <v>0</v>
      </c>
      <c r="J43" s="1068">
        <v>0</v>
      </c>
      <c r="K43" s="1069">
        <v>2.2690000000000001</v>
      </c>
      <c r="L43" s="1164">
        <f t="shared" si="11"/>
        <v>10.683</v>
      </c>
      <c r="M43" s="1123">
        <v>0</v>
      </c>
      <c r="N43" s="1124">
        <f>Table2523467891011101213121412151615171819202122[[#This Row],[Jones Creek Target (Mbopd)]]-Table2523467891011101213121412151615171819202122[[#This Row],[Jones Creek (Mbopd)]]</f>
        <v>12.055999999999999</v>
      </c>
      <c r="O43" s="1044">
        <f>Table2523467891011101213121412151615171819202122[[#This Row],[Odidi Target (Mbopd)]]-Table2523467891011101213121412151615171819202122[[#This Row],[Odidi (Mbopd)]]</f>
        <v>15.22</v>
      </c>
      <c r="P43" s="1044">
        <f>Table2523467891011101213121412151615171819202122[[#This Row],[Batan Target (Mbopd)]]-Table2523467891011101213121412151615171819202122[[#This Row],[Batan (Mbopd)]]</f>
        <v>5.15</v>
      </c>
      <c r="Q43" s="1044">
        <f>Table2523467891011101213121412151615171819202122[[#This Row],[Egwa Target (Mbopd)]]-Table2523467891011101213121412151615171819202122[[#This Row],[Egwa (Mbopd)]]</f>
        <v>1.3109999999999999</v>
      </c>
      <c r="R43" s="1043"/>
      <c r="S43" s="1044">
        <v>0</v>
      </c>
      <c r="T43" s="1044">
        <v>0</v>
      </c>
      <c r="U43" s="1045">
        <v>2.4500000000000002</v>
      </c>
      <c r="V43" s="1046"/>
      <c r="W43" s="1046">
        <v>0</v>
      </c>
      <c r="X43" s="1044">
        <v>0</v>
      </c>
      <c r="Y43" s="1045">
        <v>0</v>
      </c>
      <c r="Z43" s="1046">
        <f>+Table2523467891011101213121412151615171819202122[[#This Row],[J/C Prod gas (MMscf)]]-Table2523467891011101213121412151615171819202122[[#This Row],[J/C Utilised gas (MMscf)]]</f>
        <v>0</v>
      </c>
      <c r="AA43" s="1044">
        <f>+Table2523467891011101213121412151615171819202122[[#This Row],[Odid Prod gas (MMscf)]]-Table2523467891011101213121412151615171819202122[[#This Row],[Gas Export (MMscf/d)]]</f>
        <v>0</v>
      </c>
      <c r="AB43" s="1044">
        <f>+Table2523467891011101213121412151615171819202122[[#This Row],[Batn Prod gas (MMscf)]]-Table2523467891011101213121412151615171819202122[[#This Row],[Batn Utilised gas (MMscf)]]</f>
        <v>0</v>
      </c>
      <c r="AC43" s="1045">
        <f>+Table2523467891011101213121412151615171819202122[[#This Row],[Egwa Prod gas (MMscf)]]-Table2523467891011101213121412151615171819202122[[#This Row],[Egwa Utilised gas (MMscf)]]</f>
        <v>2.4500000000000002</v>
      </c>
      <c r="AD43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2.4500000000000002</v>
      </c>
      <c r="AE43" s="1044">
        <f>+Table2523467891011101213121412151615171819202122[[#This Row],[Gas Export (MMscf/d)]]</f>
        <v>0</v>
      </c>
      <c r="AF43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43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2.4500000000000002</v>
      </c>
    </row>
    <row r="44" spans="2:33">
      <c r="B44" s="716">
        <v>44627</v>
      </c>
      <c r="C44" s="749">
        <v>20.47</v>
      </c>
      <c r="D44" s="750">
        <v>15.22</v>
      </c>
      <c r="E44" s="750">
        <v>5.15</v>
      </c>
      <c r="F44" s="749">
        <v>3.58</v>
      </c>
      <c r="G44" s="1042">
        <f>SUM(Table2523467891011101213121412151615171819202122[[#This Row],[Jones Creek Target (Mbopd)]:[Egwa Target (Mbopd)]])</f>
        <v>44.419999999999995</v>
      </c>
      <c r="H44" s="1068"/>
      <c r="I44" s="1068"/>
      <c r="J44" s="1068"/>
      <c r="K44" s="1069"/>
      <c r="L44" s="1164">
        <f>H44+I44+J44+K44</f>
        <v>0</v>
      </c>
      <c r="M44" s="1123">
        <v>0</v>
      </c>
      <c r="N44" s="1124">
        <f>Table2523467891011101213121412151615171819202122[[#This Row],[Jones Creek Target (Mbopd)]]-Table2523467891011101213121412151615171819202122[[#This Row],[Jones Creek (Mbopd)]]</f>
        <v>20.47</v>
      </c>
      <c r="O44" s="1044">
        <f>Table2523467891011101213121412151615171819202122[[#This Row],[Odidi Target (Mbopd)]]-Table2523467891011101213121412151615171819202122[[#This Row],[Odidi (Mbopd)]]</f>
        <v>15.22</v>
      </c>
      <c r="P44" s="1044">
        <f>Table2523467891011101213121412151615171819202122[[#This Row],[Batan Target (Mbopd)]]-Table2523467891011101213121412151615171819202122[[#This Row],[Batan (Mbopd)]]</f>
        <v>5.15</v>
      </c>
      <c r="Q44" s="1044">
        <f>Table2523467891011101213121412151615171819202122[[#This Row],[Egwa Target (Mbopd)]]-Table2523467891011101213121412151615171819202122[[#This Row],[Egwa (Mbopd)]]</f>
        <v>3.58</v>
      </c>
      <c r="R44" s="1043"/>
      <c r="S44" s="1044"/>
      <c r="T44" s="1044"/>
      <c r="U44" s="1045"/>
      <c r="V44" s="1046"/>
      <c r="W44" s="1044"/>
      <c r="X44" s="1044"/>
      <c r="Y44" s="1045"/>
      <c r="Z44" s="1046">
        <f>+Table2523467891011101213121412151615171819202122[[#This Row],[J/C Prod gas (MMscf)]]-Table2523467891011101213121412151615171819202122[[#This Row],[J/C Utilised gas (MMscf)]]</f>
        <v>0</v>
      </c>
      <c r="AA44" s="1044">
        <f>+Table2523467891011101213121412151615171819202122[[#This Row],[Odid Prod gas (MMscf)]]-Table2523467891011101213121412151615171819202122[[#This Row],[Gas Export (MMscf/d)]]</f>
        <v>0</v>
      </c>
      <c r="AB44" s="1044">
        <f>+Table2523467891011101213121412151615171819202122[[#This Row],[Batn Prod gas (MMscf)]]-Table2523467891011101213121412151615171819202122[[#This Row],[Batn Utilised gas (MMscf)]]</f>
        <v>0</v>
      </c>
      <c r="AC44" s="1045">
        <f>+Table2523467891011101213121412151615171819202122[[#This Row],[Egwa Prod gas (MMscf)]]-Table2523467891011101213121412151615171819202122[[#This Row],[Egwa Utilised gas (MMscf)]]</f>
        <v>0</v>
      </c>
      <c r="AD44" s="1044">
        <f>+Table2523467891011101213121412151615171819202122[[#This Row],[J/C Prod gas (MMscf)]]+Table2523467891011101213121412151615171819202122[[#This Row],[Odid Prod gas (MMscf)]]+Table2523467891011101213121412151615171819202122[[#This Row],[Batn Prod gas (MMscf)]]+Table2523467891011101213121412151615171819202122[[#This Row],[Egwa Prod gas (MMscf)]]</f>
        <v>0</v>
      </c>
      <c r="AE44" s="1044">
        <f>+Table2523467891011101213121412151615171819202122[[#This Row],[Gas Export (MMscf/d)]]</f>
        <v>0</v>
      </c>
      <c r="AF44" s="1044">
        <f>+Table2523467891011101213121412151615171819202122[[#This Row],[J/C Utilised gas (MMscf)]]+Table2523467891011101213121412151615171819202122[[#This Row],[Odid Utilised gas (MMscf)]]+Table2523467891011101213121412151615171819202122[[#This Row],[Batn Utilised gas (MMscf)]]+Table2523467891011101213121412151615171819202122[[#This Row],[Egwa Utilised gas (MMscf)]]</f>
        <v>0</v>
      </c>
      <c r="AG44" s="1045">
        <f>+Table2523467891011101213121412151615171819202122[[#This Row],[ J/C Flared Gas (MMscf/d)]]+Table2523467891011101213121412151615171819202122[[#This Row],[ Odidi Flared Gas (MMscf/d)]]+Table2523467891011101213121412151615171819202122[[#This Row],[ Batan Flared Gas (MMscf/d)]]+Table2523467891011101213121412151615171819202122[[#This Row],[Egwa Flared Gas (MMscf/d)]]</f>
        <v>0</v>
      </c>
    </row>
    <row r="46" spans="2:33" ht="27">
      <c r="B46" s="1345" t="s">
        <v>149</v>
      </c>
      <c r="C46" s="1346"/>
      <c r="D46" s="1346"/>
      <c r="E46" s="1346"/>
      <c r="F46" s="1346"/>
      <c r="G46" s="1346"/>
      <c r="H46" s="1346"/>
      <c r="I46" s="1346"/>
      <c r="J46" s="1346"/>
      <c r="K46" s="1346"/>
      <c r="L46" s="1346"/>
      <c r="M46" s="1346"/>
      <c r="N46" s="1346"/>
      <c r="O46" s="1346"/>
      <c r="P46" s="1346"/>
      <c r="Q46" s="1347"/>
    </row>
    <row r="47" spans="2:33" ht="43.15">
      <c r="B47" s="1004" t="s">
        <v>22</v>
      </c>
      <c r="C47" s="1005" t="s">
        <v>358</v>
      </c>
      <c r="D47" s="1348" t="s">
        <v>24</v>
      </c>
      <c r="E47" s="1349"/>
      <c r="F47" s="1349"/>
      <c r="G47" s="1349"/>
      <c r="H47" s="1349"/>
      <c r="I47" s="1349"/>
      <c r="J47" s="1349"/>
      <c r="K47" s="1349"/>
      <c r="L47" s="1349"/>
      <c r="M47" s="1349"/>
      <c r="N47" s="1349"/>
      <c r="O47" s="1349"/>
      <c r="P47" s="1349"/>
      <c r="Q47" s="1350"/>
    </row>
    <row r="48" spans="2:33" ht="21.6">
      <c r="B48" s="656" t="s">
        <v>17</v>
      </c>
      <c r="C48" s="652">
        <v>11.6</v>
      </c>
      <c r="D48" s="1358" t="s">
        <v>524</v>
      </c>
      <c r="E48" s="1359"/>
      <c r="F48" s="1359"/>
      <c r="G48" s="1359"/>
      <c r="H48" s="1359"/>
      <c r="I48" s="1359"/>
      <c r="J48" s="1359"/>
      <c r="K48" s="1359"/>
      <c r="L48" s="1359"/>
      <c r="M48" s="1359"/>
      <c r="N48" s="1359"/>
      <c r="O48" s="1359"/>
      <c r="P48" s="1359"/>
      <c r="Q48" s="1374"/>
    </row>
    <row r="49" spans="2:36" ht="38.1" customHeight="1">
      <c r="B49" s="656" t="s">
        <v>19</v>
      </c>
      <c r="C49" s="652">
        <v>15.22</v>
      </c>
      <c r="D49" s="1358" t="s">
        <v>525</v>
      </c>
      <c r="E49" s="1359"/>
      <c r="F49" s="1359"/>
      <c r="G49" s="1359"/>
      <c r="H49" s="1359"/>
      <c r="I49" s="1359"/>
      <c r="J49" s="1359"/>
      <c r="K49" s="1359"/>
      <c r="L49" s="1359"/>
      <c r="M49" s="1359"/>
      <c r="N49" s="1359"/>
      <c r="O49" s="1359"/>
      <c r="P49" s="1359"/>
      <c r="Q49" s="1374"/>
    </row>
    <row r="50" spans="2:36" ht="24.4" customHeight="1">
      <c r="B50" s="656" t="s">
        <v>16</v>
      </c>
      <c r="C50" s="652">
        <f>P40</f>
        <v>5.15</v>
      </c>
      <c r="D50" s="1358" t="s">
        <v>526</v>
      </c>
      <c r="E50" s="1359"/>
      <c r="F50" s="1359"/>
      <c r="G50" s="1359"/>
      <c r="H50" s="1359"/>
      <c r="I50" s="1359"/>
      <c r="J50" s="1359"/>
      <c r="K50" s="1359"/>
      <c r="L50" s="1359"/>
      <c r="M50" s="1359"/>
      <c r="N50" s="1359"/>
      <c r="O50" s="1359"/>
      <c r="P50" s="1359"/>
      <c r="Q50" s="1374"/>
    </row>
    <row r="51" spans="2:36" ht="21.6">
      <c r="B51" s="657" t="s">
        <v>18</v>
      </c>
      <c r="C51" s="653">
        <f>Q40</f>
        <v>1.355</v>
      </c>
      <c r="D51" s="1352" t="s">
        <v>527</v>
      </c>
      <c r="E51" s="1353"/>
      <c r="F51" s="1353"/>
      <c r="G51" s="1353"/>
      <c r="H51" s="1353"/>
      <c r="I51" s="1353"/>
      <c r="J51" s="1353"/>
      <c r="K51" s="1353"/>
      <c r="L51" s="1353"/>
      <c r="M51" s="1353"/>
      <c r="N51" s="1353"/>
      <c r="O51" s="1353"/>
      <c r="P51" s="1353"/>
      <c r="Q51" s="1376"/>
    </row>
    <row r="52" spans="2:36" ht="21.6">
      <c r="B52" s="658" t="s">
        <v>187</v>
      </c>
      <c r="C52" s="654">
        <f>SUM(C48:C51)</f>
        <v>33.324999999999996</v>
      </c>
      <c r="D52" s="1355" t="s">
        <v>528</v>
      </c>
      <c r="E52" s="1356"/>
      <c r="F52" s="1356"/>
      <c r="G52" s="1356"/>
      <c r="H52" s="1356"/>
      <c r="I52" s="1356"/>
      <c r="J52" s="1356"/>
      <c r="K52" s="1356"/>
      <c r="L52" s="1356"/>
      <c r="M52" s="1356"/>
      <c r="N52" s="1356"/>
      <c r="O52" s="1356"/>
      <c r="P52" s="1356"/>
      <c r="Q52" s="1373"/>
    </row>
    <row r="53" spans="2:36" ht="24.6">
      <c r="AJ53" s="735"/>
    </row>
  </sheetData>
  <mergeCells count="8">
    <mergeCell ref="D51:Q51"/>
    <mergeCell ref="D52:Q52"/>
    <mergeCell ref="AJ8:AO8"/>
    <mergeCell ref="B46:Q46"/>
    <mergeCell ref="D47:Q47"/>
    <mergeCell ref="D48:Q48"/>
    <mergeCell ref="D49:Q49"/>
    <mergeCell ref="D50:Q50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B0000-C17E-48AB-8177-964EF8EFF552}">
  <dimension ref="B1:Z1000"/>
  <sheetViews>
    <sheetView topLeftCell="E1" zoomScale="90" zoomScaleNormal="90" workbookViewId="0">
      <selection activeCell="L80" sqref="L80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6" width="9.21875" style="580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4.44140625" style="580" customWidth="1"/>
    <col min="12" max="12" width="17.6640625" style="580" customWidth="1"/>
    <col min="13" max="16" width="9.21875" style="580"/>
    <col min="17" max="17" width="22.109375" style="580" customWidth="1"/>
    <col min="18" max="16384" width="9.21875" style="580"/>
  </cols>
  <sheetData>
    <row r="1" spans="2:26" ht="22.9" thickBot="1">
      <c r="B1"/>
      <c r="C1" s="1226" t="s">
        <v>529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</row>
    <row r="2" spans="2:26" ht="24.75" customHeight="1" thickBo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</row>
    <row r="3" spans="2:26" ht="24.75" customHeight="1" thickBot="1">
      <c r="B3"/>
      <c r="C3" s="1367" t="s">
        <v>530</v>
      </c>
      <c r="D3" s="1368"/>
      <c r="E3" s="1368"/>
      <c r="F3" s="1368"/>
      <c r="G3" s="1368"/>
      <c r="H3" s="1368"/>
      <c r="I3" s="1368"/>
      <c r="J3" s="1368"/>
      <c r="K3" s="136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</row>
    <row r="4" spans="2:26" ht="40.15" thickBot="1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866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</row>
    <row r="5" spans="2:26" ht="19.899999999999999" thickBot="1">
      <c r="B5" s="1101">
        <v>1</v>
      </c>
      <c r="C5" s="818" t="s">
        <v>46</v>
      </c>
      <c r="D5" s="192" t="s">
        <v>47</v>
      </c>
      <c r="E5" s="193">
        <v>40</v>
      </c>
      <c r="F5" s="194">
        <v>1753</v>
      </c>
      <c r="G5" s="188">
        <v>1161</v>
      </c>
      <c r="H5" s="194">
        <v>34</v>
      </c>
      <c r="I5" s="194">
        <v>323</v>
      </c>
      <c r="J5" s="1099">
        <v>129</v>
      </c>
      <c r="K5" s="1109" t="s">
        <v>489</v>
      </c>
      <c r="L5" s="1100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</row>
    <row r="6" spans="2:26" ht="19.899999999999999" thickBot="1">
      <c r="B6" s="1101">
        <v>2</v>
      </c>
      <c r="C6" s="818" t="s">
        <v>48</v>
      </c>
      <c r="D6" s="192" t="s">
        <v>47</v>
      </c>
      <c r="E6" s="193" t="s">
        <v>49</v>
      </c>
      <c r="F6" s="194">
        <v>1538</v>
      </c>
      <c r="G6" s="188">
        <v>998</v>
      </c>
      <c r="H6" s="194">
        <v>35</v>
      </c>
      <c r="I6" s="194">
        <v>310</v>
      </c>
      <c r="J6" s="194">
        <v>163</v>
      </c>
      <c r="K6" s="1110" t="s">
        <v>489</v>
      </c>
      <c r="L6" s="1100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</row>
    <row r="7" spans="2:26" ht="19.899999999999999" thickBot="1">
      <c r="B7" s="1163">
        <v>3</v>
      </c>
      <c r="C7" s="815" t="s">
        <v>45</v>
      </c>
      <c r="D7" s="219" t="s">
        <v>44</v>
      </c>
      <c r="E7" s="220">
        <v>32</v>
      </c>
      <c r="F7" s="221">
        <v>2221</v>
      </c>
      <c r="G7" s="278">
        <v>1044</v>
      </c>
      <c r="H7" s="221">
        <v>53</v>
      </c>
      <c r="I7" s="221">
        <v>669</v>
      </c>
      <c r="J7" s="221">
        <v>249</v>
      </c>
      <c r="K7" s="445" t="s">
        <v>531</v>
      </c>
      <c r="L7" s="1100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</row>
    <row r="8" spans="2:26" ht="19.899999999999999" thickBot="1">
      <c r="B8" s="1101">
        <v>4</v>
      </c>
      <c r="C8" s="818" t="s">
        <v>56</v>
      </c>
      <c r="D8" s="192" t="s">
        <v>47</v>
      </c>
      <c r="E8" s="193">
        <v>44</v>
      </c>
      <c r="F8" s="194">
        <v>3857</v>
      </c>
      <c r="G8" s="188">
        <v>1662</v>
      </c>
      <c r="H8" s="194">
        <v>58</v>
      </c>
      <c r="I8" s="194">
        <v>329</v>
      </c>
      <c r="J8" s="194">
        <v>352</v>
      </c>
      <c r="K8" s="1110" t="s">
        <v>489</v>
      </c>
      <c r="L8" s="1100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</row>
    <row r="9" spans="2:26" ht="19.899999999999999" thickBot="1">
      <c r="B9" s="1167">
        <v>5</v>
      </c>
      <c r="C9" s="1105" t="s">
        <v>57</v>
      </c>
      <c r="D9" s="258" t="s">
        <v>47</v>
      </c>
      <c r="E9" s="259">
        <v>28</v>
      </c>
      <c r="F9" s="260">
        <v>1706</v>
      </c>
      <c r="G9" s="1106">
        <v>277</v>
      </c>
      <c r="H9" s="260">
        <v>84</v>
      </c>
      <c r="I9" s="260">
        <v>377</v>
      </c>
      <c r="J9" s="260">
        <v>305</v>
      </c>
      <c r="K9" s="445" t="s">
        <v>235</v>
      </c>
      <c r="L9" s="1100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</row>
    <row r="10" spans="2:26" ht="19.899999999999999" thickBot="1">
      <c r="B10" s="1116">
        <v>6</v>
      </c>
      <c r="C10" s="1117" t="s">
        <v>41</v>
      </c>
      <c r="D10" s="283" t="s">
        <v>42</v>
      </c>
      <c r="E10" s="284">
        <v>28</v>
      </c>
      <c r="F10" s="278">
        <v>1706</v>
      </c>
      <c r="G10" s="278">
        <v>580</v>
      </c>
      <c r="H10" s="278">
        <v>66</v>
      </c>
      <c r="I10" s="278">
        <v>995</v>
      </c>
      <c r="J10" s="278">
        <v>494</v>
      </c>
      <c r="K10" s="445" t="s">
        <v>235</v>
      </c>
      <c r="L10" s="1100" t="s">
        <v>503</v>
      </c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</row>
    <row r="11" spans="2:26" ht="19.899999999999999" thickBot="1">
      <c r="B11" s="1101">
        <v>7</v>
      </c>
      <c r="C11" s="815" t="s">
        <v>43</v>
      </c>
      <c r="D11" s="219" t="s">
        <v>44</v>
      </c>
      <c r="E11" s="220">
        <v>28</v>
      </c>
      <c r="F11" s="221">
        <v>1132</v>
      </c>
      <c r="G11" s="278">
        <v>566</v>
      </c>
      <c r="H11" s="221">
        <v>50</v>
      </c>
      <c r="I11" s="221">
        <v>607</v>
      </c>
      <c r="J11" s="221">
        <v>147</v>
      </c>
      <c r="K11" s="445" t="s">
        <v>235</v>
      </c>
      <c r="L11" s="1100" t="s">
        <v>503</v>
      </c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</row>
    <row r="12" spans="2:26" ht="19.899999999999999" thickBot="1">
      <c r="B12" s="1101">
        <v>8</v>
      </c>
      <c r="C12" s="815" t="s">
        <v>373</v>
      </c>
      <c r="D12" s="219" t="s">
        <v>47</v>
      </c>
      <c r="E12" s="220">
        <v>24</v>
      </c>
      <c r="F12" s="221">
        <v>1643</v>
      </c>
      <c r="G12" s="278">
        <v>690</v>
      </c>
      <c r="H12" s="221">
        <v>58</v>
      </c>
      <c r="I12" s="221">
        <v>300</v>
      </c>
      <c r="J12" s="221">
        <v>287</v>
      </c>
      <c r="K12" s="445" t="s">
        <v>68</v>
      </c>
      <c r="L12" s="1100" t="s">
        <v>503</v>
      </c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</row>
    <row r="13" spans="2:26" ht="19.899999999999999" thickBot="1">
      <c r="B13" s="1102">
        <v>9</v>
      </c>
      <c r="C13" s="815" t="s">
        <v>50</v>
      </c>
      <c r="D13" s="219" t="s">
        <v>47</v>
      </c>
      <c r="E13" s="220" t="s">
        <v>51</v>
      </c>
      <c r="F13" s="221">
        <v>1480</v>
      </c>
      <c r="G13" s="278">
        <v>444</v>
      </c>
      <c r="H13" s="221">
        <v>70</v>
      </c>
      <c r="I13" s="221">
        <v>762</v>
      </c>
      <c r="J13" s="221">
        <v>173</v>
      </c>
      <c r="K13" s="445" t="s">
        <v>235</v>
      </c>
      <c r="L13" s="1100" t="s">
        <v>503</v>
      </c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</row>
    <row r="14" spans="2:26" ht="19.899999999999999" thickBot="1">
      <c r="B14" s="1101">
        <v>10</v>
      </c>
      <c r="C14" s="815" t="s">
        <v>52</v>
      </c>
      <c r="D14" s="219" t="s">
        <v>47</v>
      </c>
      <c r="E14" s="220">
        <v>40</v>
      </c>
      <c r="F14" s="221">
        <v>1652</v>
      </c>
      <c r="G14" s="278">
        <v>760</v>
      </c>
      <c r="H14" s="221">
        <v>54</v>
      </c>
      <c r="I14" s="221">
        <v>447</v>
      </c>
      <c r="J14" s="221">
        <v>159</v>
      </c>
      <c r="K14" s="445" t="s">
        <v>235</v>
      </c>
      <c r="L14" s="1100" t="s">
        <v>503</v>
      </c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</row>
    <row r="15" spans="2:26" ht="21" customHeight="1" thickBot="1">
      <c r="B15" s="1101">
        <v>11</v>
      </c>
      <c r="C15" s="815" t="s">
        <v>53</v>
      </c>
      <c r="D15" s="219" t="s">
        <v>47</v>
      </c>
      <c r="E15" s="220">
        <v>28</v>
      </c>
      <c r="F15" s="221">
        <v>1410</v>
      </c>
      <c r="G15" s="278">
        <v>663</v>
      </c>
      <c r="H15" s="221">
        <v>53.33</v>
      </c>
      <c r="I15" s="221">
        <v>430</v>
      </c>
      <c r="J15" s="221">
        <v>342</v>
      </c>
      <c r="K15" s="1103" t="s">
        <v>235</v>
      </c>
      <c r="L15" s="1118" t="s">
        <v>504</v>
      </c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</row>
    <row r="16" spans="2:26" ht="19.899999999999999" thickBot="1">
      <c r="B16" s="1104">
        <v>12</v>
      </c>
      <c r="C16" s="1105" t="s">
        <v>54</v>
      </c>
      <c r="D16" s="258" t="s">
        <v>47</v>
      </c>
      <c r="E16" s="259" t="s">
        <v>55</v>
      </c>
      <c r="F16" s="260">
        <v>1633</v>
      </c>
      <c r="G16" s="1106">
        <v>780</v>
      </c>
      <c r="H16" s="260">
        <v>52</v>
      </c>
      <c r="I16" s="260">
        <v>492</v>
      </c>
      <c r="J16" s="260">
        <v>377</v>
      </c>
      <c r="K16" s="1107"/>
      <c r="L16" s="1108" t="s">
        <v>504</v>
      </c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</row>
    <row r="17" spans="2:26" ht="19.899999999999999" thickBot="1">
      <c r="F17" s="224">
        <f>SUM(F5:F9)</f>
        <v>11075</v>
      </c>
      <c r="G17" s="224">
        <f>SUM(G5:G9)</f>
        <v>5142</v>
      </c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</row>
    <row r="18" spans="2:26" ht="19.899999999999999" thickBot="1">
      <c r="F18" s="1"/>
      <c r="G18" s="208">
        <f>ROUNDUP(G17,-1)</f>
        <v>5150</v>
      </c>
      <c r="K18" s="1098"/>
      <c r="L18" s="1098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</row>
    <row r="19" spans="2:26" ht="19.899999999999999" thickBot="1">
      <c r="B19"/>
      <c r="C19"/>
      <c r="D19" s="1"/>
      <c r="E19" s="1"/>
      <c r="F19" s="1"/>
      <c r="G19" s="1"/>
      <c r="H19" s="1"/>
      <c r="I19" s="1"/>
      <c r="J19" s="1"/>
      <c r="K1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</row>
    <row r="20" spans="2:26" ht="26.25" customHeight="1" thickBot="1">
      <c r="B20" s="303"/>
      <c r="C20" s="1252" t="s">
        <v>532</v>
      </c>
      <c r="D20" s="1291"/>
      <c r="E20" s="1291"/>
      <c r="F20" s="1291"/>
      <c r="G20" s="1291"/>
      <c r="H20" s="1291"/>
      <c r="I20" s="1291"/>
      <c r="J20" s="1291"/>
      <c r="K20" s="1292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</row>
    <row r="21" spans="2:26" ht="40.15" thickBot="1">
      <c r="B21" s="829" t="s">
        <v>156</v>
      </c>
      <c r="C21" s="830" t="s">
        <v>31</v>
      </c>
      <c r="D21" s="803" t="s">
        <v>32</v>
      </c>
      <c r="E21" s="803" t="s">
        <v>33</v>
      </c>
      <c r="F21" s="803" t="s">
        <v>34</v>
      </c>
      <c r="G21" s="803" t="s">
        <v>35</v>
      </c>
      <c r="H21" s="803" t="s">
        <v>37</v>
      </c>
      <c r="I21" s="803" t="s">
        <v>38</v>
      </c>
      <c r="J21" s="803" t="s">
        <v>39</v>
      </c>
      <c r="K21" s="868" t="s">
        <v>40</v>
      </c>
      <c r="L21" s="866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</row>
    <row r="22" spans="2:26" s="647" customFormat="1" ht="19.899999999999999" thickBot="1">
      <c r="B22" s="991">
        <v>1</v>
      </c>
      <c r="C22" s="799" t="s">
        <v>417</v>
      </c>
      <c r="D22" s="799" t="s">
        <v>418</v>
      </c>
      <c r="E22" s="800">
        <v>24</v>
      </c>
      <c r="F22" s="801">
        <v>1072</v>
      </c>
      <c r="G22" s="802">
        <v>386</v>
      </c>
      <c r="H22" s="802">
        <v>64</v>
      </c>
      <c r="I22" s="802">
        <v>521</v>
      </c>
      <c r="J22" s="802">
        <v>928</v>
      </c>
      <c r="K22" s="698" t="s">
        <v>235</v>
      </c>
      <c r="L22" s="1034"/>
      <c r="M22" s="646"/>
      <c r="N22" s="646"/>
      <c r="O22" s="646"/>
      <c r="P22" s="646"/>
      <c r="Q22" s="646"/>
      <c r="R22" s="646"/>
      <c r="S22" s="646"/>
      <c r="T22" s="646"/>
      <c r="U22" s="646"/>
      <c r="V22" s="646"/>
      <c r="W22" s="646"/>
      <c r="X22" s="646"/>
      <c r="Y22" s="646"/>
      <c r="Z22" s="646"/>
    </row>
    <row r="23" spans="2:26" ht="19.899999999999999" thickBot="1">
      <c r="B23" s="783">
        <v>2</v>
      </c>
      <c r="C23" s="773" t="s">
        <v>376</v>
      </c>
      <c r="D23" s="773" t="s">
        <v>89</v>
      </c>
      <c r="E23" s="774">
        <v>24</v>
      </c>
      <c r="F23" s="775">
        <v>1203</v>
      </c>
      <c r="G23" s="776">
        <v>412</v>
      </c>
      <c r="H23" s="776">
        <v>56</v>
      </c>
      <c r="I23" s="776">
        <v>340</v>
      </c>
      <c r="J23" s="776">
        <v>600</v>
      </c>
      <c r="K23" s="782" t="s">
        <v>68</v>
      </c>
      <c r="L23" s="1034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</row>
    <row r="24" spans="2:26" ht="19.899999999999999" thickBot="1">
      <c r="B24" s="783">
        <v>3</v>
      </c>
      <c r="C24" s="784" t="s">
        <v>61</v>
      </c>
      <c r="D24" s="784" t="s">
        <v>62</v>
      </c>
      <c r="E24" s="785">
        <v>28</v>
      </c>
      <c r="F24" s="786">
        <v>888</v>
      </c>
      <c r="G24" s="787">
        <v>355</v>
      </c>
      <c r="H24" s="787">
        <v>56</v>
      </c>
      <c r="I24" s="787">
        <v>782</v>
      </c>
      <c r="J24" s="787">
        <v>370</v>
      </c>
      <c r="K24" s="791" t="s">
        <v>489</v>
      </c>
      <c r="L24" s="1034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</row>
    <row r="25" spans="2:26" ht="19.899999999999999" thickBot="1">
      <c r="B25" s="783">
        <v>4</v>
      </c>
      <c r="C25" s="784" t="s">
        <v>64</v>
      </c>
      <c r="D25" s="784" t="s">
        <v>65</v>
      </c>
      <c r="E25" s="785">
        <v>32</v>
      </c>
      <c r="F25" s="786">
        <v>2346</v>
      </c>
      <c r="G25" s="787">
        <v>1384</v>
      </c>
      <c r="H25" s="787">
        <v>41</v>
      </c>
      <c r="I25" s="787">
        <v>733</v>
      </c>
      <c r="J25" s="787">
        <v>421</v>
      </c>
      <c r="K25" s="788" t="s">
        <v>489</v>
      </c>
      <c r="L25" s="1034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</row>
    <row r="26" spans="2:26" ht="19.899999999999999" thickBot="1">
      <c r="B26" s="783">
        <v>5</v>
      </c>
      <c r="C26" s="784" t="s">
        <v>69</v>
      </c>
      <c r="D26" s="784" t="s">
        <v>70</v>
      </c>
      <c r="E26" s="785">
        <v>28</v>
      </c>
      <c r="F26" s="786">
        <v>1419</v>
      </c>
      <c r="G26" s="787">
        <v>440</v>
      </c>
      <c r="H26" s="787">
        <v>69</v>
      </c>
      <c r="I26" s="787">
        <v>3311</v>
      </c>
      <c r="J26" s="787">
        <v>798</v>
      </c>
      <c r="K26" s="788" t="s">
        <v>489</v>
      </c>
      <c r="L26" s="1034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</row>
    <row r="27" spans="2:26" ht="19.899999999999999" thickBot="1">
      <c r="B27" s="772">
        <v>6</v>
      </c>
      <c r="C27" s="773" t="s">
        <v>71</v>
      </c>
      <c r="D27" s="773" t="s">
        <v>72</v>
      </c>
      <c r="E27" s="774">
        <v>32</v>
      </c>
      <c r="F27" s="775">
        <v>1087</v>
      </c>
      <c r="G27" s="776">
        <v>413</v>
      </c>
      <c r="H27" s="776">
        <v>62</v>
      </c>
      <c r="I27" s="776">
        <v>3311</v>
      </c>
      <c r="J27" s="776">
        <v>750</v>
      </c>
      <c r="K27" s="698" t="s">
        <v>235</v>
      </c>
      <c r="L27" s="1034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</row>
    <row r="28" spans="2:26" ht="34.15" thickBot="1">
      <c r="B28" s="991">
        <v>7</v>
      </c>
      <c r="C28" s="784" t="s">
        <v>73</v>
      </c>
      <c r="D28" s="784" t="s">
        <v>72</v>
      </c>
      <c r="E28" s="785">
        <v>44</v>
      </c>
      <c r="F28" s="786">
        <v>818</v>
      </c>
      <c r="G28" s="787">
        <v>450</v>
      </c>
      <c r="H28" s="787">
        <v>45</v>
      </c>
      <c r="I28" s="787">
        <v>3278</v>
      </c>
      <c r="J28" s="787">
        <v>406</v>
      </c>
      <c r="K28" s="791" t="s">
        <v>493</v>
      </c>
      <c r="L28" s="1034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</row>
    <row r="29" spans="2:26" ht="19.899999999999999" thickBot="1">
      <c r="B29" s="783">
        <v>8</v>
      </c>
      <c r="C29" s="837" t="s">
        <v>74</v>
      </c>
      <c r="D29" s="837" t="s">
        <v>75</v>
      </c>
      <c r="E29" s="838">
        <v>36</v>
      </c>
      <c r="F29" s="834">
        <v>3076</v>
      </c>
      <c r="G29" s="835">
        <v>1384</v>
      </c>
      <c r="H29" s="835">
        <v>55</v>
      </c>
      <c r="I29" s="835">
        <v>1480</v>
      </c>
      <c r="J29" s="835">
        <v>840</v>
      </c>
      <c r="K29" s="1097" t="s">
        <v>489</v>
      </c>
      <c r="L29" s="1034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</row>
    <row r="30" spans="2:26" s="1078" customFormat="1">
      <c r="B30" s="783">
        <v>9</v>
      </c>
      <c r="C30" s="837" t="s">
        <v>76</v>
      </c>
      <c r="D30" s="837" t="s">
        <v>77</v>
      </c>
      <c r="E30" s="838">
        <v>20</v>
      </c>
      <c r="F30" s="834">
        <v>715</v>
      </c>
      <c r="G30" s="835">
        <v>250</v>
      </c>
      <c r="H30" s="835">
        <v>65</v>
      </c>
      <c r="I30" s="835">
        <v>478</v>
      </c>
      <c r="J30" s="835">
        <v>160</v>
      </c>
      <c r="K30" s="819" t="s">
        <v>489</v>
      </c>
      <c r="L30" s="1034" t="s">
        <v>533</v>
      </c>
      <c r="M30" s="1095"/>
      <c r="N30" s="1095"/>
      <c r="O30" s="1095"/>
      <c r="P30" s="1095"/>
      <c r="Q30" s="1095"/>
      <c r="R30" s="1095"/>
      <c r="S30" s="1095"/>
      <c r="T30" s="1095"/>
      <c r="U30" s="1095"/>
      <c r="V30" s="1095"/>
      <c r="W30" s="1095"/>
      <c r="X30" s="1095"/>
      <c r="Y30" s="1095"/>
      <c r="Z30" s="1095"/>
    </row>
    <row r="31" spans="2:26" s="1078" customFormat="1">
      <c r="B31" s="783">
        <v>10</v>
      </c>
      <c r="C31" s="837" t="s">
        <v>78</v>
      </c>
      <c r="D31" s="837" t="s">
        <v>79</v>
      </c>
      <c r="E31" s="838">
        <v>52</v>
      </c>
      <c r="F31" s="834">
        <v>1133</v>
      </c>
      <c r="G31" s="835">
        <v>1131</v>
      </c>
      <c r="H31" s="835">
        <v>0.2</v>
      </c>
      <c r="I31" s="835">
        <v>1085</v>
      </c>
      <c r="J31" s="835">
        <v>218</v>
      </c>
      <c r="K31" s="1096" t="s">
        <v>495</v>
      </c>
      <c r="M31" s="1095"/>
      <c r="N31" s="1095"/>
      <c r="O31" s="1095"/>
      <c r="P31" s="1095"/>
      <c r="Q31" s="1095"/>
      <c r="R31" s="1095"/>
      <c r="S31" s="1095"/>
      <c r="T31" s="1095"/>
      <c r="U31" s="1095"/>
      <c r="V31" s="1095"/>
      <c r="W31" s="1095"/>
      <c r="X31" s="1095"/>
      <c r="Y31" s="1095"/>
      <c r="Z31" s="1095"/>
    </row>
    <row r="32" spans="2:26" s="1078" customFormat="1" ht="19.899999999999999" thickBot="1">
      <c r="B32" s="783">
        <v>11</v>
      </c>
      <c r="C32" s="784" t="s">
        <v>80</v>
      </c>
      <c r="D32" s="784" t="s">
        <v>81</v>
      </c>
      <c r="E32" s="785">
        <v>32</v>
      </c>
      <c r="F32" s="786">
        <v>2139</v>
      </c>
      <c r="G32" s="787">
        <v>492</v>
      </c>
      <c r="H32" s="787">
        <v>77</v>
      </c>
      <c r="I32" s="787">
        <v>1975</v>
      </c>
      <c r="J32" s="787">
        <v>667</v>
      </c>
      <c r="K32" s="791" t="s">
        <v>489</v>
      </c>
      <c r="L32" s="1034"/>
      <c r="M32" s="1095"/>
      <c r="N32" s="1095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5"/>
      <c r="Z32" s="1095"/>
    </row>
    <row r="33" spans="2:26" s="1078" customFormat="1" ht="19.899999999999999" thickBot="1">
      <c r="B33" s="783">
        <v>12</v>
      </c>
      <c r="C33" s="784" t="s">
        <v>82</v>
      </c>
      <c r="D33" s="784" t="s">
        <v>65</v>
      </c>
      <c r="E33" s="785">
        <v>28</v>
      </c>
      <c r="F33" s="786">
        <v>1466</v>
      </c>
      <c r="G33" s="787">
        <v>1026</v>
      </c>
      <c r="H33" s="787">
        <v>30</v>
      </c>
      <c r="I33" s="787">
        <v>350</v>
      </c>
      <c r="J33" s="787">
        <v>360</v>
      </c>
      <c r="K33" s="791" t="s">
        <v>489</v>
      </c>
      <c r="L33" s="1034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</row>
    <row r="34" spans="2:26" s="647" customFormat="1" ht="19.899999999999999" thickBot="1">
      <c r="B34" s="798">
        <v>13</v>
      </c>
      <c r="C34" s="773" t="s">
        <v>379</v>
      </c>
      <c r="D34" s="773" t="s">
        <v>380</v>
      </c>
      <c r="E34" s="774">
        <v>20</v>
      </c>
      <c r="F34" s="775">
        <v>758</v>
      </c>
      <c r="G34" s="776">
        <v>286</v>
      </c>
      <c r="H34" s="776">
        <v>63</v>
      </c>
      <c r="I34" s="776">
        <v>2273</v>
      </c>
      <c r="J34" s="776">
        <v>762</v>
      </c>
      <c r="K34" s="782" t="s">
        <v>506</v>
      </c>
      <c r="L34" s="1034"/>
      <c r="M34" s="579"/>
      <c r="N34" s="579"/>
      <c r="O34" s="579"/>
      <c r="P34" s="579"/>
      <c r="Q34" s="579"/>
      <c r="R34" s="646"/>
      <c r="S34" s="646"/>
      <c r="T34" s="646"/>
      <c r="U34" s="646"/>
      <c r="V34" s="646"/>
      <c r="W34" s="646"/>
      <c r="X34" s="646"/>
      <c r="Y34" s="646"/>
      <c r="Z34" s="646"/>
    </row>
    <row r="35" spans="2:26" s="647" customFormat="1" ht="19.899999999999999" thickBot="1">
      <c r="B35" s="772">
        <v>14</v>
      </c>
      <c r="C35" s="773" t="s">
        <v>351</v>
      </c>
      <c r="D35" s="773" t="s">
        <v>352</v>
      </c>
      <c r="E35" s="774">
        <v>24</v>
      </c>
      <c r="F35" s="775">
        <v>750</v>
      </c>
      <c r="G35" s="776">
        <v>300</v>
      </c>
      <c r="H35" s="776">
        <v>60</v>
      </c>
      <c r="I35" s="776" t="s">
        <v>164</v>
      </c>
      <c r="J35" s="776">
        <v>1000</v>
      </c>
      <c r="K35" s="698" t="s">
        <v>235</v>
      </c>
      <c r="L35" s="1034"/>
      <c r="M35" s="579"/>
      <c r="N35" s="579"/>
      <c r="O35" s="579"/>
      <c r="P35" s="579"/>
      <c r="Q35" s="579"/>
      <c r="R35" s="646"/>
      <c r="S35" s="646"/>
      <c r="T35" s="646"/>
      <c r="U35" s="646"/>
      <c r="V35" s="646"/>
      <c r="W35" s="646"/>
      <c r="X35" s="646"/>
      <c r="Y35" s="646"/>
      <c r="Z35" s="646"/>
    </row>
    <row r="36" spans="2:26" s="647" customFormat="1" ht="19.899999999999999" thickBot="1">
      <c r="B36" s="772">
        <v>15</v>
      </c>
      <c r="C36" s="773" t="s">
        <v>83</v>
      </c>
      <c r="D36" s="773" t="s">
        <v>84</v>
      </c>
      <c r="E36" s="774">
        <v>44</v>
      </c>
      <c r="F36" s="775">
        <v>3707</v>
      </c>
      <c r="G36" s="776">
        <v>1112</v>
      </c>
      <c r="H36" s="776">
        <v>70</v>
      </c>
      <c r="I36" s="776">
        <v>1735</v>
      </c>
      <c r="J36" s="776">
        <v>1068</v>
      </c>
      <c r="K36" s="698" t="s">
        <v>235</v>
      </c>
      <c r="L36" s="1034"/>
      <c r="M36" s="646"/>
      <c r="N36" s="646"/>
      <c r="O36" s="646"/>
      <c r="P36" s="646"/>
      <c r="Q36" s="646"/>
      <c r="R36" s="646"/>
      <c r="S36" s="646"/>
      <c r="T36" s="646"/>
      <c r="U36" s="646"/>
      <c r="V36" s="646"/>
      <c r="W36" s="646"/>
      <c r="X36" s="646"/>
      <c r="Y36" s="646"/>
      <c r="Z36" s="646"/>
    </row>
    <row r="37" spans="2:26" s="1078" customFormat="1" ht="19.899999999999999" thickBot="1">
      <c r="B37" s="783">
        <v>16</v>
      </c>
      <c r="C37" s="837" t="s">
        <v>85</v>
      </c>
      <c r="D37" s="837" t="s">
        <v>72</v>
      </c>
      <c r="E37" s="838">
        <v>32</v>
      </c>
      <c r="F37" s="834">
        <v>1702</v>
      </c>
      <c r="G37" s="835">
        <v>1072</v>
      </c>
      <c r="H37" s="835">
        <v>37</v>
      </c>
      <c r="I37" s="835">
        <v>1724</v>
      </c>
      <c r="J37" s="835">
        <v>600</v>
      </c>
      <c r="K37" s="819" t="s">
        <v>489</v>
      </c>
      <c r="L37" s="1034"/>
      <c r="M37" s="1095"/>
      <c r="N37" s="1095"/>
      <c r="O37" s="1095"/>
      <c r="P37" s="1095"/>
      <c r="Q37" s="1095"/>
      <c r="R37" s="1095"/>
      <c r="S37" s="1095"/>
      <c r="T37" s="1095"/>
      <c r="U37" s="1095"/>
      <c r="V37" s="1095"/>
      <c r="W37" s="1095"/>
      <c r="X37" s="1095"/>
      <c r="Y37" s="1095"/>
      <c r="Z37" s="1095"/>
    </row>
    <row r="38" spans="2:26" s="1078" customFormat="1" ht="33.6">
      <c r="B38" s="783">
        <v>17</v>
      </c>
      <c r="C38" s="837" t="s">
        <v>86</v>
      </c>
      <c r="D38" s="837" t="s">
        <v>87</v>
      </c>
      <c r="E38" s="838">
        <v>28</v>
      </c>
      <c r="F38" s="834">
        <v>755</v>
      </c>
      <c r="G38" s="835">
        <v>332</v>
      </c>
      <c r="H38" s="835">
        <v>56</v>
      </c>
      <c r="I38" s="835">
        <v>6177</v>
      </c>
      <c r="J38" s="835">
        <v>1850</v>
      </c>
      <c r="K38" s="1097" t="s">
        <v>497</v>
      </c>
      <c r="L38" s="1034" t="s">
        <v>533</v>
      </c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</row>
    <row r="39" spans="2:26" s="1078" customFormat="1" ht="19.899999999999999" thickBot="1">
      <c r="B39" s="783">
        <v>18</v>
      </c>
      <c r="C39" s="837" t="s">
        <v>88</v>
      </c>
      <c r="D39" s="837" t="s">
        <v>89</v>
      </c>
      <c r="E39" s="838">
        <v>28</v>
      </c>
      <c r="F39" s="834">
        <v>1108</v>
      </c>
      <c r="G39" s="835">
        <v>532</v>
      </c>
      <c r="H39" s="835">
        <v>52</v>
      </c>
      <c r="I39" s="835">
        <v>3495</v>
      </c>
      <c r="J39" s="835">
        <v>363</v>
      </c>
      <c r="K39" s="1096" t="s">
        <v>489</v>
      </c>
      <c r="L39" s="1034"/>
      <c r="M39" s="1095"/>
      <c r="N39" s="1095"/>
      <c r="O39" s="1095"/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</row>
    <row r="40" spans="2:26" s="647" customFormat="1" ht="19.899999999999999" thickBot="1">
      <c r="B40" s="991">
        <v>19</v>
      </c>
      <c r="C40" s="784" t="s">
        <v>90</v>
      </c>
      <c r="D40" s="784" t="s">
        <v>84</v>
      </c>
      <c r="E40" s="785">
        <v>48</v>
      </c>
      <c r="F40" s="786">
        <v>776</v>
      </c>
      <c r="G40" s="787">
        <v>714</v>
      </c>
      <c r="H40" s="787">
        <v>8</v>
      </c>
      <c r="I40" s="787">
        <v>4911</v>
      </c>
      <c r="J40" s="787">
        <v>550</v>
      </c>
      <c r="K40" s="791" t="s">
        <v>489</v>
      </c>
      <c r="L40" s="1034"/>
      <c r="M40" s="646"/>
      <c r="N40" s="646"/>
      <c r="O40" s="646"/>
      <c r="P40" s="646"/>
      <c r="Q40" s="646"/>
      <c r="R40" s="646"/>
      <c r="S40" s="646"/>
      <c r="T40" s="646"/>
      <c r="U40" s="646"/>
      <c r="V40" s="646"/>
      <c r="W40" s="646"/>
      <c r="X40" s="646"/>
      <c r="Y40" s="646"/>
      <c r="Z40" s="646"/>
    </row>
    <row r="41" spans="2:26" s="647" customFormat="1" ht="19.899999999999999" thickBot="1">
      <c r="B41" s="783">
        <v>20</v>
      </c>
      <c r="C41" s="784" t="s">
        <v>91</v>
      </c>
      <c r="D41" s="784" t="s">
        <v>89</v>
      </c>
      <c r="E41" s="785">
        <v>36</v>
      </c>
      <c r="F41" s="786">
        <v>497</v>
      </c>
      <c r="G41" s="787">
        <v>496</v>
      </c>
      <c r="H41" s="787">
        <v>0</v>
      </c>
      <c r="I41" s="787">
        <v>1297</v>
      </c>
      <c r="J41" s="787">
        <v>200</v>
      </c>
      <c r="K41" s="788" t="s">
        <v>489</v>
      </c>
      <c r="L41" s="1034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</row>
    <row r="42" spans="2:26" s="647" customFormat="1" ht="19.899999999999999" thickBot="1">
      <c r="B42" s="783">
        <v>21</v>
      </c>
      <c r="C42" s="784" t="s">
        <v>92</v>
      </c>
      <c r="D42" s="784" t="s">
        <v>93</v>
      </c>
      <c r="E42" s="785">
        <v>24</v>
      </c>
      <c r="F42" s="786">
        <v>651</v>
      </c>
      <c r="G42" s="787">
        <v>378</v>
      </c>
      <c r="H42" s="787">
        <v>38</v>
      </c>
      <c r="I42" s="787">
        <v>373</v>
      </c>
      <c r="J42" s="787">
        <v>180</v>
      </c>
      <c r="K42" s="788" t="s">
        <v>489</v>
      </c>
      <c r="L42" s="1034"/>
      <c r="M42" s="646"/>
      <c r="N42" s="646"/>
      <c r="O42" s="646"/>
      <c r="P42" s="646"/>
      <c r="Q42" s="646"/>
      <c r="R42" s="646"/>
      <c r="S42" s="646"/>
      <c r="T42" s="646"/>
      <c r="U42" s="646"/>
      <c r="V42" s="646"/>
      <c r="W42" s="646"/>
      <c r="X42" s="646"/>
      <c r="Y42" s="646"/>
      <c r="Z42" s="646"/>
    </row>
    <row r="43" spans="2:26" s="647" customFormat="1" ht="19.899999999999999" thickBot="1">
      <c r="B43" s="783">
        <v>22</v>
      </c>
      <c r="C43" s="784" t="s">
        <v>94</v>
      </c>
      <c r="D43" s="784" t="s">
        <v>67</v>
      </c>
      <c r="E43" s="785">
        <v>32</v>
      </c>
      <c r="F43" s="786">
        <v>1445</v>
      </c>
      <c r="G43" s="787">
        <v>708</v>
      </c>
      <c r="H43" s="787">
        <v>51</v>
      </c>
      <c r="I43" s="787">
        <v>678</v>
      </c>
      <c r="J43" s="787">
        <v>444</v>
      </c>
      <c r="K43" s="788" t="s">
        <v>489</v>
      </c>
      <c r="L43" s="1034"/>
      <c r="M43" s="646"/>
      <c r="N43" s="646"/>
      <c r="O43" s="646"/>
      <c r="P43" s="646"/>
      <c r="Q43" s="646"/>
      <c r="R43" s="646"/>
      <c r="S43" s="646"/>
      <c r="T43" s="646"/>
      <c r="U43" s="646"/>
      <c r="V43" s="646"/>
      <c r="W43" s="646"/>
      <c r="X43" s="646"/>
      <c r="Y43" s="646"/>
      <c r="Z43" s="646"/>
    </row>
    <row r="44" spans="2:26" s="647" customFormat="1" ht="19.899999999999999" thickBot="1">
      <c r="B44" s="783">
        <v>23</v>
      </c>
      <c r="C44" s="784" t="s">
        <v>95</v>
      </c>
      <c r="D44" s="784" t="s">
        <v>65</v>
      </c>
      <c r="E44" s="792">
        <v>20</v>
      </c>
      <c r="F44" s="786">
        <v>1053</v>
      </c>
      <c r="G44" s="787">
        <v>379</v>
      </c>
      <c r="H44" s="787">
        <v>64</v>
      </c>
      <c r="I44" s="787">
        <v>437</v>
      </c>
      <c r="J44" s="787">
        <v>305</v>
      </c>
      <c r="K44" s="788" t="s">
        <v>489</v>
      </c>
      <c r="L44" s="1034"/>
      <c r="M44" s="646"/>
      <c r="N44" s="646"/>
      <c r="O44" s="646"/>
      <c r="P44" s="646"/>
      <c r="Q44" s="646"/>
      <c r="R44" s="646"/>
      <c r="S44" s="646"/>
      <c r="T44" s="646"/>
      <c r="U44" s="646"/>
      <c r="V44" s="646"/>
      <c r="W44" s="646"/>
      <c r="X44" s="646"/>
      <c r="Y44" s="646"/>
      <c r="Z44" s="646"/>
    </row>
    <row r="45" spans="2:26" s="647" customFormat="1" ht="19.899999999999999" thickBot="1">
      <c r="B45" s="756">
        <v>24</v>
      </c>
      <c r="C45" s="757" t="s">
        <v>96</v>
      </c>
      <c r="D45" s="757" t="s">
        <v>67</v>
      </c>
      <c r="E45" s="758">
        <v>36</v>
      </c>
      <c r="F45" s="759">
        <v>2231</v>
      </c>
      <c r="G45" s="760">
        <v>781</v>
      </c>
      <c r="H45" s="760">
        <v>65</v>
      </c>
      <c r="I45" s="760">
        <v>644</v>
      </c>
      <c r="J45" s="760">
        <v>435</v>
      </c>
      <c r="K45" s="788" t="s">
        <v>489</v>
      </c>
      <c r="L45" s="1034"/>
      <c r="M45" s="646"/>
      <c r="N45" s="646"/>
      <c r="O45" s="646"/>
      <c r="P45" s="646"/>
      <c r="Q45" s="646"/>
      <c r="R45" s="646"/>
      <c r="S45" s="646"/>
      <c r="T45" s="646"/>
      <c r="U45" s="646"/>
      <c r="V45" s="646"/>
      <c r="W45" s="646"/>
      <c r="X45" s="646"/>
      <c r="Y45" s="646"/>
      <c r="Z45" s="646"/>
    </row>
    <row r="46" spans="2:26" ht="18.75" customHeight="1" thickBot="1">
      <c r="B46" s="839"/>
      <c r="C46" s="1160"/>
      <c r="D46" s="1161"/>
      <c r="E46" s="1161"/>
      <c r="F46" s="224">
        <f>SUM(F23:F45)</f>
        <v>31723</v>
      </c>
      <c r="G46" s="224">
        <f>SUM(G22:G45)</f>
        <v>15213</v>
      </c>
      <c r="H46" s="840"/>
      <c r="I46" s="841"/>
      <c r="J46" s="840"/>
      <c r="K46" s="839"/>
      <c r="L46" s="621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</row>
    <row r="47" spans="2:26" ht="18" customHeight="1" thickBot="1">
      <c r="B47" s="839"/>
      <c r="C47" s="1343"/>
      <c r="D47" s="1343"/>
      <c r="E47" s="1343"/>
      <c r="F47" s="842"/>
      <c r="G47" s="208">
        <f>ROUNDUP(G46,-1)</f>
        <v>15220</v>
      </c>
      <c r="H47" s="842"/>
      <c r="I47" s="1162"/>
      <c r="J47" s="839"/>
      <c r="K47" s="839"/>
      <c r="L47" s="621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</row>
    <row r="48" spans="2:26" ht="18.75" customHeight="1" thickBot="1">
      <c r="B48" s="839"/>
      <c r="C48" s="839"/>
      <c r="D48" s="842"/>
      <c r="E48" s="842"/>
      <c r="F48" s="842"/>
      <c r="G48"/>
      <c r="H48" s="842"/>
      <c r="I48" s="842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</row>
    <row r="49" spans="2:26" ht="15" customHeight="1" thickBot="1">
      <c r="B49" s="178"/>
      <c r="C49" s="178"/>
      <c r="D49" s="178"/>
      <c r="E49" s="178"/>
      <c r="F49" s="178"/>
      <c r="G49" s="178"/>
      <c r="H49" s="178"/>
      <c r="I49" s="178"/>
      <c r="J49" s="178"/>
      <c r="K49" s="115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</row>
    <row r="50" spans="2:26" ht="19.899999999999999" thickBot="1">
      <c r="B50" s="178"/>
      <c r="C50" s="178"/>
      <c r="D50" s="178"/>
      <c r="E50" s="178"/>
      <c r="F50" s="178"/>
      <c r="G50" s="178"/>
      <c r="H50" s="178"/>
      <c r="I50" s="178"/>
      <c r="J50" s="178"/>
      <c r="K50" s="1159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</row>
    <row r="51" spans="2:26" ht="25.9" customHeight="1" thickBot="1">
      <c r="B51" s="1375" t="s">
        <v>534</v>
      </c>
      <c r="C51" s="1375"/>
      <c r="D51" s="1375"/>
      <c r="E51" s="1375"/>
      <c r="F51" s="1375"/>
      <c r="G51" s="1375"/>
      <c r="H51" s="1375"/>
      <c r="I51" s="1375"/>
      <c r="J51" s="1375"/>
      <c r="K51" s="1375"/>
      <c r="L51" s="866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</row>
    <row r="52" spans="2:26" ht="40.15" thickBot="1">
      <c r="B52" s="1154" t="s">
        <v>156</v>
      </c>
      <c r="C52" s="1154" t="s">
        <v>31</v>
      </c>
      <c r="D52" s="1155" t="s">
        <v>32</v>
      </c>
      <c r="E52" s="1155" t="s">
        <v>33</v>
      </c>
      <c r="F52" s="1155" t="s">
        <v>34</v>
      </c>
      <c r="G52" s="1155" t="s">
        <v>35</v>
      </c>
      <c r="H52" s="1155" t="s">
        <v>37</v>
      </c>
      <c r="I52" s="1156" t="s">
        <v>38</v>
      </c>
      <c r="J52" s="1156" t="s">
        <v>39</v>
      </c>
      <c r="K52" s="1157" t="s">
        <v>40</v>
      </c>
      <c r="L52" s="579"/>
      <c r="M52" s="621"/>
      <c r="N52" s="621"/>
      <c r="O52" s="621"/>
      <c r="P52" s="621"/>
      <c r="Q52" s="621"/>
      <c r="R52" s="579"/>
      <c r="S52" s="579"/>
      <c r="T52" s="579"/>
      <c r="U52" s="579"/>
      <c r="V52" s="579"/>
      <c r="W52" s="579"/>
      <c r="X52" s="579"/>
      <c r="Y52" s="579"/>
      <c r="Z52" s="579"/>
    </row>
    <row r="53" spans="2:26" ht="19.899999999999999" thickBot="1">
      <c r="B53" s="263">
        <v>1</v>
      </c>
      <c r="C53" s="253" t="s">
        <v>98</v>
      </c>
      <c r="D53" s="254" t="s">
        <v>99</v>
      </c>
      <c r="E53" s="255">
        <v>36</v>
      </c>
      <c r="F53" s="197">
        <v>1717</v>
      </c>
      <c r="G53" s="197">
        <v>996</v>
      </c>
      <c r="H53" s="197">
        <v>42</v>
      </c>
      <c r="I53" s="255">
        <v>533</v>
      </c>
      <c r="J53" s="255">
        <v>300</v>
      </c>
      <c r="K53" s="1130"/>
      <c r="L53" s="1134"/>
      <c r="M53" s="621">
        <f>I53*G53</f>
        <v>530868</v>
      </c>
      <c r="N53" s="580">
        <f>M53/(10^6)</f>
        <v>0.53086800000000001</v>
      </c>
      <c r="O53" s="621"/>
      <c r="P53" s="621"/>
      <c r="Q53" s="621"/>
      <c r="R53" s="621"/>
      <c r="S53" s="621"/>
      <c r="T53" s="621"/>
      <c r="U53" s="621"/>
      <c r="V53" s="621"/>
      <c r="W53" s="621"/>
      <c r="X53" s="621"/>
      <c r="Y53" s="621"/>
      <c r="Z53" s="621"/>
    </row>
    <row r="54" spans="2:26" ht="18.75" customHeight="1" thickBot="1">
      <c r="B54" s="263">
        <v>2</v>
      </c>
      <c r="C54" s="253" t="s">
        <v>100</v>
      </c>
      <c r="D54" s="254" t="s">
        <v>101</v>
      </c>
      <c r="E54" s="255">
        <v>36</v>
      </c>
      <c r="F54" s="197">
        <v>814</v>
      </c>
      <c r="G54" s="197">
        <v>812</v>
      </c>
      <c r="H54" s="197">
        <v>0</v>
      </c>
      <c r="I54" s="255">
        <v>379</v>
      </c>
      <c r="J54" s="255">
        <v>181</v>
      </c>
      <c r="K54" s="1130"/>
      <c r="L54" s="1134"/>
      <c r="M54" s="621">
        <f>I54*G54</f>
        <v>307748</v>
      </c>
      <c r="N54" s="580">
        <f>M54/(10^6)</f>
        <v>0.30774800000000002</v>
      </c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</row>
    <row r="55" spans="2:26" ht="15" customHeight="1" thickBot="1">
      <c r="B55" s="210">
        <v>3</v>
      </c>
      <c r="C55" s="216" t="s">
        <v>104</v>
      </c>
      <c r="D55" s="192" t="s">
        <v>99</v>
      </c>
      <c r="E55" s="193">
        <v>24</v>
      </c>
      <c r="F55" s="194">
        <v>857</v>
      </c>
      <c r="G55" s="194">
        <v>317</v>
      </c>
      <c r="H55" s="194">
        <v>63</v>
      </c>
      <c r="I55" s="193">
        <v>362</v>
      </c>
      <c r="J55" s="193">
        <v>252</v>
      </c>
      <c r="K55" s="846"/>
      <c r="L55" s="1134"/>
      <c r="M55" s="621"/>
      <c r="N55" s="621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</row>
    <row r="56" spans="2:26">
      <c r="B56" s="222">
        <v>4</v>
      </c>
      <c r="C56" s="218" t="s">
        <v>106</v>
      </c>
      <c r="D56" s="219" t="s">
        <v>103</v>
      </c>
      <c r="E56" s="220">
        <v>28</v>
      </c>
      <c r="F56" s="221">
        <v>764</v>
      </c>
      <c r="G56" s="221">
        <v>565</v>
      </c>
      <c r="H56" s="221">
        <v>26</v>
      </c>
      <c r="I56" s="220">
        <v>991</v>
      </c>
      <c r="J56" s="220">
        <v>348</v>
      </c>
      <c r="K56" s="782" t="s">
        <v>535</v>
      </c>
      <c r="L56" s="1134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</row>
    <row r="57" spans="2:26" ht="19.899999999999999" thickBot="1">
      <c r="B57" s="222">
        <v>5</v>
      </c>
      <c r="C57" s="218" t="s">
        <v>107</v>
      </c>
      <c r="D57" s="219" t="s">
        <v>103</v>
      </c>
      <c r="E57" s="220">
        <v>28</v>
      </c>
      <c r="F57" s="221">
        <v>880</v>
      </c>
      <c r="G57" s="221">
        <v>260</v>
      </c>
      <c r="H57" s="221">
        <v>70</v>
      </c>
      <c r="I57" s="220">
        <v>292</v>
      </c>
      <c r="J57" s="220">
        <v>140</v>
      </c>
      <c r="K57" s="847" t="s">
        <v>260</v>
      </c>
      <c r="L57" s="1134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</row>
    <row r="58" spans="2:26" ht="15" customHeight="1" thickBot="1">
      <c r="B58" s="210">
        <v>6</v>
      </c>
      <c r="C58" s="216" t="s">
        <v>109</v>
      </c>
      <c r="D58" s="192" t="s">
        <v>110</v>
      </c>
      <c r="E58" s="193">
        <v>28</v>
      </c>
      <c r="F58" s="194">
        <v>1209</v>
      </c>
      <c r="G58" s="194">
        <v>568</v>
      </c>
      <c r="H58" s="194">
        <v>53</v>
      </c>
      <c r="I58" s="193">
        <v>433</v>
      </c>
      <c r="J58" s="193">
        <v>220</v>
      </c>
      <c r="K58" s="846"/>
      <c r="L58" s="1134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</row>
    <row r="59" spans="2:26" ht="19.899999999999999" thickBot="1">
      <c r="B59" s="210">
        <v>7</v>
      </c>
      <c r="C59" s="216" t="s">
        <v>111</v>
      </c>
      <c r="D59" s="192" t="s">
        <v>99</v>
      </c>
      <c r="E59" s="193">
        <v>36</v>
      </c>
      <c r="F59" s="194">
        <v>2807</v>
      </c>
      <c r="G59" s="194">
        <v>1263</v>
      </c>
      <c r="H59" s="194">
        <v>55</v>
      </c>
      <c r="I59" s="193">
        <v>415</v>
      </c>
      <c r="J59" s="193">
        <v>348</v>
      </c>
      <c r="K59" s="846"/>
      <c r="L59" s="1134"/>
      <c r="M59" s="871"/>
      <c r="N59" s="871"/>
      <c r="O59" s="871"/>
      <c r="P59" s="871"/>
      <c r="Q59" s="871"/>
      <c r="R59" s="621"/>
      <c r="S59" s="621"/>
      <c r="T59" s="621"/>
      <c r="U59" s="621"/>
      <c r="V59" s="621"/>
      <c r="W59" s="621"/>
      <c r="X59" s="621"/>
      <c r="Y59" s="621"/>
      <c r="Z59" s="621"/>
    </row>
    <row r="60" spans="2:26" ht="19.899999999999999" thickBot="1">
      <c r="B60" s="263">
        <v>8</v>
      </c>
      <c r="C60" s="253" t="s">
        <v>112</v>
      </c>
      <c r="D60" s="254" t="s">
        <v>103</v>
      </c>
      <c r="E60" s="255">
        <v>56</v>
      </c>
      <c r="F60" s="197">
        <v>6056</v>
      </c>
      <c r="G60" s="197">
        <v>5251</v>
      </c>
      <c r="H60" s="197">
        <v>13</v>
      </c>
      <c r="I60" s="255">
        <v>421</v>
      </c>
      <c r="J60" s="255">
        <v>580</v>
      </c>
      <c r="K60" s="1140"/>
      <c r="L60" s="1134"/>
      <c r="M60" s="872"/>
      <c r="O60" s="873">
        <f>N54+N61+N73</f>
        <v>1.3999489999999999</v>
      </c>
      <c r="P60" s="873"/>
      <c r="Q60" s="873"/>
      <c r="R60" s="871"/>
      <c r="S60" s="871"/>
      <c r="T60" s="871"/>
      <c r="U60" s="871"/>
      <c r="V60" s="871"/>
      <c r="W60" s="871"/>
      <c r="X60" s="871"/>
      <c r="Y60" s="621"/>
      <c r="Z60" s="621"/>
    </row>
    <row r="61" spans="2:26" ht="19.899999999999999" thickBot="1">
      <c r="B61" s="263">
        <v>9</v>
      </c>
      <c r="C61" s="216" t="s">
        <v>113</v>
      </c>
      <c r="D61" s="192" t="s">
        <v>103</v>
      </c>
      <c r="E61" s="193">
        <v>36</v>
      </c>
      <c r="F61" s="194">
        <v>1960</v>
      </c>
      <c r="G61" s="194">
        <v>1647</v>
      </c>
      <c r="H61" s="194">
        <v>16</v>
      </c>
      <c r="I61" s="193">
        <v>511</v>
      </c>
      <c r="J61" s="193">
        <v>363</v>
      </c>
      <c r="K61" s="846"/>
      <c r="L61" s="1134"/>
      <c r="M61" s="872">
        <f>I61*G61</f>
        <v>841617</v>
      </c>
      <c r="N61" s="580">
        <f>M61/(10^6)</f>
        <v>0.84161699999999995</v>
      </c>
      <c r="O61" s="872"/>
      <c r="P61" s="872"/>
      <c r="Q61" s="872"/>
      <c r="R61" s="873"/>
      <c r="S61" s="873"/>
      <c r="T61" s="873"/>
      <c r="U61" s="873"/>
      <c r="V61" s="873"/>
      <c r="W61" s="873"/>
      <c r="X61" s="873"/>
      <c r="Y61" s="870"/>
      <c r="Z61" s="621"/>
    </row>
    <row r="62" spans="2:26" ht="19.899999999999999" thickBot="1">
      <c r="B62" s="210">
        <v>10</v>
      </c>
      <c r="C62" s="216" t="s">
        <v>114</v>
      </c>
      <c r="D62" s="192" t="s">
        <v>99</v>
      </c>
      <c r="E62" s="193">
        <v>20</v>
      </c>
      <c r="F62" s="194">
        <v>848</v>
      </c>
      <c r="G62" s="194">
        <v>756</v>
      </c>
      <c r="H62" s="194">
        <v>11</v>
      </c>
      <c r="I62" s="193">
        <v>359</v>
      </c>
      <c r="J62" s="193">
        <v>560</v>
      </c>
      <c r="K62" s="846"/>
      <c r="L62" s="1134"/>
      <c r="M62" s="621"/>
      <c r="N62" s="621"/>
      <c r="O62" s="621"/>
      <c r="P62" s="621"/>
      <c r="Q62" s="621"/>
      <c r="R62" s="872"/>
      <c r="S62" s="872"/>
      <c r="T62" s="872"/>
      <c r="U62" s="872"/>
      <c r="V62" s="872"/>
      <c r="W62" s="872"/>
      <c r="X62" s="872"/>
      <c r="Y62" s="621"/>
      <c r="Z62" s="621"/>
    </row>
    <row r="63" spans="2:26" ht="19.899999999999999" thickBot="1">
      <c r="B63" s="210">
        <v>11</v>
      </c>
      <c r="C63" s="216" t="s">
        <v>115</v>
      </c>
      <c r="D63" s="192" t="s">
        <v>105</v>
      </c>
      <c r="E63" s="193">
        <v>40</v>
      </c>
      <c r="F63" s="194">
        <v>2319</v>
      </c>
      <c r="G63" s="194">
        <v>1320</v>
      </c>
      <c r="H63" s="194">
        <v>43</v>
      </c>
      <c r="I63" s="193">
        <v>515</v>
      </c>
      <c r="J63" s="193">
        <v>300</v>
      </c>
      <c r="K63" s="846"/>
      <c r="L63" s="1134"/>
      <c r="M63" s="1152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</row>
    <row r="64" spans="2:26" ht="19.899999999999999" thickBot="1">
      <c r="B64" s="210">
        <v>12</v>
      </c>
      <c r="C64" s="253" t="s">
        <v>116</v>
      </c>
      <c r="D64" s="254" t="s">
        <v>117</v>
      </c>
      <c r="E64" s="255">
        <v>24</v>
      </c>
      <c r="F64" s="197">
        <v>1146</v>
      </c>
      <c r="G64" s="197">
        <v>550</v>
      </c>
      <c r="H64" s="197">
        <v>52</v>
      </c>
      <c r="I64" s="255">
        <v>633</v>
      </c>
      <c r="J64" s="255">
        <v>261</v>
      </c>
      <c r="K64" s="990"/>
      <c r="L64" s="1134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</row>
    <row r="65" spans="2:26" ht="19.899999999999999" thickBot="1">
      <c r="B65" s="263">
        <v>13</v>
      </c>
      <c r="C65" s="253" t="s">
        <v>119</v>
      </c>
      <c r="D65" s="254" t="s">
        <v>103</v>
      </c>
      <c r="E65" s="255">
        <v>28</v>
      </c>
      <c r="F65" s="197">
        <v>745</v>
      </c>
      <c r="G65" s="197">
        <v>454</v>
      </c>
      <c r="H65" s="197">
        <v>39</v>
      </c>
      <c r="I65" s="255">
        <v>355</v>
      </c>
      <c r="J65" s="255">
        <v>203</v>
      </c>
      <c r="K65" s="779"/>
      <c r="L65" s="1135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</row>
    <row r="66" spans="2:26" ht="19.899999999999999" thickBot="1">
      <c r="B66" s="263">
        <v>14</v>
      </c>
      <c r="C66" s="216" t="s">
        <v>120</v>
      </c>
      <c r="D66" s="192" t="s">
        <v>101</v>
      </c>
      <c r="E66" s="193">
        <v>20</v>
      </c>
      <c r="F66" s="194">
        <v>400</v>
      </c>
      <c r="G66" s="194">
        <v>188</v>
      </c>
      <c r="H66" s="194">
        <v>53</v>
      </c>
      <c r="I66" s="193">
        <v>527</v>
      </c>
      <c r="J66" s="193">
        <v>104</v>
      </c>
      <c r="K66" s="846"/>
      <c r="L66" s="1134"/>
      <c r="M66" s="1153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</row>
    <row r="67" spans="2:26" ht="19.899999999999999" thickBot="1">
      <c r="B67" s="222">
        <v>15</v>
      </c>
      <c r="C67" s="218" t="s">
        <v>121</v>
      </c>
      <c r="D67" s="219" t="s">
        <v>105</v>
      </c>
      <c r="E67" s="220">
        <v>24</v>
      </c>
      <c r="F67" s="221">
        <v>233</v>
      </c>
      <c r="G67" s="221">
        <v>192</v>
      </c>
      <c r="H67" s="221">
        <v>18</v>
      </c>
      <c r="I67" s="220">
        <v>292</v>
      </c>
      <c r="J67" s="220">
        <v>130</v>
      </c>
      <c r="K67" s="848" t="s">
        <v>536</v>
      </c>
      <c r="L67" s="1134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</row>
    <row r="68" spans="2:26" ht="19.899999999999999" thickBot="1">
      <c r="B68" s="263">
        <v>16</v>
      </c>
      <c r="C68" s="253" t="s">
        <v>122</v>
      </c>
      <c r="D68" s="254" t="s">
        <v>110</v>
      </c>
      <c r="E68" s="255">
        <v>24</v>
      </c>
      <c r="F68" s="197">
        <v>1144</v>
      </c>
      <c r="G68" s="197">
        <v>1036</v>
      </c>
      <c r="H68" s="197">
        <v>9</v>
      </c>
      <c r="I68" s="255">
        <v>583</v>
      </c>
      <c r="J68" s="255">
        <v>530</v>
      </c>
      <c r="K68" s="779"/>
      <c r="L68" s="1134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</row>
    <row r="69" spans="2:26" ht="19.899999999999999" thickBot="1">
      <c r="B69" s="210">
        <v>17</v>
      </c>
      <c r="C69" s="253" t="s">
        <v>123</v>
      </c>
      <c r="D69" s="254" t="s">
        <v>124</v>
      </c>
      <c r="E69" s="255">
        <v>24</v>
      </c>
      <c r="F69" s="197">
        <v>948</v>
      </c>
      <c r="G69" s="197">
        <v>313</v>
      </c>
      <c r="H69" s="197">
        <v>67</v>
      </c>
      <c r="I69" s="255">
        <v>975</v>
      </c>
      <c r="J69" s="255">
        <v>304</v>
      </c>
      <c r="K69" s="779"/>
      <c r="L69" s="1134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</row>
    <row r="70" spans="2:26" ht="19.899999999999999" thickBot="1">
      <c r="B70" s="222">
        <v>18</v>
      </c>
      <c r="C70" s="218" t="s">
        <v>127</v>
      </c>
      <c r="D70" s="219" t="s">
        <v>101</v>
      </c>
      <c r="E70" s="220">
        <v>36</v>
      </c>
      <c r="F70" s="221">
        <v>3083</v>
      </c>
      <c r="G70" s="221">
        <v>894</v>
      </c>
      <c r="H70" s="221">
        <v>71</v>
      </c>
      <c r="I70" s="220">
        <v>360</v>
      </c>
      <c r="J70" s="220">
        <v>220</v>
      </c>
      <c r="K70" s="848" t="s">
        <v>235</v>
      </c>
      <c r="L70" s="1134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</row>
    <row r="71" spans="2:26" ht="19.899999999999999" thickBot="1">
      <c r="B71" s="222">
        <v>19</v>
      </c>
      <c r="C71" s="218" t="s">
        <v>128</v>
      </c>
      <c r="D71" s="219" t="s">
        <v>105</v>
      </c>
      <c r="E71" s="220">
        <v>24</v>
      </c>
      <c r="F71" s="221">
        <v>743</v>
      </c>
      <c r="G71" s="221">
        <v>358</v>
      </c>
      <c r="H71" s="221">
        <v>52</v>
      </c>
      <c r="I71" s="220">
        <v>303</v>
      </c>
      <c r="J71" s="220">
        <v>190</v>
      </c>
      <c r="K71" s="847" t="s">
        <v>260</v>
      </c>
      <c r="L71" s="1134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</row>
    <row r="72" spans="2:26" ht="27" thickBot="1">
      <c r="B72" s="210">
        <v>20</v>
      </c>
      <c r="C72" s="253" t="s">
        <v>132</v>
      </c>
      <c r="D72" s="254" t="s">
        <v>133</v>
      </c>
      <c r="E72" s="255">
        <v>24</v>
      </c>
      <c r="F72" s="197">
        <v>530</v>
      </c>
      <c r="G72" s="197">
        <v>297</v>
      </c>
      <c r="H72" s="197">
        <v>44</v>
      </c>
      <c r="I72" s="255">
        <v>299</v>
      </c>
      <c r="J72" s="255">
        <v>145</v>
      </c>
      <c r="K72" s="779"/>
      <c r="L72" s="1134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</row>
    <row r="73" spans="2:26" ht="19.899999999999999" thickBot="1">
      <c r="B73" s="210">
        <v>21</v>
      </c>
      <c r="C73" s="216" t="s">
        <v>134</v>
      </c>
      <c r="D73" s="192" t="s">
        <v>135</v>
      </c>
      <c r="E73" s="193">
        <v>20</v>
      </c>
      <c r="F73" s="194">
        <v>410</v>
      </c>
      <c r="G73" s="194">
        <v>197</v>
      </c>
      <c r="H73" s="194">
        <v>52</v>
      </c>
      <c r="I73" s="193">
        <v>1272</v>
      </c>
      <c r="J73" s="193">
        <v>493</v>
      </c>
      <c r="K73" s="846"/>
      <c r="L73" s="1134"/>
      <c r="M73" s="621">
        <f>I73*G73</f>
        <v>250584</v>
      </c>
      <c r="N73" s="580">
        <f>M73/(10^6)</f>
        <v>0.25058399999999997</v>
      </c>
      <c r="O73" s="621"/>
      <c r="P73" s="621">
        <v>14292</v>
      </c>
      <c r="Q73" s="621"/>
      <c r="R73" s="621"/>
      <c r="S73" s="621"/>
      <c r="T73" s="621"/>
      <c r="U73" s="621"/>
      <c r="V73" s="621"/>
      <c r="W73" s="621"/>
      <c r="X73" s="621"/>
      <c r="Y73" s="621"/>
      <c r="Z73" s="621"/>
    </row>
    <row r="74" spans="2:26" ht="21" customHeight="1" thickBot="1">
      <c r="B74" s="210">
        <v>22</v>
      </c>
      <c r="C74" s="216" t="s">
        <v>136</v>
      </c>
      <c r="D74" s="192" t="s">
        <v>105</v>
      </c>
      <c r="E74" s="193">
        <v>40</v>
      </c>
      <c r="F74" s="194">
        <v>2484</v>
      </c>
      <c r="G74" s="194">
        <v>1195</v>
      </c>
      <c r="H74" s="194">
        <v>52</v>
      </c>
      <c r="I74" s="193">
        <v>329</v>
      </c>
      <c r="J74" s="193">
        <v>340</v>
      </c>
      <c r="K74" s="848"/>
      <c r="L74" s="1134"/>
      <c r="M74" s="621"/>
      <c r="O74" s="621"/>
      <c r="P74" s="621">
        <v>2534</v>
      </c>
      <c r="Q74" s="621"/>
      <c r="R74" s="621"/>
      <c r="S74" s="621"/>
      <c r="T74" s="621"/>
      <c r="U74" s="621"/>
      <c r="V74" s="621"/>
      <c r="W74" s="621"/>
      <c r="X74" s="621"/>
      <c r="Y74" s="621"/>
      <c r="Z74" s="621"/>
    </row>
    <row r="75" spans="2:26" ht="18.75" customHeight="1" thickBot="1">
      <c r="B75" s="263">
        <v>23</v>
      </c>
      <c r="C75" s="253" t="s">
        <v>137</v>
      </c>
      <c r="D75" s="254" t="s">
        <v>110</v>
      </c>
      <c r="E75" s="255">
        <v>40</v>
      </c>
      <c r="F75" s="197">
        <v>2664</v>
      </c>
      <c r="G75" s="197">
        <v>1039</v>
      </c>
      <c r="H75" s="197">
        <v>61</v>
      </c>
      <c r="I75" s="197">
        <v>347</v>
      </c>
      <c r="J75" s="197">
        <v>260</v>
      </c>
      <c r="K75" s="779"/>
      <c r="L75" s="1134"/>
      <c r="M75" s="621"/>
      <c r="N75" s="621">
        <v>6386</v>
      </c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</row>
    <row r="76" spans="2:26" ht="20.45" customHeight="1" thickBot="1">
      <c r="B76" s="222">
        <v>24</v>
      </c>
      <c r="C76" s="218" t="s">
        <v>118</v>
      </c>
      <c r="D76" s="219" t="s">
        <v>99</v>
      </c>
      <c r="E76" s="220">
        <v>24</v>
      </c>
      <c r="F76" s="849">
        <v>797</v>
      </c>
      <c r="G76" s="849">
        <v>390</v>
      </c>
      <c r="H76" s="221">
        <v>51</v>
      </c>
      <c r="I76" s="220">
        <v>450</v>
      </c>
      <c r="J76" s="220">
        <v>315</v>
      </c>
      <c r="K76" s="847" t="s">
        <v>260</v>
      </c>
      <c r="L76" s="1135"/>
      <c r="M76" s="579"/>
      <c r="N76" s="579">
        <f>SUM(N73:N75)</f>
        <v>6386.2505840000003</v>
      </c>
      <c r="O76" s="579"/>
      <c r="P76" s="579"/>
      <c r="Q76" s="579"/>
      <c r="R76" s="621"/>
      <c r="S76" s="621"/>
      <c r="T76" s="621"/>
      <c r="U76" s="621"/>
      <c r="V76" s="621"/>
      <c r="W76" s="621"/>
      <c r="X76" s="621"/>
      <c r="Y76" s="621"/>
      <c r="Z76" s="621"/>
    </row>
    <row r="77" spans="2:26" ht="21" customHeight="1" thickBot="1">
      <c r="B77" s="222">
        <v>25</v>
      </c>
      <c r="C77" s="218" t="s">
        <v>129</v>
      </c>
      <c r="D77" s="219" t="s">
        <v>99</v>
      </c>
      <c r="E77" s="220">
        <v>20</v>
      </c>
      <c r="F77" s="221">
        <v>700</v>
      </c>
      <c r="G77" s="221">
        <v>427</v>
      </c>
      <c r="H77" s="221">
        <v>39</v>
      </c>
      <c r="I77" s="220">
        <v>345</v>
      </c>
      <c r="J77" s="220">
        <v>100</v>
      </c>
      <c r="K77" s="848" t="s">
        <v>68</v>
      </c>
      <c r="L77" s="1135"/>
      <c r="M77" s="579"/>
      <c r="N77" s="579"/>
      <c r="O77" s="579"/>
      <c r="P77" s="579"/>
      <c r="Q77" s="579"/>
      <c r="R77" s="621"/>
      <c r="S77" s="621"/>
      <c r="T77" s="621"/>
      <c r="U77" s="621"/>
      <c r="V77" s="621"/>
      <c r="W77" s="621"/>
      <c r="X77" s="621"/>
      <c r="Y77" s="621"/>
      <c r="Z77" s="621"/>
    </row>
    <row r="78" spans="2:26" ht="21" customHeight="1" thickBot="1">
      <c r="B78" s="222">
        <v>26</v>
      </c>
      <c r="C78" s="218" t="s">
        <v>130</v>
      </c>
      <c r="D78" s="219" t="s">
        <v>105</v>
      </c>
      <c r="E78" s="220">
        <v>16</v>
      </c>
      <c r="F78" s="221">
        <v>791</v>
      </c>
      <c r="G78" s="220">
        <v>340</v>
      </c>
      <c r="H78" s="221">
        <v>57</v>
      </c>
      <c r="I78" s="220">
        <v>309</v>
      </c>
      <c r="J78" s="220">
        <v>182</v>
      </c>
      <c r="K78" s="848" t="s">
        <v>68</v>
      </c>
      <c r="L78" s="1135"/>
      <c r="M78" s="579"/>
      <c r="N78" s="579"/>
      <c r="O78" s="579"/>
      <c r="P78" s="579"/>
      <c r="Q78" s="579"/>
      <c r="R78" s="621"/>
      <c r="S78" s="621"/>
      <c r="T78" s="621"/>
      <c r="U78" s="621"/>
      <c r="V78" s="621"/>
      <c r="W78" s="621"/>
      <c r="X78" s="621"/>
      <c r="Y78" s="621"/>
      <c r="Z78" s="621"/>
    </row>
    <row r="79" spans="2:26" ht="21" customHeight="1" thickBot="1">
      <c r="B79" s="222">
        <v>27</v>
      </c>
      <c r="C79" s="218" t="s">
        <v>131</v>
      </c>
      <c r="D79" s="219" t="s">
        <v>110</v>
      </c>
      <c r="E79" s="220">
        <v>24</v>
      </c>
      <c r="F79" s="221">
        <v>878</v>
      </c>
      <c r="G79" s="220">
        <v>430</v>
      </c>
      <c r="H79" s="221">
        <v>51</v>
      </c>
      <c r="I79" s="220">
        <v>486</v>
      </c>
      <c r="J79" s="220">
        <v>377</v>
      </c>
      <c r="K79" s="848" t="s">
        <v>68</v>
      </c>
      <c r="L79" s="1135"/>
      <c r="M79" s="579"/>
      <c r="N79" s="579"/>
      <c r="O79" s="579"/>
      <c r="P79" s="579"/>
      <c r="Q79" s="579"/>
      <c r="R79" s="621"/>
      <c r="S79" s="621"/>
      <c r="T79" s="621"/>
      <c r="U79" s="621"/>
      <c r="V79" s="621"/>
      <c r="W79" s="621"/>
      <c r="X79" s="621"/>
      <c r="Y79" s="621"/>
      <c r="Z79" s="621"/>
    </row>
    <row r="80" spans="2:26" ht="21.75" customHeight="1" thickBot="1">
      <c r="B80"/>
      <c r="C80" s="1158"/>
      <c r="D80" s="1158"/>
      <c r="E80" s="1158"/>
      <c r="F80" s="850">
        <f>SUM(F53:F75)</f>
        <v>34761</v>
      </c>
      <c r="G80" s="850">
        <f>SUM(G53:G75)</f>
        <v>20468</v>
      </c>
      <c r="H80" s="225"/>
      <c r="I80" s="408"/>
      <c r="J80" s="225"/>
      <c r="K80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</row>
    <row r="81" spans="2:26" ht="21" customHeight="1" thickBot="1">
      <c r="B81"/>
      <c r="C81"/>
      <c r="D81"/>
      <c r="E81"/>
      <c r="F81" s="1"/>
      <c r="G81" s="852">
        <f>ROUNDUP(G80,-1)</f>
        <v>20470</v>
      </c>
      <c r="H81" s="1"/>
      <c r="I81"/>
      <c r="J81" s="621"/>
      <c r="K81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</row>
    <row r="82" spans="2:26" ht="21" customHeight="1" thickBot="1">
      <c r="B82"/>
      <c r="C82"/>
      <c r="D82" s="1"/>
      <c r="E82" s="1"/>
      <c r="F82" s="1"/>
      <c r="G82" s="1"/>
      <c r="H82" s="1"/>
      <c r="I82" s="1"/>
      <c r="J82" s="1"/>
      <c r="K82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</row>
    <row r="83" spans="2:26" ht="18.95" customHeight="1" thickBot="1">
      <c r="B83"/>
      <c r="C83" s="1252" t="s">
        <v>522</v>
      </c>
      <c r="D83" s="1291"/>
      <c r="E83" s="1291"/>
      <c r="F83" s="1291"/>
      <c r="G83" s="1291"/>
      <c r="H83" s="1291"/>
      <c r="I83" s="1291"/>
      <c r="J83" s="1291"/>
      <c r="K83" s="1292"/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</row>
    <row r="84" spans="2:26" ht="40.15" thickBot="1">
      <c r="B84" s="179" t="s">
        <v>156</v>
      </c>
      <c r="C84" s="803" t="s">
        <v>31</v>
      </c>
      <c r="D84" s="804" t="s">
        <v>32</v>
      </c>
      <c r="E84" s="804" t="s">
        <v>33</v>
      </c>
      <c r="F84" s="795" t="s">
        <v>34</v>
      </c>
      <c r="G84" s="795" t="s">
        <v>35</v>
      </c>
      <c r="H84" s="804" t="s">
        <v>37</v>
      </c>
      <c r="I84" s="806" t="s">
        <v>38</v>
      </c>
      <c r="J84" s="806" t="s">
        <v>39</v>
      </c>
      <c r="K84" s="226" t="s">
        <v>40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</row>
    <row r="85" spans="2:26" ht="19.899999999999999" thickBot="1">
      <c r="B85" s="766">
        <v>1</v>
      </c>
      <c r="C85" s="767" t="s">
        <v>139</v>
      </c>
      <c r="D85" s="768" t="s">
        <v>140</v>
      </c>
      <c r="E85" s="769">
        <v>20</v>
      </c>
      <c r="F85" s="770">
        <v>406</v>
      </c>
      <c r="G85" s="770">
        <v>130</v>
      </c>
      <c r="H85" s="769">
        <v>68</v>
      </c>
      <c r="I85" s="771">
        <v>308</v>
      </c>
      <c r="J85" s="769">
        <v>180</v>
      </c>
      <c r="K85" s="294" t="s">
        <v>489</v>
      </c>
      <c r="L85" s="1034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</row>
    <row r="86" spans="2:26" ht="19.899999999999999" thickBot="1">
      <c r="B86" s="853">
        <v>2</v>
      </c>
      <c r="C86" s="229" t="s">
        <v>142</v>
      </c>
      <c r="D86" s="230" t="s">
        <v>143</v>
      </c>
      <c r="E86" s="193">
        <v>24</v>
      </c>
      <c r="F86" s="188">
        <v>432</v>
      </c>
      <c r="G86" s="188">
        <v>417</v>
      </c>
      <c r="H86" s="193">
        <v>4</v>
      </c>
      <c r="I86" s="432">
        <v>609</v>
      </c>
      <c r="J86" s="187">
        <v>270</v>
      </c>
      <c r="K86" s="238" t="s">
        <v>489</v>
      </c>
      <c r="L86" s="1034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</row>
    <row r="87" spans="2:26" ht="19.899999999999999" thickBot="1">
      <c r="B87" s="1141">
        <v>3</v>
      </c>
      <c r="C87" s="334" t="s">
        <v>144</v>
      </c>
      <c r="D87" s="335" t="s">
        <v>140</v>
      </c>
      <c r="E87" s="220">
        <v>28</v>
      </c>
      <c r="F87" s="221">
        <v>1391</v>
      </c>
      <c r="G87" s="221">
        <v>1043</v>
      </c>
      <c r="H87" s="220">
        <v>25</v>
      </c>
      <c r="I87" s="336">
        <v>1028</v>
      </c>
      <c r="J87" s="284">
        <v>990</v>
      </c>
      <c r="K87" s="237" t="s">
        <v>511</v>
      </c>
      <c r="L87" s="1034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</row>
    <row r="88" spans="2:26" ht="19.899999999999999" thickBot="1">
      <c r="B88" s="702">
        <v>4</v>
      </c>
      <c r="C88" s="703" t="s">
        <v>145</v>
      </c>
      <c r="D88" s="704" t="s">
        <v>146</v>
      </c>
      <c r="E88" s="705">
        <v>40</v>
      </c>
      <c r="F88" s="706">
        <v>2208</v>
      </c>
      <c r="G88" s="706">
        <v>1987</v>
      </c>
      <c r="H88" s="407">
        <v>10</v>
      </c>
      <c r="I88" s="707">
        <v>388</v>
      </c>
      <c r="J88" s="708">
        <v>420</v>
      </c>
      <c r="K88" s="203" t="s">
        <v>489</v>
      </c>
      <c r="L88" s="1034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</row>
    <row r="89" spans="2:26" ht="19.899999999999999" thickBot="1">
      <c r="B89"/>
      <c r="C89" s="696"/>
      <c r="D89" s="697"/>
      <c r="E89" s="697"/>
      <c r="F89" s="850">
        <v>4893.8756749777749</v>
      </c>
      <c r="G89" s="851">
        <f>SUM(G85:G88)</f>
        <v>3577</v>
      </c>
      <c r="H89" s="1"/>
      <c r="I89" s="1"/>
      <c r="J89" s="1"/>
      <c r="K8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</row>
    <row r="90" spans="2:26" ht="19.5" customHeight="1" thickBot="1">
      <c r="B90"/>
      <c r="C90" s="1342"/>
      <c r="D90" s="1342"/>
      <c r="E90" s="1342"/>
      <c r="F90" s="1"/>
      <c r="G90" s="852">
        <f>ROUNDUP(G89,-1)</f>
        <v>3580</v>
      </c>
      <c r="H90" s="1"/>
      <c r="I90"/>
      <c r="J90" s="1"/>
      <c r="K90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</row>
    <row r="91" spans="2:26" ht="19.5" customHeight="1" thickBot="1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</row>
    <row r="92" spans="2:26" ht="19.899999999999999" thickBot="1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</row>
    <row r="93" spans="2:26" ht="19.899999999999999" thickBot="1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</row>
    <row r="94" spans="2:26" ht="19.899999999999999" thickBot="1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</row>
    <row r="95" spans="2:26" ht="19.899999999999999" thickBot="1">
      <c r="B95" s="579"/>
      <c r="C95" s="579"/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</row>
    <row r="96" spans="2:26" ht="19.899999999999999" thickBot="1">
      <c r="B96" s="579"/>
      <c r="C96" s="579"/>
      <c r="D96" s="579"/>
      <c r="E96" s="579"/>
      <c r="F96" s="579"/>
      <c r="G96" s="660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</row>
    <row r="97" spans="2:26" ht="19.899999999999999" thickBot="1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</row>
    <row r="98" spans="2:26" ht="19.899999999999999" thickBot="1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</row>
    <row r="99" spans="2:26" ht="19.899999999999999" thickBot="1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</row>
    <row r="100" spans="2:26" ht="19.899999999999999" thickBot="1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</row>
    <row r="101" spans="2:26" ht="19.899999999999999" thickBot="1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</row>
    <row r="102" spans="2:26" ht="19.899999999999999" thickBot="1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</row>
    <row r="103" spans="2:26" ht="19.899999999999999" thickBot="1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</row>
    <row r="104" spans="2:26" ht="19.899999999999999" thickBot="1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</row>
    <row r="105" spans="2:26" ht="19.899999999999999" thickBot="1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</row>
    <row r="106" spans="2:26" ht="19.899999999999999" thickBot="1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</row>
    <row r="107" spans="2:26" ht="19.899999999999999" thickBot="1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</row>
    <row r="108" spans="2:26" ht="19.899999999999999" thickBot="1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</row>
    <row r="109" spans="2:26" ht="19.899999999999999" thickBot="1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</row>
    <row r="110" spans="2:26" ht="19.899999999999999" thickBot="1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</row>
    <row r="111" spans="2:26" ht="19.899999999999999" thickBot="1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</row>
    <row r="112" spans="2:26" ht="19.899999999999999" thickBot="1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</row>
    <row r="113" spans="2:26" ht="19.899999999999999" thickBot="1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</row>
    <row r="114" spans="2:26" ht="19.899999999999999" thickBot="1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</row>
    <row r="115" spans="2:26" ht="19.899999999999999" thickBot="1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</row>
    <row r="116" spans="2:26" ht="19.899999999999999" thickBot="1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</row>
    <row r="117" spans="2:26" ht="19.899999999999999" thickBot="1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</row>
    <row r="118" spans="2:26" ht="19.899999999999999" thickBot="1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</row>
    <row r="119" spans="2:26" ht="19.899999999999999" thickBot="1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</row>
    <row r="120" spans="2:26" ht="19.899999999999999" thickBot="1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</row>
    <row r="121" spans="2:26" ht="19.899999999999999" thickBot="1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</row>
    <row r="122" spans="2:26" ht="19.899999999999999" thickBot="1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</row>
    <row r="123" spans="2:26" ht="19.899999999999999" thickBot="1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</row>
    <row r="124" spans="2:26" ht="19.899999999999999" thickBot="1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</row>
    <row r="125" spans="2:26" ht="19.899999999999999" thickBot="1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</row>
    <row r="126" spans="2:26" ht="19.899999999999999" thickBot="1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</row>
    <row r="127" spans="2:26" ht="19.899999999999999" thickBot="1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</row>
    <row r="128" spans="2:26" ht="19.899999999999999" thickBot="1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</row>
    <row r="129" spans="2:26" ht="19.899999999999999" thickBot="1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</row>
    <row r="130" spans="2:26" ht="19.899999999999999" thickBot="1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</row>
    <row r="131" spans="2:26" ht="19.899999999999999" thickBot="1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</row>
    <row r="132" spans="2:26" ht="19.899999999999999" thickBot="1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</row>
    <row r="133" spans="2:26" ht="19.899999999999999" thickBot="1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</row>
    <row r="134" spans="2:26" ht="19.899999999999999" thickBot="1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</row>
    <row r="135" spans="2:26" ht="19.899999999999999" thickBot="1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</row>
    <row r="136" spans="2:26" ht="19.899999999999999" thickBot="1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</row>
    <row r="137" spans="2:26" ht="19.899999999999999" thickBot="1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</row>
    <row r="138" spans="2:26" ht="19.899999999999999" thickBot="1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</row>
    <row r="139" spans="2:26" ht="19.899999999999999" thickBot="1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</row>
    <row r="140" spans="2:26" ht="19.899999999999999" thickBot="1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</row>
    <row r="141" spans="2:26" ht="19.899999999999999" thickBot="1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</row>
    <row r="142" spans="2:26" ht="19.899999999999999" thickBot="1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</row>
    <row r="143" spans="2:26" ht="19.899999999999999" thickBot="1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</row>
    <row r="144" spans="2:26" ht="19.899999999999999" thickBot="1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</row>
    <row r="145" spans="2:26" ht="19.899999999999999" thickBot="1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</row>
    <row r="146" spans="2:26" ht="19.899999999999999" thickBot="1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</row>
    <row r="147" spans="2:26" ht="19.899999999999999" thickBot="1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</row>
    <row r="148" spans="2:26" ht="19.899999999999999" thickBot="1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</row>
    <row r="149" spans="2:26" ht="19.899999999999999" thickBot="1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</row>
    <row r="150" spans="2:26" ht="19.899999999999999" thickBot="1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</row>
    <row r="151" spans="2:26" ht="19.899999999999999" thickBot="1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</row>
    <row r="152" spans="2:26" ht="19.899999999999999" thickBot="1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</row>
    <row r="153" spans="2:26" ht="19.899999999999999" thickBot="1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</row>
    <row r="154" spans="2:26" ht="19.899999999999999" thickBot="1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</row>
    <row r="155" spans="2:26" ht="19.899999999999999" thickBot="1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</row>
    <row r="156" spans="2:26" ht="19.899999999999999" thickBot="1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</row>
    <row r="157" spans="2:26" ht="19.899999999999999" thickBot="1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</row>
    <row r="158" spans="2:26" ht="19.899999999999999" thickBot="1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</row>
    <row r="159" spans="2:26" ht="19.899999999999999" thickBot="1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</row>
    <row r="160" spans="2:26" ht="19.899999999999999" thickBot="1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</row>
    <row r="161" spans="2:26" ht="19.899999999999999" thickBot="1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</row>
    <row r="162" spans="2:26" ht="19.899999999999999" thickBot="1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</row>
    <row r="163" spans="2:26" ht="19.899999999999999" thickBot="1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</row>
    <row r="164" spans="2:26" ht="19.899999999999999" thickBot="1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</row>
    <row r="165" spans="2:26" ht="19.899999999999999" thickBot="1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</row>
    <row r="166" spans="2:26" ht="19.899999999999999" thickBot="1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</row>
    <row r="167" spans="2:26" ht="19.899999999999999" thickBot="1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</row>
    <row r="168" spans="2:26" ht="19.899999999999999" thickBot="1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</row>
    <row r="169" spans="2:26" ht="19.899999999999999" thickBot="1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</row>
    <row r="170" spans="2:26" ht="19.899999999999999" thickBot="1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</row>
    <row r="171" spans="2:26" ht="19.899999999999999" thickBot="1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</row>
    <row r="172" spans="2:26" ht="19.899999999999999" thickBot="1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</row>
    <row r="173" spans="2:26" ht="19.899999999999999" thickBot="1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</row>
    <row r="174" spans="2:26" ht="19.899999999999999" thickBot="1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</row>
    <row r="175" spans="2:26" ht="19.899999999999999" thickBot="1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</row>
    <row r="176" spans="2:26" ht="19.899999999999999" thickBot="1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</row>
    <row r="177" spans="2:26" ht="19.899999999999999" thickBot="1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</row>
    <row r="178" spans="2:26" ht="19.899999999999999" thickBot="1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</row>
    <row r="179" spans="2:26" ht="19.899999999999999" thickBot="1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</row>
    <row r="180" spans="2:26" ht="19.899999999999999" thickBot="1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</row>
    <row r="181" spans="2:26" ht="19.899999999999999" thickBot="1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</row>
    <row r="182" spans="2:26" ht="19.899999999999999" thickBot="1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</row>
    <row r="183" spans="2:26" ht="19.899999999999999" thickBot="1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</row>
    <row r="184" spans="2:26" ht="19.899999999999999" thickBot="1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</row>
    <row r="185" spans="2:26" ht="19.899999999999999" thickBot="1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</row>
    <row r="186" spans="2:26" ht="19.899999999999999" thickBot="1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</row>
    <row r="187" spans="2:26" ht="19.899999999999999" thickBot="1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</row>
    <row r="188" spans="2:26" ht="19.899999999999999" thickBot="1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</row>
    <row r="189" spans="2:26" ht="19.899999999999999" thickBot="1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</row>
    <row r="190" spans="2:26" ht="19.899999999999999" thickBot="1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</row>
    <row r="191" spans="2:26" ht="19.899999999999999" thickBot="1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</row>
    <row r="192" spans="2:26" ht="19.899999999999999" thickBot="1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</row>
    <row r="193" spans="2:26" ht="19.899999999999999" thickBot="1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</row>
    <row r="194" spans="2:26" ht="19.899999999999999" thickBot="1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</row>
    <row r="195" spans="2:26" ht="19.899999999999999" thickBot="1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</row>
    <row r="196" spans="2:26" ht="19.899999999999999" thickBot="1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</row>
    <row r="197" spans="2:26" ht="19.899999999999999" thickBot="1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</row>
    <row r="198" spans="2:26" ht="19.899999999999999" thickBot="1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</row>
    <row r="199" spans="2:26" ht="19.899999999999999" thickBot="1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</row>
    <row r="200" spans="2:26" ht="19.899999999999999" thickBot="1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</row>
    <row r="201" spans="2:26" ht="19.899999999999999" thickBot="1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</row>
    <row r="202" spans="2:26" ht="19.899999999999999" thickBot="1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</row>
    <row r="203" spans="2:26" ht="19.899999999999999" thickBot="1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</row>
    <row r="204" spans="2:26" ht="19.899999999999999" thickBot="1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</row>
    <row r="205" spans="2:26" ht="19.899999999999999" thickBot="1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</row>
    <row r="206" spans="2:26" ht="19.899999999999999" thickBot="1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</row>
    <row r="207" spans="2:26" ht="19.899999999999999" thickBot="1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</row>
    <row r="208" spans="2:26" ht="19.899999999999999" thickBot="1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</row>
    <row r="209" spans="2:26" ht="19.899999999999999" thickBot="1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</row>
    <row r="210" spans="2:26" ht="19.899999999999999" thickBot="1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</row>
    <row r="211" spans="2:26" ht="19.899999999999999" thickBot="1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</row>
    <row r="212" spans="2:26" ht="19.899999999999999" thickBot="1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</row>
    <row r="213" spans="2:26" ht="19.899999999999999" thickBot="1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</row>
    <row r="214" spans="2:26" ht="19.899999999999999" thickBot="1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</row>
    <row r="215" spans="2:26" ht="19.899999999999999" thickBot="1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</row>
    <row r="216" spans="2:26" ht="19.899999999999999" thickBot="1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</row>
    <row r="217" spans="2:26" ht="19.899999999999999" thickBot="1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</row>
    <row r="218" spans="2:26" ht="19.899999999999999" thickBot="1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</row>
    <row r="219" spans="2:26" ht="19.899999999999999" thickBot="1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</row>
    <row r="220" spans="2:26" ht="19.899999999999999" thickBot="1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</row>
    <row r="221" spans="2:26" ht="19.899999999999999" thickBot="1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</row>
    <row r="222" spans="2:26" ht="19.899999999999999" thickBot="1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</row>
    <row r="223" spans="2:26" ht="19.899999999999999" thickBot="1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</row>
    <row r="224" spans="2:26" ht="19.899999999999999" thickBot="1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</row>
    <row r="225" spans="2:26" ht="19.899999999999999" thickBot="1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</row>
    <row r="226" spans="2:26" ht="19.899999999999999" thickBot="1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</row>
    <row r="227" spans="2:26" ht="19.899999999999999" thickBot="1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</row>
    <row r="228" spans="2:26" ht="19.899999999999999" thickBot="1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</row>
    <row r="229" spans="2:26" ht="19.899999999999999" thickBot="1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</row>
    <row r="230" spans="2:26" ht="19.899999999999999" thickBot="1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</row>
    <row r="231" spans="2:26" ht="19.899999999999999" thickBot="1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</row>
    <row r="232" spans="2:26" ht="19.899999999999999" thickBot="1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</row>
    <row r="233" spans="2:26" ht="19.899999999999999" thickBot="1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</row>
    <row r="234" spans="2:26" ht="19.899999999999999" thickBot="1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</row>
    <row r="235" spans="2:26" ht="19.899999999999999" thickBot="1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</row>
    <row r="236" spans="2:26" ht="19.899999999999999" thickBot="1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</row>
    <row r="237" spans="2:26" ht="19.899999999999999" thickBot="1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</row>
    <row r="238" spans="2:26" ht="19.899999999999999" thickBot="1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</row>
    <row r="239" spans="2:26" ht="19.899999999999999" thickBot="1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</row>
    <row r="240" spans="2:26" ht="19.899999999999999" thickBot="1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</row>
    <row r="241" spans="2:26" ht="19.899999999999999" thickBot="1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</row>
    <row r="242" spans="2:26" ht="19.899999999999999" thickBot="1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</row>
    <row r="243" spans="2:26" ht="19.899999999999999" thickBot="1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</row>
    <row r="244" spans="2:26" ht="19.899999999999999" thickBot="1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</row>
    <row r="245" spans="2:26" ht="19.899999999999999" thickBot="1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</row>
    <row r="246" spans="2:26" ht="19.899999999999999" thickBot="1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</row>
    <row r="247" spans="2:26" ht="19.899999999999999" thickBot="1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</row>
    <row r="248" spans="2:26" ht="19.899999999999999" thickBot="1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</row>
    <row r="249" spans="2:26" ht="19.899999999999999" thickBot="1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</row>
    <row r="250" spans="2:26" ht="19.899999999999999" thickBot="1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</row>
    <row r="251" spans="2:26" ht="19.899999999999999" thickBot="1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</row>
    <row r="252" spans="2:26" ht="19.899999999999999" thickBot="1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</row>
    <row r="253" spans="2:26" ht="19.899999999999999" thickBot="1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</row>
    <row r="254" spans="2:26" ht="19.899999999999999" thickBot="1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</row>
    <row r="255" spans="2:26" ht="19.899999999999999" thickBot="1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</row>
    <row r="256" spans="2:26" ht="19.899999999999999" thickBot="1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</row>
    <row r="257" spans="2:26" ht="19.899999999999999" thickBot="1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</row>
    <row r="258" spans="2:26" ht="19.899999999999999" thickBot="1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</row>
    <row r="259" spans="2:26" ht="19.899999999999999" thickBot="1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</row>
    <row r="260" spans="2:26" ht="19.899999999999999" thickBot="1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</row>
    <row r="261" spans="2:26" ht="19.899999999999999" thickBot="1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</row>
    <row r="262" spans="2:26" ht="19.899999999999999" thickBot="1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</row>
    <row r="263" spans="2:26" ht="19.899999999999999" thickBot="1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</row>
    <row r="264" spans="2:26" ht="19.899999999999999" thickBot="1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</row>
    <row r="265" spans="2:26" ht="19.899999999999999" thickBot="1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</row>
    <row r="266" spans="2:26" ht="19.899999999999999" thickBot="1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</row>
    <row r="267" spans="2:26" ht="19.899999999999999" thickBot="1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</row>
    <row r="268" spans="2:26" ht="19.899999999999999" thickBot="1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</row>
    <row r="269" spans="2:26" ht="19.899999999999999" thickBot="1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</row>
    <row r="270" spans="2:26" ht="19.899999999999999" thickBot="1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</row>
    <row r="271" spans="2:26" ht="19.899999999999999" thickBot="1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</row>
    <row r="272" spans="2:26" ht="19.899999999999999" thickBot="1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</row>
    <row r="273" spans="2:26" ht="19.899999999999999" thickBot="1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</row>
    <row r="274" spans="2:26" ht="19.899999999999999" thickBot="1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</row>
    <row r="275" spans="2:26" ht="19.899999999999999" thickBot="1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</row>
    <row r="276" spans="2:26" ht="19.899999999999999" thickBot="1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</row>
    <row r="277" spans="2:26" ht="19.899999999999999" thickBot="1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</row>
    <row r="278" spans="2:26" ht="19.899999999999999" thickBot="1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</row>
    <row r="279" spans="2:26" ht="19.899999999999999" thickBot="1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</row>
    <row r="280" spans="2:26" ht="19.899999999999999" thickBot="1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</row>
    <row r="281" spans="2:26" ht="19.899999999999999" thickBot="1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</row>
    <row r="282" spans="2:26" ht="19.899999999999999" thickBot="1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</row>
    <row r="283" spans="2:26" ht="19.899999999999999" thickBot="1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</row>
    <row r="284" spans="2:26" ht="19.899999999999999" thickBot="1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</row>
    <row r="285" spans="2:26" ht="19.899999999999999" thickBot="1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</row>
    <row r="286" spans="2:26" ht="19.899999999999999" thickBot="1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</row>
    <row r="287" spans="2:26" ht="19.899999999999999" thickBot="1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</row>
    <row r="288" spans="2:26" ht="19.899999999999999" thickBot="1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</row>
    <row r="289" spans="2:26" ht="19.899999999999999" thickBot="1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</row>
    <row r="290" spans="2:26" ht="19.899999999999999" thickBot="1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</row>
    <row r="291" spans="2:26" ht="19.899999999999999" thickBot="1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</row>
    <row r="292" spans="2:26" ht="19.899999999999999" thickBot="1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</row>
    <row r="293" spans="2:26" ht="19.899999999999999" thickBot="1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</row>
    <row r="294" spans="2:26" ht="19.899999999999999" thickBot="1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</row>
    <row r="295" spans="2:26" ht="19.899999999999999" thickBot="1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</row>
    <row r="296" spans="2:26" ht="19.899999999999999" thickBot="1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</row>
    <row r="297" spans="2:26" ht="19.899999999999999" thickBot="1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</row>
    <row r="298" spans="2:26" ht="19.899999999999999" thickBot="1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</row>
    <row r="299" spans="2:26" ht="19.899999999999999" thickBot="1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</row>
    <row r="300" spans="2:26" ht="19.899999999999999" thickBot="1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</row>
    <row r="301" spans="2:26" ht="19.899999999999999" thickBot="1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</row>
    <row r="302" spans="2:26" ht="19.899999999999999" thickBot="1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</row>
    <row r="303" spans="2:26" ht="19.899999999999999" thickBot="1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</row>
    <row r="304" spans="2:26" ht="19.899999999999999" thickBot="1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</row>
    <row r="305" spans="2:26" ht="19.899999999999999" thickBot="1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</row>
    <row r="306" spans="2:26" ht="19.899999999999999" thickBot="1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</row>
    <row r="307" spans="2:26" ht="19.899999999999999" thickBot="1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</row>
    <row r="308" spans="2:26" ht="19.899999999999999" thickBot="1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</row>
    <row r="309" spans="2:26" ht="19.899999999999999" thickBot="1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</row>
    <row r="310" spans="2:26" ht="19.899999999999999" thickBot="1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</row>
    <row r="311" spans="2:26" ht="19.899999999999999" thickBot="1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</row>
    <row r="312" spans="2:26" ht="19.899999999999999" thickBot="1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</row>
    <row r="313" spans="2:26" ht="19.899999999999999" thickBot="1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</row>
    <row r="314" spans="2:26" ht="19.899999999999999" thickBot="1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</row>
    <row r="315" spans="2:26" ht="19.899999999999999" thickBot="1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</row>
    <row r="316" spans="2:26" ht="19.899999999999999" thickBot="1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</row>
    <row r="317" spans="2:26" ht="19.899999999999999" thickBot="1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</row>
    <row r="318" spans="2:26" ht="19.899999999999999" thickBot="1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</row>
    <row r="319" spans="2:26" ht="19.899999999999999" thickBot="1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</row>
    <row r="320" spans="2:26" ht="19.899999999999999" thickBot="1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</row>
    <row r="321" spans="2:26" ht="19.899999999999999" thickBot="1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</row>
    <row r="322" spans="2:26" ht="19.899999999999999" thickBot="1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</row>
    <row r="323" spans="2:26" ht="19.899999999999999" thickBot="1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</row>
    <row r="324" spans="2:26" ht="19.899999999999999" thickBot="1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</row>
    <row r="325" spans="2:26" ht="19.899999999999999" thickBot="1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</row>
    <row r="326" spans="2:26" ht="19.899999999999999" thickBot="1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</row>
    <row r="327" spans="2:26" ht="19.899999999999999" thickBot="1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</row>
    <row r="328" spans="2:26" ht="19.899999999999999" thickBot="1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</row>
    <row r="329" spans="2:26" ht="19.899999999999999" thickBot="1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</row>
    <row r="330" spans="2:26" ht="19.899999999999999" thickBot="1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</row>
    <row r="331" spans="2:26" ht="19.899999999999999" thickBot="1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</row>
    <row r="332" spans="2:26" ht="19.899999999999999" thickBot="1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</row>
    <row r="333" spans="2:26" ht="19.899999999999999" thickBot="1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</row>
    <row r="334" spans="2:26" ht="19.899999999999999" thickBot="1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</row>
    <row r="335" spans="2:26" ht="19.899999999999999" thickBot="1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</row>
    <row r="336" spans="2:26" ht="19.899999999999999" thickBot="1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</row>
    <row r="337" spans="2:26" ht="19.899999999999999" thickBot="1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</row>
    <row r="338" spans="2:26" ht="19.899999999999999" thickBot="1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</row>
    <row r="339" spans="2:26" ht="19.899999999999999" thickBot="1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</row>
    <row r="340" spans="2:26" ht="19.899999999999999" thickBot="1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</row>
    <row r="341" spans="2:26" ht="19.899999999999999" thickBot="1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</row>
    <row r="342" spans="2:26" ht="19.899999999999999" thickBot="1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</row>
    <row r="343" spans="2:26" ht="19.899999999999999" thickBot="1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</row>
    <row r="344" spans="2:26" ht="19.899999999999999" thickBot="1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</row>
    <row r="345" spans="2:26" ht="19.899999999999999" thickBot="1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</row>
    <row r="346" spans="2:26" ht="19.899999999999999" thickBot="1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</row>
    <row r="347" spans="2:26" ht="19.899999999999999" thickBot="1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</row>
    <row r="348" spans="2:26" ht="19.899999999999999" thickBot="1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</row>
    <row r="349" spans="2:26" ht="19.899999999999999" thickBot="1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</row>
    <row r="350" spans="2:26" ht="19.899999999999999" thickBot="1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</row>
    <row r="351" spans="2:26" ht="19.899999999999999" thickBot="1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</row>
    <row r="352" spans="2:26" ht="19.899999999999999" thickBot="1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</row>
    <row r="353" spans="2:26" ht="19.899999999999999" thickBot="1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</row>
    <row r="354" spans="2:26" ht="19.899999999999999" thickBot="1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</row>
    <row r="355" spans="2:26" ht="19.899999999999999" thickBot="1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</row>
    <row r="356" spans="2:26" ht="19.899999999999999" thickBot="1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</row>
    <row r="357" spans="2:26" ht="19.899999999999999" thickBot="1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</row>
    <row r="358" spans="2:26" ht="19.899999999999999" thickBot="1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</row>
    <row r="359" spans="2:26" ht="19.899999999999999" thickBot="1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</row>
    <row r="360" spans="2:26" ht="19.899999999999999" thickBot="1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</row>
    <row r="361" spans="2:26" ht="19.899999999999999" thickBot="1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</row>
    <row r="362" spans="2:26" ht="19.899999999999999" thickBot="1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</row>
    <row r="363" spans="2:26" ht="19.899999999999999" thickBot="1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</row>
    <row r="364" spans="2:26" ht="19.899999999999999" thickBot="1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</row>
    <row r="365" spans="2:26" ht="19.899999999999999" thickBot="1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</row>
    <row r="366" spans="2:26" ht="19.899999999999999" thickBot="1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</row>
    <row r="367" spans="2:26" ht="19.899999999999999" thickBot="1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</row>
    <row r="368" spans="2:26" ht="19.899999999999999" thickBot="1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</row>
    <row r="369" spans="2:26" ht="19.899999999999999" thickBot="1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</row>
    <row r="370" spans="2:26" ht="19.899999999999999" thickBot="1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</row>
    <row r="371" spans="2:26" ht="19.899999999999999" thickBot="1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</row>
    <row r="372" spans="2:26" ht="19.899999999999999" thickBot="1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</row>
    <row r="373" spans="2:26" ht="19.899999999999999" thickBot="1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</row>
    <row r="374" spans="2:26" ht="19.899999999999999" thickBot="1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</row>
    <row r="375" spans="2:26" ht="19.899999999999999" thickBot="1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</row>
    <row r="376" spans="2:26" ht="19.899999999999999" thickBot="1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</row>
    <row r="377" spans="2:26" ht="19.899999999999999" thickBot="1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</row>
    <row r="378" spans="2:26" ht="19.899999999999999" thickBot="1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</row>
    <row r="379" spans="2:26" ht="19.899999999999999" thickBot="1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</row>
    <row r="380" spans="2:26" ht="19.899999999999999" thickBot="1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</row>
    <row r="381" spans="2:26" ht="19.899999999999999" thickBot="1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</row>
    <row r="382" spans="2:26" ht="19.899999999999999" thickBot="1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</row>
    <row r="383" spans="2:26" ht="19.899999999999999" thickBot="1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</row>
    <row r="384" spans="2:26" ht="19.899999999999999" thickBot="1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</row>
    <row r="385" spans="2:26" ht="19.899999999999999" thickBot="1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</row>
    <row r="386" spans="2:26" ht="19.899999999999999" thickBot="1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</row>
    <row r="387" spans="2:26" ht="19.899999999999999" thickBot="1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</row>
    <row r="388" spans="2:26" ht="19.899999999999999" thickBot="1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</row>
    <row r="389" spans="2:26" ht="19.899999999999999" thickBot="1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</row>
    <row r="390" spans="2:26" ht="19.899999999999999" thickBot="1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</row>
    <row r="391" spans="2:26" ht="19.899999999999999" thickBot="1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</row>
    <row r="392" spans="2:26" ht="19.899999999999999" thickBot="1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</row>
    <row r="393" spans="2:26" ht="19.899999999999999" thickBot="1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</row>
    <row r="394" spans="2:26" ht="19.899999999999999" thickBot="1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</row>
    <row r="395" spans="2:26" ht="19.899999999999999" thickBot="1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</row>
    <row r="396" spans="2:26" ht="19.899999999999999" thickBot="1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</row>
    <row r="397" spans="2:26" ht="19.899999999999999" thickBot="1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</row>
    <row r="398" spans="2:26" ht="19.899999999999999" thickBot="1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</row>
    <row r="399" spans="2:26" ht="19.899999999999999" thickBot="1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</row>
    <row r="400" spans="2:26" ht="19.899999999999999" thickBot="1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</row>
    <row r="401" spans="2:26" ht="19.899999999999999" thickBot="1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</row>
    <row r="402" spans="2:26" ht="19.899999999999999" thickBot="1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</row>
    <row r="403" spans="2:26" ht="19.899999999999999" thickBot="1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</row>
    <row r="404" spans="2:26" ht="19.899999999999999" thickBot="1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</row>
    <row r="405" spans="2:26" ht="19.899999999999999" thickBot="1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</row>
    <row r="406" spans="2:26" ht="19.899999999999999" thickBot="1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</row>
    <row r="407" spans="2:26" ht="19.899999999999999" thickBot="1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</row>
    <row r="408" spans="2:26" ht="19.899999999999999" thickBot="1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</row>
    <row r="409" spans="2:26" ht="19.899999999999999" thickBot="1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</row>
    <row r="410" spans="2:26" ht="19.899999999999999" thickBot="1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</row>
    <row r="411" spans="2:26" ht="19.899999999999999" thickBot="1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</row>
    <row r="412" spans="2:26" ht="19.899999999999999" thickBot="1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</row>
    <row r="413" spans="2:26" ht="19.899999999999999" thickBot="1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</row>
    <row r="414" spans="2:26" ht="19.899999999999999" thickBot="1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</row>
    <row r="415" spans="2:26" ht="19.899999999999999" thickBot="1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</row>
    <row r="416" spans="2:26" ht="19.899999999999999" thickBot="1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</row>
    <row r="417" spans="2:26" ht="19.899999999999999" thickBot="1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</row>
    <row r="418" spans="2:26" ht="19.899999999999999" thickBot="1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</row>
    <row r="419" spans="2:26" ht="19.899999999999999" thickBot="1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</row>
    <row r="420" spans="2:26" ht="19.899999999999999" thickBot="1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</row>
    <row r="421" spans="2:26" ht="19.899999999999999" thickBot="1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</row>
    <row r="422" spans="2:26" ht="19.899999999999999" thickBot="1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</row>
    <row r="423" spans="2:26" ht="19.899999999999999" thickBot="1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</row>
    <row r="424" spans="2:26" ht="19.899999999999999" thickBot="1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</row>
    <row r="425" spans="2:26" ht="19.899999999999999" thickBot="1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</row>
    <row r="426" spans="2:26" ht="19.899999999999999" thickBot="1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</row>
    <row r="427" spans="2:26" ht="19.899999999999999" thickBot="1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</row>
    <row r="428" spans="2:26" ht="19.899999999999999" thickBot="1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</row>
    <row r="429" spans="2:26" ht="19.899999999999999" thickBot="1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</row>
    <row r="430" spans="2:26" ht="19.899999999999999" thickBot="1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</row>
    <row r="431" spans="2:26" ht="19.899999999999999" thickBot="1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</row>
    <row r="432" spans="2:26" ht="19.899999999999999" thickBot="1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</row>
    <row r="433" spans="2:26" ht="19.899999999999999" thickBot="1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</row>
    <row r="434" spans="2:26" ht="19.899999999999999" thickBot="1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</row>
    <row r="435" spans="2:26" ht="19.899999999999999" thickBot="1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</row>
    <row r="436" spans="2:26" ht="19.899999999999999" thickBot="1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</row>
    <row r="437" spans="2:26" ht="19.899999999999999" thickBot="1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</row>
    <row r="438" spans="2:26" ht="19.899999999999999" thickBot="1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</row>
    <row r="439" spans="2:26" ht="19.899999999999999" thickBot="1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</row>
    <row r="440" spans="2:26" ht="19.899999999999999" thickBot="1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</row>
    <row r="441" spans="2:26" ht="19.899999999999999" thickBot="1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</row>
    <row r="442" spans="2:26" ht="19.899999999999999" thickBot="1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</row>
    <row r="443" spans="2:26" ht="19.899999999999999" thickBot="1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</row>
    <row r="444" spans="2:26" ht="19.899999999999999" thickBot="1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</row>
    <row r="445" spans="2:26" ht="19.899999999999999" thickBot="1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</row>
    <row r="446" spans="2:26" ht="19.899999999999999" thickBot="1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</row>
    <row r="447" spans="2:26" ht="19.899999999999999" thickBot="1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</row>
    <row r="448" spans="2:26" ht="19.899999999999999" thickBot="1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</row>
    <row r="449" spans="2:26" ht="19.899999999999999" thickBot="1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</row>
    <row r="450" spans="2:26" ht="19.899999999999999" thickBot="1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</row>
    <row r="451" spans="2:26" ht="19.899999999999999" thickBot="1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</row>
    <row r="452" spans="2:26" ht="19.899999999999999" thickBot="1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</row>
    <row r="453" spans="2:26" ht="19.899999999999999" thickBot="1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</row>
    <row r="454" spans="2:26" ht="19.899999999999999" thickBot="1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</row>
    <row r="455" spans="2:26" ht="19.899999999999999" thickBot="1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</row>
    <row r="456" spans="2:26" ht="19.899999999999999" thickBot="1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</row>
    <row r="457" spans="2:26" ht="19.899999999999999" thickBot="1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</row>
    <row r="458" spans="2:26" ht="19.899999999999999" thickBot="1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</row>
    <row r="459" spans="2:26" ht="19.899999999999999" thickBot="1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</row>
    <row r="460" spans="2:26" ht="19.899999999999999" thickBot="1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</row>
    <row r="461" spans="2:26" ht="19.899999999999999" thickBot="1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</row>
    <row r="462" spans="2:26" ht="19.899999999999999" thickBot="1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</row>
    <row r="463" spans="2:26" ht="19.899999999999999" thickBot="1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</row>
    <row r="464" spans="2:26" ht="19.899999999999999" thickBot="1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</row>
    <row r="465" spans="2:26" ht="19.899999999999999" thickBot="1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</row>
    <row r="466" spans="2:26" ht="19.899999999999999" thickBot="1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</row>
    <row r="467" spans="2:26" ht="19.899999999999999" thickBot="1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</row>
    <row r="468" spans="2:26" ht="19.899999999999999" thickBot="1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</row>
    <row r="469" spans="2:26" ht="19.899999999999999" thickBot="1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</row>
    <row r="470" spans="2:26" ht="19.899999999999999" thickBot="1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</row>
    <row r="471" spans="2:26" ht="19.899999999999999" thickBot="1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</row>
    <row r="472" spans="2:26" ht="19.899999999999999" thickBot="1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</row>
    <row r="473" spans="2:26" ht="19.899999999999999" thickBot="1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</row>
    <row r="474" spans="2:26" ht="19.899999999999999" thickBot="1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</row>
    <row r="475" spans="2:26" ht="19.899999999999999" thickBot="1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</row>
    <row r="476" spans="2:26" ht="19.899999999999999" thickBot="1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</row>
    <row r="477" spans="2:26" ht="19.899999999999999" thickBot="1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</row>
    <row r="478" spans="2:26" ht="19.899999999999999" thickBot="1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</row>
    <row r="479" spans="2:26" ht="19.899999999999999" thickBot="1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</row>
    <row r="480" spans="2:26" ht="19.899999999999999" thickBot="1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</row>
    <row r="481" spans="2:26" ht="19.899999999999999" thickBot="1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</row>
    <row r="482" spans="2:26" ht="19.899999999999999" thickBot="1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</row>
    <row r="483" spans="2:26" ht="19.899999999999999" thickBot="1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</row>
    <row r="484" spans="2:26" ht="19.899999999999999" thickBot="1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</row>
    <row r="485" spans="2:26" ht="19.899999999999999" thickBot="1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</row>
    <row r="486" spans="2:26" ht="19.899999999999999" thickBot="1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</row>
    <row r="487" spans="2:26" ht="19.899999999999999" thickBot="1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</row>
    <row r="488" spans="2:26" ht="19.899999999999999" thickBot="1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</row>
    <row r="489" spans="2:26" ht="19.899999999999999" thickBot="1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</row>
    <row r="490" spans="2:26" ht="19.899999999999999" thickBot="1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</row>
    <row r="491" spans="2:26" ht="19.899999999999999" thickBot="1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</row>
    <row r="492" spans="2:26" ht="19.899999999999999" thickBot="1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</row>
    <row r="493" spans="2:26" ht="19.899999999999999" thickBot="1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</row>
    <row r="494" spans="2:26" ht="19.899999999999999" thickBot="1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</row>
    <row r="495" spans="2:26" ht="19.899999999999999" thickBot="1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</row>
    <row r="496" spans="2:26" ht="19.899999999999999" thickBot="1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</row>
    <row r="497" spans="2:26" ht="19.899999999999999" thickBot="1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</row>
    <row r="498" spans="2:26" ht="19.899999999999999" thickBot="1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</row>
    <row r="499" spans="2:26" ht="19.899999999999999" thickBot="1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</row>
    <row r="500" spans="2:26" ht="19.899999999999999" thickBot="1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</row>
    <row r="501" spans="2:26" ht="19.899999999999999" thickBot="1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</row>
    <row r="502" spans="2:26" ht="19.899999999999999" thickBot="1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</row>
    <row r="503" spans="2:26" ht="19.899999999999999" thickBot="1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</row>
    <row r="504" spans="2:26" ht="19.899999999999999" thickBot="1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</row>
    <row r="505" spans="2:26" ht="19.899999999999999" thickBot="1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</row>
    <row r="506" spans="2:26" ht="19.899999999999999" thickBot="1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</row>
    <row r="507" spans="2:26" ht="19.899999999999999" thickBot="1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</row>
    <row r="508" spans="2:26" ht="19.899999999999999" thickBot="1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</row>
    <row r="509" spans="2:26" ht="19.899999999999999" thickBot="1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</row>
    <row r="510" spans="2:26" ht="19.899999999999999" thickBot="1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</row>
    <row r="511" spans="2:26" ht="19.899999999999999" thickBot="1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</row>
    <row r="512" spans="2:26" ht="19.899999999999999" thickBot="1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</row>
    <row r="513" spans="2:26" ht="19.899999999999999" thickBot="1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</row>
    <row r="514" spans="2:26" ht="19.899999999999999" thickBot="1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</row>
    <row r="515" spans="2:26" ht="19.899999999999999" thickBot="1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</row>
    <row r="516" spans="2:26" ht="19.899999999999999" thickBot="1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</row>
    <row r="517" spans="2:26" ht="19.899999999999999" thickBot="1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</row>
    <row r="518" spans="2:26" ht="19.899999999999999" thickBot="1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</row>
    <row r="519" spans="2:26" ht="19.899999999999999" thickBot="1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</row>
    <row r="520" spans="2:26" ht="19.899999999999999" thickBot="1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</row>
    <row r="521" spans="2:26" ht="19.899999999999999" thickBot="1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</row>
    <row r="522" spans="2:26" ht="19.899999999999999" thickBot="1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</row>
    <row r="523" spans="2:26" ht="19.899999999999999" thickBot="1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</row>
    <row r="524" spans="2:26" ht="19.899999999999999" thickBot="1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</row>
    <row r="525" spans="2:26" ht="19.899999999999999" thickBot="1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</row>
    <row r="526" spans="2:26" ht="19.899999999999999" thickBot="1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</row>
    <row r="527" spans="2:26" ht="19.899999999999999" thickBot="1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</row>
    <row r="528" spans="2:26" ht="19.899999999999999" thickBot="1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</row>
    <row r="529" spans="2:26" ht="19.899999999999999" thickBot="1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</row>
    <row r="530" spans="2:26" ht="19.899999999999999" thickBot="1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</row>
    <row r="531" spans="2:26" ht="19.899999999999999" thickBot="1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</row>
    <row r="532" spans="2:26" ht="19.899999999999999" thickBot="1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</row>
    <row r="533" spans="2:26" ht="19.899999999999999" thickBot="1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</row>
    <row r="534" spans="2:26" ht="19.899999999999999" thickBot="1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</row>
    <row r="535" spans="2:26" ht="19.899999999999999" thickBot="1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</row>
    <row r="536" spans="2:26" ht="19.899999999999999" thickBot="1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</row>
    <row r="537" spans="2:26" ht="19.899999999999999" thickBot="1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</row>
    <row r="538" spans="2:26" ht="19.899999999999999" thickBot="1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</row>
    <row r="539" spans="2:26" ht="19.899999999999999" thickBot="1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</row>
    <row r="540" spans="2:26" ht="19.899999999999999" thickBot="1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</row>
    <row r="541" spans="2:26" ht="19.899999999999999" thickBot="1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</row>
    <row r="542" spans="2:26" ht="19.899999999999999" thickBot="1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</row>
    <row r="543" spans="2:26" ht="19.899999999999999" thickBot="1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</row>
    <row r="544" spans="2:26" ht="19.899999999999999" thickBot="1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</row>
    <row r="545" spans="2:26" ht="19.899999999999999" thickBot="1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</row>
    <row r="546" spans="2:26" ht="19.899999999999999" thickBot="1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</row>
    <row r="547" spans="2:26" ht="19.899999999999999" thickBot="1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</row>
    <row r="548" spans="2:26" ht="19.899999999999999" thickBot="1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</row>
    <row r="549" spans="2:26" ht="19.899999999999999" thickBot="1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</row>
    <row r="550" spans="2:26" ht="19.899999999999999" thickBot="1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</row>
    <row r="551" spans="2:26" ht="19.899999999999999" thickBot="1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</row>
    <row r="552" spans="2:26" ht="19.899999999999999" thickBot="1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</row>
    <row r="553" spans="2:26" ht="19.899999999999999" thickBot="1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</row>
    <row r="554" spans="2:26" ht="19.899999999999999" thickBot="1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</row>
    <row r="555" spans="2:26" ht="19.899999999999999" thickBot="1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</row>
    <row r="556" spans="2:26" ht="19.899999999999999" thickBot="1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</row>
    <row r="557" spans="2:26" ht="19.899999999999999" thickBot="1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</row>
    <row r="558" spans="2:26" ht="19.899999999999999" thickBot="1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</row>
    <row r="559" spans="2:26" ht="19.899999999999999" thickBot="1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</row>
    <row r="560" spans="2:26" ht="19.899999999999999" thickBot="1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</row>
    <row r="561" spans="2:26" ht="19.899999999999999" thickBot="1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</row>
    <row r="562" spans="2:26" ht="19.899999999999999" thickBot="1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</row>
    <row r="563" spans="2:26" ht="19.899999999999999" thickBot="1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</row>
    <row r="564" spans="2:26" ht="19.899999999999999" thickBot="1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</row>
    <row r="565" spans="2:26" ht="19.899999999999999" thickBot="1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</row>
    <row r="566" spans="2:26" ht="19.899999999999999" thickBot="1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</row>
    <row r="567" spans="2:26" ht="19.899999999999999" thickBot="1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</row>
    <row r="568" spans="2:26" ht="19.899999999999999" thickBot="1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</row>
    <row r="569" spans="2:26" ht="19.899999999999999" thickBot="1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</row>
    <row r="570" spans="2:26" ht="19.899999999999999" thickBot="1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</row>
    <row r="571" spans="2:26" ht="19.899999999999999" thickBot="1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</row>
    <row r="572" spans="2:26" ht="19.899999999999999" thickBot="1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</row>
    <row r="573" spans="2:26" ht="19.899999999999999" thickBot="1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</row>
    <row r="574" spans="2:26" ht="19.899999999999999" thickBot="1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</row>
    <row r="575" spans="2:26" ht="19.899999999999999" thickBot="1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</row>
    <row r="576" spans="2:26" ht="19.899999999999999" thickBot="1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</row>
    <row r="577" spans="2:26" ht="19.899999999999999" thickBot="1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</row>
    <row r="578" spans="2:26" ht="19.899999999999999" thickBot="1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</row>
    <row r="579" spans="2:26" ht="19.899999999999999" thickBot="1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</row>
    <row r="580" spans="2:26" ht="19.899999999999999" thickBot="1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</row>
    <row r="581" spans="2:26" ht="19.899999999999999" thickBot="1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</row>
    <row r="582" spans="2:26" ht="19.899999999999999" thickBot="1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</row>
    <row r="583" spans="2:26" ht="19.899999999999999" thickBot="1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</row>
    <row r="584" spans="2:26" ht="19.899999999999999" thickBot="1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</row>
    <row r="585" spans="2:26" ht="19.899999999999999" thickBot="1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</row>
    <row r="586" spans="2:26" ht="19.899999999999999" thickBot="1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</row>
    <row r="587" spans="2:26" ht="19.899999999999999" thickBot="1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</row>
    <row r="588" spans="2:26" ht="19.899999999999999" thickBot="1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</row>
    <row r="589" spans="2:26" ht="19.899999999999999" thickBot="1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</row>
    <row r="590" spans="2:26" ht="19.899999999999999" thickBot="1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</row>
    <row r="591" spans="2:26" ht="19.899999999999999" thickBot="1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</row>
    <row r="592" spans="2:26" ht="19.899999999999999" thickBot="1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</row>
    <row r="593" spans="2:26" ht="19.899999999999999" thickBot="1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</row>
    <row r="594" spans="2:26" ht="19.899999999999999" thickBot="1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</row>
    <row r="595" spans="2:26" ht="19.899999999999999" thickBot="1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</row>
    <row r="596" spans="2:26" ht="19.899999999999999" thickBot="1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</row>
    <row r="597" spans="2:26" ht="19.899999999999999" thickBot="1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</row>
    <row r="598" spans="2:26" ht="19.899999999999999" thickBot="1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</row>
    <row r="599" spans="2:26" ht="19.899999999999999" thickBot="1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</row>
    <row r="600" spans="2:26" ht="19.899999999999999" thickBot="1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</row>
    <row r="601" spans="2:26" ht="19.899999999999999" thickBot="1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</row>
    <row r="602" spans="2:26" ht="19.899999999999999" thickBot="1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</row>
    <row r="603" spans="2:26" ht="19.899999999999999" thickBot="1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</row>
    <row r="604" spans="2:26" ht="19.899999999999999" thickBot="1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</row>
    <row r="605" spans="2:26" ht="19.899999999999999" thickBot="1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</row>
    <row r="606" spans="2:26" ht="19.899999999999999" thickBot="1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</row>
    <row r="607" spans="2:26" ht="19.899999999999999" thickBot="1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</row>
    <row r="608" spans="2:26" ht="19.899999999999999" thickBot="1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</row>
    <row r="609" spans="2:26" ht="19.899999999999999" thickBot="1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</row>
    <row r="610" spans="2:26" ht="19.899999999999999" thickBot="1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</row>
    <row r="611" spans="2:26" ht="19.899999999999999" thickBot="1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</row>
    <row r="612" spans="2:26" ht="19.899999999999999" thickBot="1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</row>
    <row r="613" spans="2:26" ht="19.899999999999999" thickBot="1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</row>
    <row r="614" spans="2:26" ht="19.899999999999999" thickBot="1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</row>
    <row r="615" spans="2:26" ht="19.899999999999999" thickBot="1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</row>
    <row r="616" spans="2:26" ht="19.899999999999999" thickBot="1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</row>
    <row r="617" spans="2:26" ht="19.899999999999999" thickBot="1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</row>
    <row r="618" spans="2:26" ht="19.899999999999999" thickBot="1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</row>
    <row r="619" spans="2:26" ht="19.899999999999999" thickBot="1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</row>
    <row r="620" spans="2:26" ht="19.899999999999999" thickBot="1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</row>
    <row r="621" spans="2:26" ht="19.899999999999999" thickBot="1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</row>
    <row r="622" spans="2:26" ht="19.899999999999999" thickBot="1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</row>
    <row r="623" spans="2:26" ht="19.899999999999999" thickBot="1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</row>
    <row r="624" spans="2:26" ht="19.899999999999999" thickBot="1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</row>
    <row r="625" spans="2:26" ht="19.899999999999999" thickBot="1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</row>
    <row r="626" spans="2:26" ht="19.899999999999999" thickBot="1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</row>
    <row r="627" spans="2:26" ht="19.899999999999999" thickBot="1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</row>
    <row r="628" spans="2:26" ht="19.899999999999999" thickBot="1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</row>
    <row r="629" spans="2:26" ht="19.899999999999999" thickBot="1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</row>
    <row r="630" spans="2:26" ht="19.899999999999999" thickBot="1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</row>
    <row r="631" spans="2:26" ht="19.899999999999999" thickBot="1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</row>
    <row r="632" spans="2:26" ht="19.899999999999999" thickBot="1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</row>
    <row r="633" spans="2:26" ht="19.899999999999999" thickBot="1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</row>
    <row r="634" spans="2:26" ht="19.899999999999999" thickBot="1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</row>
    <row r="635" spans="2:26" ht="19.899999999999999" thickBot="1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</row>
    <row r="636" spans="2:26" ht="19.899999999999999" thickBot="1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</row>
    <row r="637" spans="2:26" ht="19.899999999999999" thickBot="1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</row>
    <row r="638" spans="2:26" ht="19.899999999999999" thickBot="1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</row>
    <row r="639" spans="2:26" ht="19.899999999999999" thickBot="1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</row>
    <row r="640" spans="2:26" ht="19.899999999999999" thickBot="1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</row>
    <row r="641" spans="2:26" ht="19.899999999999999" thickBot="1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</row>
    <row r="642" spans="2:26" ht="19.899999999999999" thickBot="1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</row>
    <row r="643" spans="2:26" ht="19.899999999999999" thickBot="1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</row>
    <row r="644" spans="2:26" ht="19.899999999999999" thickBot="1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</row>
    <row r="645" spans="2:26" ht="19.899999999999999" thickBot="1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</row>
    <row r="646" spans="2:26" ht="19.899999999999999" thickBot="1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</row>
    <row r="647" spans="2:26" ht="19.899999999999999" thickBot="1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</row>
    <row r="648" spans="2:26" ht="19.899999999999999" thickBot="1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</row>
    <row r="649" spans="2:26" ht="19.899999999999999" thickBot="1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</row>
    <row r="650" spans="2:26" ht="19.899999999999999" thickBot="1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</row>
    <row r="651" spans="2:26" ht="19.899999999999999" thickBot="1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</row>
    <row r="652" spans="2:26" ht="19.899999999999999" thickBot="1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</row>
    <row r="653" spans="2:26" ht="19.899999999999999" thickBot="1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</row>
    <row r="654" spans="2:26" ht="19.899999999999999" thickBot="1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</row>
    <row r="655" spans="2:26" ht="19.899999999999999" thickBot="1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</row>
    <row r="656" spans="2:26" ht="19.899999999999999" thickBot="1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</row>
    <row r="657" spans="2:26" ht="19.899999999999999" thickBot="1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</row>
    <row r="658" spans="2:26" ht="19.899999999999999" thickBot="1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</row>
    <row r="659" spans="2:26" ht="19.899999999999999" thickBot="1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</row>
    <row r="660" spans="2:26" ht="19.899999999999999" thickBot="1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</row>
    <row r="661" spans="2:26" ht="19.899999999999999" thickBot="1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</row>
    <row r="662" spans="2:26" ht="19.899999999999999" thickBot="1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</row>
    <row r="663" spans="2:26" ht="19.899999999999999" thickBot="1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</row>
    <row r="664" spans="2:26" ht="19.899999999999999" thickBot="1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</row>
    <row r="665" spans="2:26" ht="19.899999999999999" thickBot="1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</row>
    <row r="666" spans="2:26" ht="19.899999999999999" thickBot="1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</row>
    <row r="667" spans="2:26" ht="19.899999999999999" thickBot="1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</row>
    <row r="668" spans="2:26" ht="19.899999999999999" thickBot="1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</row>
    <row r="669" spans="2:26" ht="19.899999999999999" thickBot="1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</row>
    <row r="670" spans="2:26" ht="19.899999999999999" thickBot="1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</row>
    <row r="671" spans="2:26" ht="19.899999999999999" thickBot="1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</row>
    <row r="672" spans="2:26" ht="19.899999999999999" thickBot="1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</row>
    <row r="673" spans="2:26" ht="19.899999999999999" thickBot="1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</row>
    <row r="674" spans="2:26" ht="19.899999999999999" thickBot="1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</row>
    <row r="675" spans="2:26" ht="19.899999999999999" thickBot="1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</row>
    <row r="676" spans="2:26" ht="19.899999999999999" thickBot="1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</row>
    <row r="677" spans="2:26" ht="19.899999999999999" thickBot="1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</row>
    <row r="678" spans="2:26" ht="19.899999999999999" thickBot="1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</row>
    <row r="679" spans="2:26" ht="19.899999999999999" thickBot="1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</row>
    <row r="680" spans="2:26" ht="19.899999999999999" thickBot="1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</row>
    <row r="681" spans="2:26" ht="19.899999999999999" thickBot="1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</row>
    <row r="682" spans="2:26" ht="19.899999999999999" thickBot="1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</row>
    <row r="683" spans="2:26" ht="19.899999999999999" thickBot="1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</row>
    <row r="684" spans="2:26" ht="19.899999999999999" thickBot="1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</row>
    <row r="685" spans="2:26" ht="19.899999999999999" thickBot="1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</row>
    <row r="686" spans="2:26" ht="19.899999999999999" thickBot="1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</row>
    <row r="687" spans="2:26" ht="19.899999999999999" thickBot="1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</row>
    <row r="688" spans="2:26" ht="19.899999999999999" thickBot="1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</row>
    <row r="689" spans="2:26" ht="19.899999999999999" thickBot="1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</row>
    <row r="690" spans="2:26" ht="19.899999999999999" thickBot="1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</row>
    <row r="691" spans="2:26" ht="19.899999999999999" thickBot="1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</row>
    <row r="692" spans="2:26" ht="19.899999999999999" thickBot="1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</row>
    <row r="693" spans="2:26" ht="19.899999999999999" thickBot="1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</row>
    <row r="694" spans="2:26" ht="19.899999999999999" thickBot="1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</row>
    <row r="695" spans="2:26" ht="19.899999999999999" thickBot="1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</row>
    <row r="696" spans="2:26" ht="19.899999999999999" thickBot="1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</row>
    <row r="697" spans="2:26" ht="19.899999999999999" thickBot="1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</row>
    <row r="698" spans="2:26" ht="19.899999999999999" thickBot="1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</row>
    <row r="699" spans="2:26" ht="19.899999999999999" thickBot="1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</row>
    <row r="700" spans="2:26" ht="19.899999999999999" thickBot="1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</row>
    <row r="701" spans="2:26" ht="19.899999999999999" thickBot="1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</row>
    <row r="702" spans="2:26" ht="19.899999999999999" thickBot="1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</row>
    <row r="703" spans="2:26" ht="19.899999999999999" thickBot="1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</row>
    <row r="704" spans="2:26" ht="19.899999999999999" thickBot="1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</row>
    <row r="705" spans="2:26" ht="19.899999999999999" thickBot="1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</row>
    <row r="706" spans="2:26" ht="19.899999999999999" thickBot="1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</row>
    <row r="707" spans="2:26" ht="19.899999999999999" thickBot="1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</row>
    <row r="708" spans="2:26" ht="19.899999999999999" thickBot="1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</row>
    <row r="709" spans="2:26" ht="19.899999999999999" thickBot="1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</row>
    <row r="710" spans="2:26" ht="19.899999999999999" thickBot="1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</row>
    <row r="711" spans="2:26" ht="19.899999999999999" thickBot="1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</row>
    <row r="712" spans="2:26" ht="19.899999999999999" thickBot="1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</row>
    <row r="713" spans="2:26" ht="19.899999999999999" thickBot="1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</row>
    <row r="714" spans="2:26" ht="19.899999999999999" thickBot="1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</row>
    <row r="715" spans="2:26" ht="19.899999999999999" thickBot="1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</row>
    <row r="716" spans="2:26" ht="19.899999999999999" thickBot="1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</row>
    <row r="717" spans="2:26" ht="19.899999999999999" thickBot="1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</row>
    <row r="718" spans="2:26" ht="19.899999999999999" thickBot="1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</row>
    <row r="719" spans="2:26" ht="19.899999999999999" thickBot="1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</row>
    <row r="720" spans="2:26" ht="19.899999999999999" thickBot="1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</row>
    <row r="721" spans="2:26" ht="19.899999999999999" thickBot="1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</row>
    <row r="722" spans="2:26" ht="19.899999999999999" thickBot="1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</row>
    <row r="723" spans="2:26" ht="19.899999999999999" thickBot="1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</row>
    <row r="724" spans="2:26" ht="19.899999999999999" thickBot="1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</row>
    <row r="725" spans="2:26" ht="19.899999999999999" thickBot="1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</row>
    <row r="726" spans="2:26" ht="19.899999999999999" thickBot="1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</row>
    <row r="727" spans="2:26" ht="19.899999999999999" thickBot="1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</row>
    <row r="728" spans="2:26" ht="19.899999999999999" thickBot="1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</row>
    <row r="729" spans="2:26" ht="19.899999999999999" thickBot="1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</row>
    <row r="730" spans="2:26" ht="19.899999999999999" thickBot="1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</row>
    <row r="731" spans="2:26" ht="19.899999999999999" thickBot="1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</row>
    <row r="732" spans="2:26" ht="19.899999999999999" thickBot="1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</row>
    <row r="733" spans="2:26" ht="19.899999999999999" thickBot="1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</row>
    <row r="734" spans="2:26" ht="19.899999999999999" thickBot="1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</row>
    <row r="735" spans="2:26" ht="19.899999999999999" thickBot="1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</row>
    <row r="736" spans="2:26" ht="19.899999999999999" thickBot="1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</row>
    <row r="737" spans="2:26" ht="19.899999999999999" thickBot="1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</row>
    <row r="738" spans="2:26" ht="19.899999999999999" thickBot="1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</row>
    <row r="739" spans="2:26" ht="19.899999999999999" thickBot="1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</row>
    <row r="740" spans="2:26" ht="19.899999999999999" thickBot="1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</row>
    <row r="741" spans="2:26" ht="19.899999999999999" thickBot="1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</row>
    <row r="742" spans="2:26" ht="19.899999999999999" thickBot="1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</row>
    <row r="743" spans="2:26" ht="19.899999999999999" thickBot="1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</row>
    <row r="744" spans="2:26" ht="19.899999999999999" thickBot="1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</row>
    <row r="745" spans="2:26" ht="19.899999999999999" thickBot="1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</row>
    <row r="746" spans="2:26" ht="19.899999999999999" thickBot="1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</row>
    <row r="747" spans="2:26" ht="19.899999999999999" thickBot="1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</row>
    <row r="748" spans="2:26" ht="19.899999999999999" thickBot="1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</row>
    <row r="749" spans="2:26" ht="19.899999999999999" thickBot="1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</row>
    <row r="750" spans="2:26" ht="19.899999999999999" thickBot="1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</row>
    <row r="751" spans="2:26" ht="19.899999999999999" thickBot="1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</row>
    <row r="752" spans="2:26" ht="19.899999999999999" thickBot="1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</row>
    <row r="753" spans="2:26" ht="19.899999999999999" thickBot="1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</row>
    <row r="754" spans="2:26" ht="19.899999999999999" thickBot="1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</row>
    <row r="755" spans="2:26" ht="19.899999999999999" thickBot="1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</row>
    <row r="756" spans="2:26" ht="19.899999999999999" thickBot="1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</row>
    <row r="757" spans="2:26" ht="19.899999999999999" thickBot="1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</row>
    <row r="758" spans="2:26" ht="19.899999999999999" thickBot="1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</row>
    <row r="759" spans="2:26" ht="19.899999999999999" thickBot="1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</row>
    <row r="760" spans="2:26" ht="19.899999999999999" thickBot="1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</row>
    <row r="761" spans="2:26" ht="19.899999999999999" thickBot="1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</row>
    <row r="762" spans="2:26" ht="19.899999999999999" thickBot="1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</row>
    <row r="763" spans="2:26" ht="19.899999999999999" thickBot="1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</row>
    <row r="764" spans="2:26" ht="19.899999999999999" thickBot="1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</row>
    <row r="765" spans="2:26" ht="19.899999999999999" thickBot="1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</row>
    <row r="766" spans="2:26" ht="19.899999999999999" thickBot="1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</row>
    <row r="767" spans="2:26" ht="19.899999999999999" thickBot="1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</row>
    <row r="768" spans="2:26" ht="19.899999999999999" thickBot="1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</row>
    <row r="769" spans="2:26" ht="19.899999999999999" thickBot="1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</row>
    <row r="770" spans="2:26" ht="19.899999999999999" thickBot="1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</row>
    <row r="771" spans="2:26" ht="19.899999999999999" thickBot="1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</row>
    <row r="772" spans="2:26" ht="19.899999999999999" thickBot="1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</row>
    <row r="773" spans="2:26" ht="19.899999999999999" thickBot="1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</row>
    <row r="774" spans="2:26" ht="19.899999999999999" thickBot="1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</row>
    <row r="775" spans="2:26" ht="19.899999999999999" thickBot="1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</row>
    <row r="776" spans="2:26" ht="19.899999999999999" thickBot="1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</row>
    <row r="777" spans="2:26" ht="19.899999999999999" thickBot="1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</row>
    <row r="778" spans="2:26" ht="19.899999999999999" thickBot="1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</row>
    <row r="779" spans="2:26" ht="19.899999999999999" thickBot="1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</row>
    <row r="780" spans="2:26" ht="19.899999999999999" thickBot="1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</row>
    <row r="781" spans="2:26" ht="19.899999999999999" thickBot="1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</row>
    <row r="782" spans="2:26" ht="19.899999999999999" thickBot="1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</row>
    <row r="783" spans="2:26" ht="19.899999999999999" thickBot="1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</row>
    <row r="784" spans="2:26" ht="19.899999999999999" thickBot="1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</row>
    <row r="785" spans="2:26" ht="19.899999999999999" thickBot="1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</row>
    <row r="786" spans="2:26" ht="19.899999999999999" thickBot="1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</row>
    <row r="787" spans="2:26" ht="19.899999999999999" thickBot="1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</row>
    <row r="788" spans="2:26" ht="19.899999999999999" thickBot="1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</row>
    <row r="789" spans="2:26" ht="19.899999999999999" thickBot="1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</row>
    <row r="790" spans="2:26" ht="19.899999999999999" thickBot="1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</row>
    <row r="791" spans="2:26" ht="19.899999999999999" thickBot="1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</row>
    <row r="792" spans="2:26" ht="19.899999999999999" thickBot="1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</row>
    <row r="793" spans="2:26" ht="19.899999999999999" thickBot="1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</row>
    <row r="794" spans="2:26" ht="19.899999999999999" thickBot="1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</row>
    <row r="795" spans="2:26" ht="19.899999999999999" thickBot="1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</row>
    <row r="796" spans="2:26" ht="19.899999999999999" thickBot="1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</row>
    <row r="797" spans="2:26" ht="19.899999999999999" thickBot="1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</row>
    <row r="798" spans="2:26" ht="19.899999999999999" thickBot="1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</row>
    <row r="799" spans="2:26" ht="19.899999999999999" thickBot="1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</row>
    <row r="800" spans="2:26" ht="19.899999999999999" thickBot="1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</row>
    <row r="801" spans="2:26" ht="19.899999999999999" thickBot="1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</row>
    <row r="802" spans="2:26" ht="19.899999999999999" thickBot="1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</row>
    <row r="803" spans="2:26" ht="19.899999999999999" thickBot="1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</row>
    <row r="804" spans="2:26" ht="19.899999999999999" thickBot="1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</row>
    <row r="805" spans="2:26" ht="19.899999999999999" thickBot="1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</row>
    <row r="806" spans="2:26" ht="19.899999999999999" thickBot="1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</row>
    <row r="807" spans="2:26" ht="19.899999999999999" thickBot="1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</row>
    <row r="808" spans="2:26" ht="19.899999999999999" thickBot="1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</row>
    <row r="809" spans="2:26" ht="19.899999999999999" thickBot="1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</row>
    <row r="810" spans="2:26" ht="19.899999999999999" thickBot="1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</row>
    <row r="811" spans="2:26" ht="19.899999999999999" thickBot="1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</row>
    <row r="812" spans="2:26" ht="19.899999999999999" thickBot="1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</row>
    <row r="813" spans="2:26" ht="19.899999999999999" thickBot="1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</row>
    <row r="814" spans="2:26" ht="19.899999999999999" thickBot="1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</row>
    <row r="815" spans="2:26" ht="19.899999999999999" thickBot="1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</row>
    <row r="816" spans="2:26" ht="19.899999999999999" thickBot="1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</row>
    <row r="817" spans="2:26" ht="19.899999999999999" thickBot="1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</row>
    <row r="818" spans="2:26" ht="19.899999999999999" thickBot="1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</row>
    <row r="819" spans="2:26" ht="19.899999999999999" thickBot="1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</row>
    <row r="820" spans="2:26" ht="19.899999999999999" thickBot="1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</row>
    <row r="821" spans="2:26" ht="19.899999999999999" thickBot="1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</row>
    <row r="822" spans="2:26" ht="19.899999999999999" thickBot="1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</row>
    <row r="823" spans="2:26" ht="19.899999999999999" thickBot="1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</row>
    <row r="824" spans="2:26" ht="19.899999999999999" thickBot="1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</row>
    <row r="825" spans="2:26" ht="19.899999999999999" thickBot="1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</row>
    <row r="826" spans="2:26" ht="19.899999999999999" thickBot="1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</row>
    <row r="827" spans="2:26" ht="19.899999999999999" thickBot="1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</row>
    <row r="828" spans="2:26" ht="19.899999999999999" thickBot="1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</row>
    <row r="829" spans="2:26" ht="19.899999999999999" thickBot="1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</row>
    <row r="830" spans="2:26" ht="19.899999999999999" thickBot="1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</row>
    <row r="831" spans="2:26" ht="19.899999999999999" thickBot="1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</row>
    <row r="832" spans="2:26" ht="19.899999999999999" thickBot="1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</row>
    <row r="833" spans="2:26" ht="19.899999999999999" thickBot="1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</row>
    <row r="834" spans="2:26" ht="19.899999999999999" thickBot="1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</row>
    <row r="835" spans="2:26" ht="19.899999999999999" thickBot="1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</row>
    <row r="836" spans="2:26" ht="19.899999999999999" thickBot="1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</row>
    <row r="837" spans="2:26" ht="19.899999999999999" thickBot="1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</row>
    <row r="838" spans="2:26" ht="19.899999999999999" thickBot="1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</row>
    <row r="839" spans="2:26" ht="19.899999999999999" thickBot="1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</row>
    <row r="840" spans="2:26" ht="19.899999999999999" thickBot="1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</row>
    <row r="841" spans="2:26" ht="19.899999999999999" thickBot="1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</row>
    <row r="842" spans="2:26" ht="19.899999999999999" thickBot="1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</row>
    <row r="843" spans="2:26" ht="19.899999999999999" thickBot="1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</row>
    <row r="844" spans="2:26" ht="19.899999999999999" thickBot="1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</row>
    <row r="845" spans="2:26" ht="19.899999999999999" thickBot="1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</row>
    <row r="846" spans="2:26" ht="19.899999999999999" thickBot="1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</row>
    <row r="847" spans="2:26" ht="19.899999999999999" thickBot="1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</row>
    <row r="848" spans="2:26" ht="19.899999999999999" thickBot="1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</row>
    <row r="849" spans="2:26" ht="19.899999999999999" thickBot="1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</row>
    <row r="850" spans="2:26" ht="19.899999999999999" thickBot="1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</row>
    <row r="851" spans="2:26" ht="19.899999999999999" thickBot="1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</row>
    <row r="852" spans="2:26" ht="19.899999999999999" thickBot="1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</row>
    <row r="853" spans="2:26" ht="19.899999999999999" thickBot="1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</row>
    <row r="854" spans="2:26" ht="19.899999999999999" thickBot="1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</row>
    <row r="855" spans="2:26" ht="19.899999999999999" thickBot="1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</row>
    <row r="856" spans="2:26" ht="19.899999999999999" thickBot="1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</row>
    <row r="857" spans="2:26" ht="19.899999999999999" thickBot="1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</row>
    <row r="858" spans="2:26" ht="19.899999999999999" thickBot="1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</row>
    <row r="859" spans="2:26" ht="19.899999999999999" thickBot="1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</row>
    <row r="860" spans="2:26" ht="19.899999999999999" thickBot="1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</row>
    <row r="861" spans="2:26" ht="19.899999999999999" thickBot="1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</row>
    <row r="862" spans="2:26" ht="19.899999999999999" thickBot="1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</row>
    <row r="863" spans="2:26" ht="19.899999999999999" thickBot="1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</row>
    <row r="864" spans="2:26" ht="19.899999999999999" thickBot="1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</row>
    <row r="865" spans="2:26" ht="19.899999999999999" thickBot="1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</row>
    <row r="866" spans="2:26" ht="19.899999999999999" thickBot="1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</row>
    <row r="867" spans="2:26" ht="19.899999999999999" thickBot="1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</row>
    <row r="868" spans="2:26" ht="19.899999999999999" thickBot="1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</row>
    <row r="869" spans="2:26" ht="19.899999999999999" thickBot="1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</row>
    <row r="870" spans="2:26" ht="19.899999999999999" thickBot="1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</row>
    <row r="871" spans="2:26" ht="19.899999999999999" thickBot="1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</row>
    <row r="872" spans="2:26" ht="19.899999999999999" thickBot="1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</row>
    <row r="873" spans="2:26" ht="19.899999999999999" thickBot="1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</row>
    <row r="874" spans="2:26" ht="19.899999999999999" thickBot="1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</row>
    <row r="875" spans="2:26" ht="19.899999999999999" thickBot="1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</row>
    <row r="876" spans="2:26" ht="19.899999999999999" thickBot="1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</row>
    <row r="877" spans="2:26" ht="19.899999999999999" thickBot="1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</row>
    <row r="878" spans="2:26" ht="19.899999999999999" thickBot="1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</row>
    <row r="879" spans="2:26" ht="19.899999999999999" thickBot="1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</row>
    <row r="880" spans="2:26" ht="19.899999999999999" thickBot="1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</row>
    <row r="881" spans="2:26" ht="19.899999999999999" thickBot="1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</row>
    <row r="882" spans="2:26" ht="19.899999999999999" thickBot="1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</row>
    <row r="883" spans="2:26" ht="19.899999999999999" thickBot="1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</row>
    <row r="884" spans="2:26" ht="19.899999999999999" thickBot="1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</row>
    <row r="885" spans="2:26" ht="19.899999999999999" thickBot="1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</row>
    <row r="886" spans="2:26" ht="19.899999999999999" thickBot="1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</row>
    <row r="887" spans="2:26" ht="19.899999999999999" thickBot="1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</row>
    <row r="888" spans="2:26" ht="19.899999999999999" thickBot="1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</row>
    <row r="889" spans="2:26" ht="19.899999999999999" thickBot="1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</row>
    <row r="890" spans="2:26" ht="19.899999999999999" thickBot="1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</row>
    <row r="891" spans="2:26" ht="19.899999999999999" thickBot="1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</row>
    <row r="892" spans="2:26" ht="19.899999999999999" thickBot="1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</row>
    <row r="893" spans="2:26" ht="19.899999999999999" thickBot="1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</row>
    <row r="894" spans="2:26" ht="19.899999999999999" thickBot="1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</row>
    <row r="895" spans="2:26" ht="19.899999999999999" thickBot="1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</row>
    <row r="896" spans="2:26" ht="19.899999999999999" thickBot="1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</row>
    <row r="897" spans="2:26" ht="19.899999999999999" thickBot="1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</row>
    <row r="898" spans="2:26" ht="19.899999999999999" thickBot="1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</row>
    <row r="899" spans="2:26" ht="19.899999999999999" thickBot="1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</row>
    <row r="900" spans="2:26" ht="19.899999999999999" thickBot="1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</row>
    <row r="901" spans="2:26" ht="19.899999999999999" thickBot="1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</row>
    <row r="902" spans="2:26" ht="19.899999999999999" thickBot="1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</row>
    <row r="903" spans="2:26" ht="19.899999999999999" thickBot="1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</row>
    <row r="904" spans="2:26" ht="19.899999999999999" thickBot="1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</row>
    <row r="905" spans="2:26" ht="19.899999999999999" thickBot="1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</row>
    <row r="906" spans="2:26" ht="19.899999999999999" thickBot="1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</row>
    <row r="907" spans="2:26" ht="19.899999999999999" thickBot="1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</row>
    <row r="908" spans="2:26" ht="19.899999999999999" thickBot="1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</row>
    <row r="909" spans="2:26" ht="19.899999999999999" thickBot="1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</row>
    <row r="910" spans="2:26" ht="19.899999999999999" thickBot="1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</row>
    <row r="911" spans="2:26" ht="19.899999999999999" thickBot="1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</row>
    <row r="912" spans="2:26" ht="19.899999999999999" thickBot="1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</row>
    <row r="913" spans="2:26" ht="19.899999999999999" thickBot="1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</row>
    <row r="914" spans="2:26" ht="19.899999999999999" thickBot="1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</row>
    <row r="915" spans="2:26" ht="19.899999999999999" thickBot="1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</row>
    <row r="916" spans="2:26" ht="19.899999999999999" thickBot="1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</row>
    <row r="917" spans="2:26" ht="19.899999999999999" thickBot="1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</row>
    <row r="918" spans="2:26" ht="19.899999999999999" thickBot="1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</row>
    <row r="919" spans="2:26" ht="19.899999999999999" thickBot="1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</row>
    <row r="920" spans="2:26" ht="19.899999999999999" thickBot="1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</row>
    <row r="921" spans="2:26" ht="19.899999999999999" thickBot="1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</row>
    <row r="922" spans="2:26" ht="19.899999999999999" thickBot="1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</row>
    <row r="923" spans="2:26" ht="19.899999999999999" thickBot="1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</row>
    <row r="924" spans="2:26" ht="19.899999999999999" thickBot="1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</row>
    <row r="925" spans="2:26" ht="19.899999999999999" thickBot="1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</row>
    <row r="926" spans="2:26" ht="19.899999999999999" thickBot="1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</row>
    <row r="927" spans="2:26" ht="19.899999999999999" thickBot="1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</row>
    <row r="928" spans="2:26" ht="19.899999999999999" thickBot="1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</row>
    <row r="929" spans="2:26" ht="19.899999999999999" thickBot="1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</row>
    <row r="930" spans="2:26" ht="19.899999999999999" thickBot="1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</row>
    <row r="931" spans="2:26" ht="19.899999999999999" thickBot="1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</row>
    <row r="932" spans="2:26" ht="19.899999999999999" thickBot="1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</row>
    <row r="933" spans="2:26" ht="19.899999999999999" thickBot="1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</row>
    <row r="934" spans="2:26" ht="19.899999999999999" thickBot="1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</row>
    <row r="935" spans="2:26" ht="19.899999999999999" thickBot="1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</row>
    <row r="936" spans="2:26" ht="19.899999999999999" thickBot="1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</row>
    <row r="937" spans="2:26" ht="19.899999999999999" thickBot="1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</row>
    <row r="938" spans="2:26" ht="19.899999999999999" thickBot="1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</row>
    <row r="939" spans="2:26" ht="19.899999999999999" thickBot="1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</row>
    <row r="940" spans="2:26" ht="19.899999999999999" thickBot="1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</row>
    <row r="941" spans="2:26" ht="19.899999999999999" thickBot="1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</row>
    <row r="942" spans="2:26" ht="19.899999999999999" thickBot="1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</row>
    <row r="943" spans="2:26" ht="19.899999999999999" thickBot="1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</row>
    <row r="944" spans="2:26" ht="19.899999999999999" thickBot="1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</row>
    <row r="945" spans="2:26" ht="19.899999999999999" thickBot="1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</row>
    <row r="946" spans="2:26" ht="19.899999999999999" thickBot="1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</row>
    <row r="947" spans="2:26" ht="19.899999999999999" thickBot="1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</row>
    <row r="948" spans="2:26" ht="19.899999999999999" thickBot="1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</row>
    <row r="949" spans="2:26" ht="19.899999999999999" thickBot="1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</row>
    <row r="950" spans="2:26" ht="19.899999999999999" thickBot="1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</row>
    <row r="951" spans="2:26" ht="19.899999999999999" thickBot="1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</row>
    <row r="952" spans="2:26" ht="19.899999999999999" thickBot="1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</row>
    <row r="953" spans="2:26" ht="19.899999999999999" thickBot="1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</row>
    <row r="954" spans="2:26" ht="19.899999999999999" thickBot="1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</row>
    <row r="955" spans="2:26" ht="19.899999999999999" thickBot="1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</row>
    <row r="956" spans="2:26" ht="19.899999999999999" thickBot="1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</row>
    <row r="957" spans="2:26" ht="19.899999999999999" thickBot="1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</row>
    <row r="958" spans="2:26" ht="19.899999999999999" thickBot="1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</row>
    <row r="959" spans="2:26" ht="19.899999999999999" thickBot="1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</row>
    <row r="960" spans="2:26" ht="19.899999999999999" thickBot="1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</row>
    <row r="961" spans="2:26" ht="19.899999999999999" thickBot="1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</row>
    <row r="962" spans="2:26" ht="19.899999999999999" thickBot="1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</row>
    <row r="963" spans="2:26" ht="19.899999999999999" thickBot="1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</row>
    <row r="964" spans="2:26" ht="19.899999999999999" thickBot="1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</row>
    <row r="965" spans="2:26" ht="19.899999999999999" thickBot="1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</row>
    <row r="966" spans="2:26" ht="19.899999999999999" thickBot="1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</row>
    <row r="967" spans="2:26" ht="19.899999999999999" thickBot="1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</row>
    <row r="968" spans="2:26" ht="19.899999999999999" thickBot="1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</row>
    <row r="969" spans="2:26" ht="19.899999999999999" thickBot="1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</row>
    <row r="970" spans="2:26" ht="19.899999999999999" thickBot="1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</row>
    <row r="971" spans="2:26" ht="19.899999999999999" thickBot="1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</row>
    <row r="972" spans="2:26" ht="19.899999999999999" thickBot="1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</row>
    <row r="973" spans="2:26" ht="19.899999999999999" thickBot="1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</row>
    <row r="974" spans="2:26" ht="19.899999999999999" thickBot="1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</row>
    <row r="975" spans="2:26" ht="19.899999999999999" thickBot="1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</row>
    <row r="976" spans="2:26" ht="19.899999999999999" thickBot="1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</row>
    <row r="977" spans="2:26" ht="19.899999999999999" thickBot="1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</row>
    <row r="978" spans="2:26" ht="19.899999999999999" thickBot="1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</row>
    <row r="979" spans="2:26" ht="19.899999999999999" thickBot="1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</row>
    <row r="980" spans="2:26" ht="19.899999999999999" thickBot="1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</row>
    <row r="981" spans="2:26" ht="19.899999999999999" thickBot="1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</row>
    <row r="982" spans="2:26" ht="19.899999999999999" thickBot="1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</row>
    <row r="983" spans="2:26" ht="19.899999999999999" thickBot="1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</row>
    <row r="984" spans="2:26" ht="19.899999999999999" thickBot="1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</row>
    <row r="985" spans="2:26" ht="19.899999999999999" thickBot="1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</row>
    <row r="986" spans="2:26" ht="19.899999999999999" thickBot="1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</row>
    <row r="987" spans="2:26" ht="19.899999999999999" thickBot="1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</row>
    <row r="988" spans="2:26" ht="19.899999999999999" thickBot="1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</row>
    <row r="989" spans="2:26" ht="19.899999999999999" thickBot="1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</row>
    <row r="990" spans="2:26" ht="19.899999999999999" thickBot="1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</row>
    <row r="991" spans="2:26" ht="19.899999999999999" thickBot="1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</row>
    <row r="992" spans="2:26" ht="19.899999999999999" thickBot="1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</row>
    <row r="993" spans="2:26" ht="19.899999999999999" thickBot="1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</row>
    <row r="994" spans="2:26" ht="19.899999999999999" thickBot="1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</row>
    <row r="995" spans="2:26" ht="19.899999999999999" thickBot="1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</row>
    <row r="996" spans="2:26" ht="19.899999999999999" thickBot="1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</row>
    <row r="997" spans="2:26" ht="19.899999999999999" thickBot="1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</row>
    <row r="998" spans="2:26" ht="19.899999999999999" thickBot="1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</row>
    <row r="999" spans="2:26" ht="19.899999999999999" thickBot="1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</row>
    <row r="1000" spans="2:26" ht="19.899999999999999" thickBot="1">
      <c r="B1000" s="579"/>
      <c r="C1000" s="579"/>
      <c r="D1000" s="579"/>
      <c r="E1000" s="579"/>
      <c r="F1000" s="579"/>
      <c r="G1000" s="579"/>
      <c r="H1000" s="579"/>
      <c r="I1000" s="579"/>
      <c r="J1000" s="579"/>
      <c r="K1000" s="579"/>
      <c r="L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</row>
  </sheetData>
  <mergeCells count="7">
    <mergeCell ref="C90:E90"/>
    <mergeCell ref="C1:K1"/>
    <mergeCell ref="C3:K3"/>
    <mergeCell ref="C20:K20"/>
    <mergeCell ref="C47:E47"/>
    <mergeCell ref="B51:K51"/>
    <mergeCell ref="C83:K83"/>
  </mergeCells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E3026-2DBF-4B44-9837-B1A41E3BE626}">
  <dimension ref="B1:AO69"/>
  <sheetViews>
    <sheetView showGridLines="0" topLeftCell="AD63" zoomScale="70" zoomScaleNormal="70" workbookViewId="0">
      <selection activeCell="AG100" sqref="AG100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0.6640625" style="580" customWidth="1"/>
    <col min="4" max="4" width="9.3320312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9.33203125" style="727" customWidth="1"/>
    <col min="19" max="19" width="8.44140625" style="727" customWidth="1"/>
    <col min="20" max="20" width="8.77734375" style="727" customWidth="1"/>
    <col min="21" max="21" width="9" style="727" customWidth="1"/>
    <col min="22" max="22" width="9.21875" style="727" customWidth="1"/>
    <col min="23" max="23" width="10.21875" style="727" customWidth="1"/>
    <col min="24" max="24" width="9.5546875" style="727" customWidth="1"/>
    <col min="25" max="25" width="9.77734375" style="727" customWidth="1"/>
    <col min="26" max="26" width="12.33203125" style="727" bestFit="1" customWidth="1"/>
    <col min="27" max="27" width="9.5546875" style="727" customWidth="1"/>
    <col min="28" max="30" width="10.6640625" style="727" customWidth="1"/>
    <col min="31" max="32" width="11.77734375" style="727" customWidth="1"/>
    <col min="33" max="33" width="11.109375" style="727" bestFit="1" customWidth="1"/>
    <col min="34" max="34" width="11.109375" style="580" customWidth="1"/>
    <col min="35" max="35" width="17.44140625" style="580" customWidth="1"/>
    <col min="36" max="36" width="14.6640625" style="580" customWidth="1"/>
    <col min="37" max="37" width="14.21875" style="580" customWidth="1"/>
    <col min="38" max="38" width="15.21875" style="580" customWidth="1"/>
    <col min="39" max="39" width="15" style="580" customWidth="1"/>
    <col min="40" max="40" width="14" style="580" customWidth="1"/>
    <col min="41" max="41" width="15.44140625" style="580" customWidth="1"/>
    <col min="42" max="42" width="15.109375" style="580" customWidth="1"/>
    <col min="43" max="43" width="11.5546875" style="580" customWidth="1"/>
    <col min="44" max="16384" width="9.21875" style="580"/>
  </cols>
  <sheetData>
    <row r="1" spans="2:41" hidden="1"/>
    <row r="2" spans="2:41" hidden="1"/>
    <row r="4" spans="2:41" ht="76.900000000000006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537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1057" t="s">
        <v>432</v>
      </c>
      <c r="O4" s="1058" t="s">
        <v>433</v>
      </c>
      <c r="P4" s="1059" t="s">
        <v>434</v>
      </c>
      <c r="Q4" s="1060" t="s">
        <v>435</v>
      </c>
      <c r="R4" s="744" t="s">
        <v>436</v>
      </c>
      <c r="S4" s="713" t="s">
        <v>437</v>
      </c>
      <c r="T4" s="710" t="s">
        <v>438</v>
      </c>
      <c r="U4" s="789" t="s">
        <v>439</v>
      </c>
      <c r="V4" s="1121" t="s">
        <v>440</v>
      </c>
      <c r="W4" s="710" t="s">
        <v>441</v>
      </c>
      <c r="X4" s="710" t="s">
        <v>442</v>
      </c>
      <c r="Y4" s="711" t="s">
        <v>443</v>
      </c>
      <c r="Z4" s="712" t="s">
        <v>390</v>
      </c>
      <c r="AA4" s="710" t="s">
        <v>391</v>
      </c>
      <c r="AB4" s="710" t="s">
        <v>392</v>
      </c>
      <c r="AC4" s="789" t="s">
        <v>393</v>
      </c>
      <c r="AD4" s="1121" t="s">
        <v>444</v>
      </c>
      <c r="AE4" s="710" t="s">
        <v>445</v>
      </c>
      <c r="AF4" s="710" t="s">
        <v>446</v>
      </c>
      <c r="AG4" s="789" t="s">
        <v>394</v>
      </c>
      <c r="AH4" s="728"/>
    </row>
    <row r="5" spans="2:41" ht="21.6">
      <c r="B5" s="716">
        <v>44620</v>
      </c>
      <c r="C5" s="749">
        <v>20.47</v>
      </c>
      <c r="D5" s="750">
        <v>15.22</v>
      </c>
      <c r="E5" s="750">
        <v>5.15</v>
      </c>
      <c r="F5" s="749">
        <v>3.58</v>
      </c>
      <c r="G5" s="1042">
        <f>SUM(Table252346789101110121312141215161517181920212223[[#This Row],[Jones Creek Target (Mbopd)]:[Egwa Target (Mbopd)]])</f>
        <v>44.419999999999995</v>
      </c>
      <c r="H5" s="1068">
        <v>7.6029999999999998</v>
      </c>
      <c r="I5" s="1068">
        <v>9.1620000000000008</v>
      </c>
      <c r="J5" s="1068">
        <v>0</v>
      </c>
      <c r="K5" s="1069">
        <v>2.266</v>
      </c>
      <c r="L5" s="1122">
        <f t="shared" ref="L5" si="0">H5+I5+J5+K5</f>
        <v>19.030999999999999</v>
      </c>
      <c r="M5" s="1123">
        <v>0</v>
      </c>
      <c r="N5" s="1124">
        <f>Table252346789101110121312141215161517181920212223[[#This Row],[Jones Creek Target (Mbopd)]]-Table252346789101110121312141215161517181920212223[[#This Row],[Jones Creek (Mbopd)]]</f>
        <v>12.866999999999999</v>
      </c>
      <c r="O5" s="1044">
        <f>Table252346789101110121312141215161517181920212223[[#This Row],[Odidi Target (Mbopd)]]-Table252346789101110121312141215161517181920212223[[#This Row],[Odidi (Mbopd)]]</f>
        <v>6.0579999999999998</v>
      </c>
      <c r="P5" s="1044">
        <f>Table252346789101110121312141215161517181920212223[[#This Row],[Batan Target (Mbopd)]]-Table252346789101110121312141215161517181920212223[[#This Row],[Batan (Mbopd)]]</f>
        <v>5.15</v>
      </c>
      <c r="Q5" s="1044">
        <f>Table252346789101110121312141215161517181920212223[[#This Row],[Egwa Target (Mbopd)]]-Table252346789101110121312141215161517181920212223[[#This Row],[Egwa (Mbopd)]]</f>
        <v>1.3140000000000001</v>
      </c>
      <c r="R5" s="1043">
        <v>10.49</v>
      </c>
      <c r="S5" s="1044">
        <v>18.190000000000001</v>
      </c>
      <c r="T5" s="1044">
        <v>0</v>
      </c>
      <c r="U5" s="1045">
        <v>2.3340000000000001</v>
      </c>
      <c r="V5" s="1046">
        <v>0.84</v>
      </c>
      <c r="W5" s="1044">
        <v>0</v>
      </c>
      <c r="X5" s="1044">
        <v>0</v>
      </c>
      <c r="Y5" s="1045">
        <v>0</v>
      </c>
      <c r="Z5" s="1046">
        <f>+Table252346789101110121312141215161517181920212223[[#This Row],[J/C Prod gas (MMscf)]]-Table252346789101110121312141215161517181920212223[[#This Row],[J/C Utilised gas (MMscf)]]</f>
        <v>9.65</v>
      </c>
      <c r="AA5" s="1044">
        <v>18.190000000000001</v>
      </c>
      <c r="AB5" s="1044">
        <f>+Table252346789101110121312141215161517181920212223[[#This Row],[Batn Prod gas (MMscf)]]-Table252346789101110121312141215161517181920212223[[#This Row],[Batn Utilised gas (MMscf)]]</f>
        <v>0</v>
      </c>
      <c r="AC5" s="1045">
        <v>2.33</v>
      </c>
      <c r="AD5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31.013999999999999</v>
      </c>
      <c r="AE5" s="1044">
        <f>+Table252346789101110121312141215161517181920212223[[#This Row],[Gas Export (MMscf/d)]]</f>
        <v>0</v>
      </c>
      <c r="AF5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5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30.17</v>
      </c>
      <c r="AH5" s="142"/>
    </row>
    <row r="6" spans="2:41" ht="21.6">
      <c r="B6" s="716">
        <v>44621</v>
      </c>
      <c r="C6" s="749">
        <v>20.47</v>
      </c>
      <c r="D6" s="750">
        <v>15.22</v>
      </c>
      <c r="E6" s="750">
        <v>5.15</v>
      </c>
      <c r="F6" s="749">
        <v>3.58</v>
      </c>
      <c r="G6" s="1042">
        <f>SUM(Table252346789101110121312141215161517181920212223[[#This Row],[Jones Creek Target (Mbopd)]:[Egwa Target (Mbopd)]])</f>
        <v>44.419999999999995</v>
      </c>
      <c r="H6" s="1068">
        <v>0</v>
      </c>
      <c r="I6" s="1068">
        <v>9.1159999999999997</v>
      </c>
      <c r="J6" s="1068">
        <v>0</v>
      </c>
      <c r="K6" s="1069">
        <v>2.2480000000000002</v>
      </c>
      <c r="L6" s="1122">
        <f>H6+I6+J6+K6</f>
        <v>11.364000000000001</v>
      </c>
      <c r="M6" s="1123">
        <v>0</v>
      </c>
      <c r="N6" s="1124">
        <f>Table252346789101110121312141215161517181920212223[[#This Row],[Jones Creek Target (Mbopd)]]-Table252346789101110121312141215161517181920212223[[#This Row],[Jones Creek (Mbopd)]]</f>
        <v>20.47</v>
      </c>
      <c r="O6" s="1044">
        <f>Table252346789101110121312141215161517181920212223[[#This Row],[Odidi Target (Mbopd)]]-Table252346789101110121312141215161517181920212223[[#This Row],[Odidi (Mbopd)]]</f>
        <v>6.104000000000001</v>
      </c>
      <c r="P6" s="1044">
        <f>Table252346789101110121312141215161517181920212223[[#This Row],[Batan Target (Mbopd)]]-Table252346789101110121312141215161517181920212223[[#This Row],[Batan (Mbopd)]]</f>
        <v>5.15</v>
      </c>
      <c r="Q6" s="1044">
        <f>Table252346789101110121312141215161517181920212223[[#This Row],[Egwa Target (Mbopd)]]-Table252346789101110121312141215161517181920212223[[#This Row],[Egwa (Mbopd)]]</f>
        <v>1.3319999999999999</v>
      </c>
      <c r="R6" s="1043">
        <v>0</v>
      </c>
      <c r="S6" s="1044">
        <v>18.78</v>
      </c>
      <c r="T6" s="1044">
        <v>0</v>
      </c>
      <c r="U6" s="1045">
        <v>2.36</v>
      </c>
      <c r="V6" s="1046">
        <v>0</v>
      </c>
      <c r="W6" s="1044">
        <v>0</v>
      </c>
      <c r="X6" s="1044">
        <v>0</v>
      </c>
      <c r="Y6" s="1045">
        <v>0</v>
      </c>
      <c r="Z6" s="1046">
        <f>+Table252346789101110121312141215161517181920212223[[#This Row],[J/C Prod gas (MMscf)]]-Table252346789101110121312141215161517181920212223[[#This Row],[J/C Utilised gas (MMscf)]]</f>
        <v>0</v>
      </c>
      <c r="AA6" s="1044">
        <v>18.78</v>
      </c>
      <c r="AB6" s="1044">
        <f>+Table252346789101110121312141215161517181920212223[[#This Row],[Batn Prod gas (MMscf)]]-Table252346789101110121312141215161517181920212223[[#This Row],[Batn Utilised gas (MMscf)]]</f>
        <v>0</v>
      </c>
      <c r="AC6" s="1045">
        <v>2.33</v>
      </c>
      <c r="AD6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21.14</v>
      </c>
      <c r="AE6" s="1044">
        <f>+Table252346789101110121312141215161517181920212223[[#This Row],[Gas Export (MMscf/d)]]</f>
        <v>0</v>
      </c>
      <c r="AF6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</v>
      </c>
      <c r="AG6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21.11</v>
      </c>
      <c r="AH6" s="142"/>
    </row>
    <row r="7" spans="2:41" ht="21.6">
      <c r="B7" s="716">
        <v>44622</v>
      </c>
      <c r="C7" s="749">
        <v>20.47</v>
      </c>
      <c r="D7" s="750">
        <v>15.22</v>
      </c>
      <c r="E7" s="750">
        <v>5.15</v>
      </c>
      <c r="F7" s="749">
        <v>3.58</v>
      </c>
      <c r="G7" s="1042">
        <f>SUM(Table252346789101110121312141215161517181920212223[[#This Row],[Jones Creek Target (Mbopd)]:[Egwa Target (Mbopd)]])</f>
        <v>44.419999999999995</v>
      </c>
      <c r="H7" s="1068">
        <v>0</v>
      </c>
      <c r="I7" s="1068">
        <v>9.1159999999999997</v>
      </c>
      <c r="J7" s="1068">
        <v>0</v>
      </c>
      <c r="K7" s="1069">
        <v>2.2509999999999999</v>
      </c>
      <c r="L7" s="1122">
        <f>H7+I7+J7+K7</f>
        <v>11.366999999999999</v>
      </c>
      <c r="M7" s="1123">
        <v>0</v>
      </c>
      <c r="N7" s="1124">
        <f>Table252346789101110121312141215161517181920212223[[#This Row],[Jones Creek Target (Mbopd)]]-Table252346789101110121312141215161517181920212223[[#This Row],[Jones Creek (Mbopd)]]</f>
        <v>20.47</v>
      </c>
      <c r="O7" s="1044">
        <f>Table252346789101110121312141215161517181920212223[[#This Row],[Odidi Target (Mbopd)]]-Table252346789101110121312141215161517181920212223[[#This Row],[Odidi (Mbopd)]]</f>
        <v>6.104000000000001</v>
      </c>
      <c r="P7" s="1044">
        <f>Table252346789101110121312141215161517181920212223[[#This Row],[Batan Target (Mbopd)]]-Table252346789101110121312141215161517181920212223[[#This Row],[Batan (Mbopd)]]</f>
        <v>5.15</v>
      </c>
      <c r="Q7" s="1044">
        <f>Table252346789101110121312141215161517181920212223[[#This Row],[Egwa Target (Mbopd)]]-Table252346789101110121312141215161517181920212223[[#This Row],[Egwa (Mbopd)]]</f>
        <v>1.3290000000000002</v>
      </c>
      <c r="R7" s="1043">
        <v>0</v>
      </c>
      <c r="S7" s="1044">
        <v>18.78</v>
      </c>
      <c r="T7" s="1044">
        <v>0</v>
      </c>
      <c r="U7" s="1045">
        <v>2.3780000000000001</v>
      </c>
      <c r="V7" s="1046">
        <v>0</v>
      </c>
      <c r="W7" s="1046">
        <v>0</v>
      </c>
      <c r="X7" s="1044">
        <v>0</v>
      </c>
      <c r="Y7" s="1045">
        <v>0</v>
      </c>
      <c r="Z7" s="1046">
        <f>+Table252346789101110121312141215161517181920212223[[#This Row],[J/C Prod gas (MMscf)]]-Table252346789101110121312141215161517181920212223[[#This Row],[J/C Utilised gas (MMscf)]]</f>
        <v>0</v>
      </c>
      <c r="AA7" s="1044">
        <f>+Table252346789101110121312141215161517181920212223[[#This Row],[Odid Prod gas (MMscf)]]-Table252346789101110121312141215161517181920212223[[#This Row],[Gas Export (MMscf/d)]]</f>
        <v>18.78</v>
      </c>
      <c r="AB7" s="1044">
        <f>+Table252346789101110121312141215161517181920212223[[#This Row],[Batn Prod gas (MMscf)]]-Table252346789101110121312141215161517181920212223[[#This Row],[Batn Utilised gas (MMscf)]]</f>
        <v>0</v>
      </c>
      <c r="AC7" s="1045">
        <f>+Table252346789101110121312141215161517181920212223[[#This Row],[Egwa Prod gas (MMscf)]]-Table252346789101110121312141215161517181920212223[[#This Row],[Egwa Utilised gas (MMscf)]]</f>
        <v>2.3780000000000001</v>
      </c>
      <c r="AD7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21.158000000000001</v>
      </c>
      <c r="AE7" s="1044">
        <f>+Table252346789101110121312141215161517181920212223[[#This Row],[Gas Export (MMscf/d)]]</f>
        <v>0</v>
      </c>
      <c r="AF7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</v>
      </c>
      <c r="AG7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21.158000000000001</v>
      </c>
      <c r="AH7" s="142"/>
    </row>
    <row r="8" spans="2:41" ht="24.6">
      <c r="B8" s="716">
        <v>44623</v>
      </c>
      <c r="C8" s="749">
        <v>20.47</v>
      </c>
      <c r="D8" s="750">
        <v>15.22</v>
      </c>
      <c r="E8" s="750">
        <v>5.15</v>
      </c>
      <c r="F8" s="749">
        <v>3.58</v>
      </c>
      <c r="G8" s="1042">
        <f>SUM(Table252346789101110121312141215161517181920212223[[#This Row],[Jones Creek Target (Mbopd)]:[Egwa Target (Mbopd)]])</f>
        <v>44.419999999999995</v>
      </c>
      <c r="H8" s="1068">
        <v>0</v>
      </c>
      <c r="I8" s="1068">
        <v>5.3159999999999998</v>
      </c>
      <c r="J8" s="1068">
        <v>0</v>
      </c>
      <c r="K8" s="1069">
        <v>2.2250000000000001</v>
      </c>
      <c r="L8" s="1122">
        <f t="shared" ref="L8:L11" si="1">H8+I8+J8+K8</f>
        <v>7.5410000000000004</v>
      </c>
      <c r="M8" s="1123">
        <v>0</v>
      </c>
      <c r="N8" s="1124">
        <f>Table252346789101110121312141215161517181920212223[[#This Row],[Jones Creek Target (Mbopd)]]-Table252346789101110121312141215161517181920212223[[#This Row],[Jones Creek (Mbopd)]]</f>
        <v>20.47</v>
      </c>
      <c r="O8" s="1044">
        <f>Table252346789101110121312141215161517181920212223[[#This Row],[Odidi Target (Mbopd)]]-Table252346789101110121312141215161517181920212223[[#This Row],[Odidi (Mbopd)]]</f>
        <v>9.9039999999999999</v>
      </c>
      <c r="P8" s="1044">
        <f>Table252346789101110121312141215161517181920212223[[#This Row],[Batan Target (Mbopd)]]-Table252346789101110121312141215161517181920212223[[#This Row],[Batan (Mbopd)]]</f>
        <v>5.15</v>
      </c>
      <c r="Q8" s="1044">
        <f>Table252346789101110121312141215161517181920212223[[#This Row],[Egwa Target (Mbopd)]]-Table252346789101110121312141215161517181920212223[[#This Row],[Egwa (Mbopd)]]</f>
        <v>1.355</v>
      </c>
      <c r="R8" s="1043">
        <v>0</v>
      </c>
      <c r="S8" s="1044">
        <v>7.15</v>
      </c>
      <c r="T8" s="1044">
        <v>0</v>
      </c>
      <c r="U8" s="1045">
        <v>2.3919999999999999</v>
      </c>
      <c r="V8" s="1046">
        <v>0</v>
      </c>
      <c r="W8" s="1046">
        <v>0</v>
      </c>
      <c r="X8" s="1044">
        <v>0</v>
      </c>
      <c r="Y8" s="1045">
        <v>0</v>
      </c>
      <c r="Z8" s="1046">
        <f>+Table252346789101110121312141215161517181920212223[[#This Row],[J/C Prod gas (MMscf)]]-Table252346789101110121312141215161517181920212223[[#This Row],[J/C Utilised gas (MMscf)]]</f>
        <v>0</v>
      </c>
      <c r="AA8" s="1044">
        <f>+Table252346789101110121312141215161517181920212223[[#This Row],[Odid Prod gas (MMscf)]]-Table252346789101110121312141215161517181920212223[[#This Row],[Gas Export (MMscf/d)]]</f>
        <v>7.15</v>
      </c>
      <c r="AB8" s="1044">
        <f>+Table252346789101110121312141215161517181920212223[[#This Row],[Batn Prod gas (MMscf)]]-Table252346789101110121312141215161517181920212223[[#This Row],[Batn Utilised gas (MMscf)]]</f>
        <v>0</v>
      </c>
      <c r="AC8" s="1045">
        <f>+Table252346789101110121312141215161517181920212223[[#This Row],[Egwa Prod gas (MMscf)]]-Table252346789101110121312141215161517181920212223[[#This Row],[Egwa Utilised gas (MMscf)]]</f>
        <v>2.3919999999999999</v>
      </c>
      <c r="AD8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9.5419999999999998</v>
      </c>
      <c r="AE8" s="1044">
        <f>+Table252346789101110121312141215161517181920212223[[#This Row],[Gas Export (MMscf/d)]]</f>
        <v>0</v>
      </c>
      <c r="AF8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</v>
      </c>
      <c r="AG8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9.5419999999999998</v>
      </c>
      <c r="AH8" s="142"/>
      <c r="AI8" s="142"/>
      <c r="AJ8" s="1351" t="s">
        <v>0</v>
      </c>
      <c r="AK8" s="1351"/>
      <c r="AL8" s="1351"/>
      <c r="AM8" s="1351"/>
      <c r="AN8" s="1351"/>
      <c r="AO8" s="1351"/>
    </row>
    <row r="9" spans="2:41" ht="43.15">
      <c r="B9" s="716">
        <v>44624</v>
      </c>
      <c r="C9" s="749">
        <v>20.47</v>
      </c>
      <c r="D9" s="750">
        <v>15.22</v>
      </c>
      <c r="E9" s="750">
        <v>5.15</v>
      </c>
      <c r="F9" s="749">
        <v>3.58</v>
      </c>
      <c r="G9" s="1042">
        <f>SUM(Table252346789101110121312141215161517181920212223[[#This Row],[Jones Creek Target (Mbopd)]:[Egwa Target (Mbopd)]])</f>
        <v>44.419999999999995</v>
      </c>
      <c r="H9" s="1068">
        <v>0</v>
      </c>
      <c r="I9" s="1068">
        <v>0</v>
      </c>
      <c r="J9" s="1068">
        <v>0</v>
      </c>
      <c r="K9" s="1123">
        <v>2.226</v>
      </c>
      <c r="L9" s="1122">
        <f t="shared" si="1"/>
        <v>2.226</v>
      </c>
      <c r="M9" s="1123">
        <v>0</v>
      </c>
      <c r="N9" s="1124">
        <f>Table252346789101110121312141215161517181920212223[[#This Row],[Jones Creek Target (Mbopd)]]-Table252346789101110121312141215161517181920212223[[#This Row],[Jones Creek (Mbopd)]]</f>
        <v>20.47</v>
      </c>
      <c r="O9" s="1044">
        <f>Table252346789101110121312141215161517181920212223[[#This Row],[Odidi Target (Mbopd)]]-Table252346789101110121312141215161517181920212223[[#This Row],[Odidi (Mbopd)]]</f>
        <v>15.22</v>
      </c>
      <c r="P9" s="1044">
        <f>Table252346789101110121312141215161517181920212223[[#This Row],[Batan Target (Mbopd)]]-Table252346789101110121312141215161517181920212223[[#This Row],[Batan (Mbopd)]]</f>
        <v>5.15</v>
      </c>
      <c r="Q9" s="1044">
        <f>Table252346789101110121312141215161517181920212223[[#This Row],[Egwa Target (Mbopd)]]-Table252346789101110121312141215161517181920212223[[#This Row],[Egwa (Mbopd)]]</f>
        <v>1.3540000000000001</v>
      </c>
      <c r="R9" s="1043">
        <v>0</v>
      </c>
      <c r="S9" s="1044">
        <v>0</v>
      </c>
      <c r="T9" s="1044">
        <v>0</v>
      </c>
      <c r="U9" s="1045">
        <v>2.4209999999999998</v>
      </c>
      <c r="V9" s="1046">
        <v>0</v>
      </c>
      <c r="W9" s="1046">
        <v>0</v>
      </c>
      <c r="X9" s="1044">
        <v>0</v>
      </c>
      <c r="Y9" s="1045">
        <v>0</v>
      </c>
      <c r="Z9" s="1046">
        <f>+Table252346789101110121312141215161517181920212223[[#This Row],[J/C Prod gas (MMscf)]]-Table252346789101110121312141215161517181920212223[[#This Row],[J/C Utilised gas (MMscf)]]</f>
        <v>0</v>
      </c>
      <c r="AA9" s="1044">
        <f>+Table252346789101110121312141215161517181920212223[[#This Row],[Odid Prod gas (MMscf)]]-Table252346789101110121312141215161517181920212223[[#This Row],[Gas Export (MMscf/d)]]</f>
        <v>0</v>
      </c>
      <c r="AB9" s="1044">
        <f>+Table252346789101110121312141215161517181920212223[[#This Row],[Batn Prod gas (MMscf)]]-Table252346789101110121312141215161517181920212223[[#This Row],[Batn Utilised gas (MMscf)]]</f>
        <v>0</v>
      </c>
      <c r="AC9" s="1045">
        <f>+Table252346789101110121312141215161517181920212223[[#This Row],[Egwa Prod gas (MMscf)]]-Table252346789101110121312141215161517181920212223[[#This Row],[Egwa Utilised gas (MMscf)]]</f>
        <v>2.4209999999999998</v>
      </c>
      <c r="AD9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2.4209999999999998</v>
      </c>
      <c r="AE9" s="1044">
        <f>+Table252346789101110121312141215161517181920212223[[#This Row],[Gas Export (MMscf/d)]]</f>
        <v>0</v>
      </c>
      <c r="AF9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</v>
      </c>
      <c r="AG9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2.4209999999999998</v>
      </c>
      <c r="AH9" s="142"/>
      <c r="AI9" s="142"/>
      <c r="AJ9" s="1038" t="s">
        <v>14</v>
      </c>
      <c r="AK9" s="1038" t="s">
        <v>147</v>
      </c>
      <c r="AL9" s="1038" t="s">
        <v>147</v>
      </c>
      <c r="AM9" s="1038" t="s">
        <v>147</v>
      </c>
      <c r="AN9" s="1038" t="s">
        <v>147</v>
      </c>
      <c r="AO9" s="1038" t="s">
        <v>147</v>
      </c>
    </row>
    <row r="10" spans="2:41" ht="36" customHeight="1">
      <c r="B10" s="716">
        <v>44625</v>
      </c>
      <c r="C10" s="749">
        <v>20.47</v>
      </c>
      <c r="D10" s="750">
        <v>15.22</v>
      </c>
      <c r="E10" s="750">
        <v>5.15</v>
      </c>
      <c r="F10" s="749">
        <v>3.58</v>
      </c>
      <c r="G10" s="1042">
        <f>SUM(Table252346789101110121312141215161517181920212223[[#This Row],[Jones Creek Target (Mbopd)]:[Egwa Target (Mbopd)]])</f>
        <v>44.419999999999995</v>
      </c>
      <c r="H10" s="1068">
        <v>8.4139999999999997</v>
      </c>
      <c r="I10" s="1068">
        <v>0</v>
      </c>
      <c r="J10" s="1068">
        <v>0</v>
      </c>
      <c r="K10" s="1123">
        <v>2.2360000000000002</v>
      </c>
      <c r="L10" s="1068">
        <f t="shared" si="1"/>
        <v>10.65</v>
      </c>
      <c r="M10" s="1123">
        <v>0</v>
      </c>
      <c r="N10" s="1124">
        <f>Table252346789101110121312141215161517181920212223[[#This Row],[Jones Creek Target (Mbopd)]]-Table252346789101110121312141215161517181920212223[[#This Row],[Jones Creek (Mbopd)]]</f>
        <v>12.055999999999999</v>
      </c>
      <c r="O10" s="1044">
        <f>Table252346789101110121312141215161517181920212223[[#This Row],[Odidi Target (Mbopd)]]-Table252346789101110121312141215161517181920212223[[#This Row],[Odidi (Mbopd)]]</f>
        <v>15.22</v>
      </c>
      <c r="P10" s="1044">
        <f>Table252346789101110121312141215161517181920212223[[#This Row],[Batan Target (Mbopd)]]-Table252346789101110121312141215161517181920212223[[#This Row],[Batan (Mbopd)]]</f>
        <v>5.15</v>
      </c>
      <c r="Q10" s="1044">
        <f>Table252346789101110121312141215161517181920212223[[#This Row],[Egwa Target (Mbopd)]]-Table252346789101110121312141215161517181920212223[[#This Row],[Egwa (Mbopd)]]</f>
        <v>1.3439999999999999</v>
      </c>
      <c r="R10" s="1043">
        <v>5.2888000000000002</v>
      </c>
      <c r="S10" s="1044">
        <v>0</v>
      </c>
      <c r="T10" s="1044">
        <v>0</v>
      </c>
      <c r="U10" s="1045">
        <v>2.4279999999999999</v>
      </c>
      <c r="V10" s="1165">
        <v>4.8640999999999996</v>
      </c>
      <c r="W10" s="1046">
        <v>0</v>
      </c>
      <c r="X10" s="1044">
        <v>0</v>
      </c>
      <c r="Y10" s="1045">
        <v>0</v>
      </c>
      <c r="Z10" s="1046">
        <f>+Table252346789101110121312141215161517181920212223[[#This Row],[J/C Prod gas (MMscf)]]-Table252346789101110121312141215161517181920212223[[#This Row],[J/C Utilised gas (MMscf)]]</f>
        <v>0.42470000000000052</v>
      </c>
      <c r="AA10" s="1044">
        <f>+Table252346789101110121312141215161517181920212223[[#This Row],[Odid Prod gas (MMscf)]]-Table252346789101110121312141215161517181920212223[[#This Row],[Gas Export (MMscf/d)]]</f>
        <v>0</v>
      </c>
      <c r="AB10" s="1044">
        <f>+Table252346789101110121312141215161517181920212223[[#This Row],[Batn Prod gas (MMscf)]]-Table252346789101110121312141215161517181920212223[[#This Row],[Batn Utilised gas (MMscf)]]</f>
        <v>0</v>
      </c>
      <c r="AC10" s="1045">
        <f>+Table252346789101110121312141215161517181920212223[[#This Row],[Egwa Prod gas (MMscf)]]-Table252346789101110121312141215161517181920212223[[#This Row],[Egwa Utilised gas (MMscf)]]</f>
        <v>2.4279999999999999</v>
      </c>
      <c r="AD10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7.7168000000000001</v>
      </c>
      <c r="AE10" s="1044">
        <f>+Table252346789101110121312141215161517181920212223[[#This Row],[Gas Export (MMscf/d)]]</f>
        <v>0</v>
      </c>
      <c r="AF10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4.8640999999999996</v>
      </c>
      <c r="AG10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2.8527000000000005</v>
      </c>
      <c r="AH10" s="142"/>
      <c r="AI10" s="1037"/>
      <c r="AJ10" s="1081" t="s">
        <v>148</v>
      </c>
      <c r="AK10" s="1082">
        <f>B32</f>
        <v>44647</v>
      </c>
      <c r="AL10" s="1082">
        <f>AK10+1</f>
        <v>44648</v>
      </c>
      <c r="AM10" s="1082">
        <f>AL10+1</f>
        <v>44649</v>
      </c>
      <c r="AN10" s="1082">
        <f>AM10+1</f>
        <v>44650</v>
      </c>
      <c r="AO10" s="1082">
        <f>AN10+1</f>
        <v>44651</v>
      </c>
    </row>
    <row r="11" spans="2:41" ht="21.6">
      <c r="B11" s="716">
        <v>44626</v>
      </c>
      <c r="C11" s="749">
        <v>20.47</v>
      </c>
      <c r="D11" s="750">
        <v>15.22</v>
      </c>
      <c r="E11" s="750">
        <v>5.15</v>
      </c>
      <c r="F11" s="749">
        <v>3.58</v>
      </c>
      <c r="G11" s="1042">
        <f>SUM(Table252346789101110121312141215161517181920212223[[#This Row],[Jones Creek Target (Mbopd)]:[Egwa Target (Mbopd)]])</f>
        <v>44.419999999999995</v>
      </c>
      <c r="H11" s="1068">
        <v>16.77</v>
      </c>
      <c r="I11" s="1068">
        <v>0</v>
      </c>
      <c r="J11" s="1068">
        <v>0</v>
      </c>
      <c r="K11" s="1123">
        <v>2.2690000000000001</v>
      </c>
      <c r="L11" s="1068">
        <f t="shared" si="1"/>
        <v>19.039000000000001</v>
      </c>
      <c r="M11" s="1123">
        <v>0</v>
      </c>
      <c r="N11" s="1124">
        <f>Table252346789101110121312141215161517181920212223[[#This Row],[Jones Creek Target (Mbopd)]]-Table252346789101110121312141215161517181920212223[[#This Row],[Jones Creek (Mbopd)]]</f>
        <v>3.6999999999999993</v>
      </c>
      <c r="O11" s="1044">
        <f>Table252346789101110121312141215161517181920212223[[#This Row],[Odidi Target (Mbopd)]]-Table252346789101110121312141215161517181920212223[[#This Row],[Odidi (Mbopd)]]</f>
        <v>15.22</v>
      </c>
      <c r="P11" s="1044">
        <f>Table252346789101110121312141215161517181920212223[[#This Row],[Batan Target (Mbopd)]]-Table252346789101110121312141215161517181920212223[[#This Row],[Batan (Mbopd)]]</f>
        <v>5.15</v>
      </c>
      <c r="Q11" s="1044">
        <f>Table252346789101110121312141215161517181920212223[[#This Row],[Egwa Target (Mbopd)]]-Table252346789101110121312141215161517181920212223[[#This Row],[Egwa (Mbopd)]]</f>
        <v>1.3109999999999999</v>
      </c>
      <c r="R11" s="1043">
        <v>7.9</v>
      </c>
      <c r="S11" s="1044">
        <v>0</v>
      </c>
      <c r="T11" s="1044">
        <v>0</v>
      </c>
      <c r="U11" s="1045">
        <v>2.4500000000000002</v>
      </c>
      <c r="V11" s="1046">
        <v>0.84</v>
      </c>
      <c r="W11" s="1046">
        <v>0</v>
      </c>
      <c r="X11" s="1044">
        <v>0</v>
      </c>
      <c r="Y11" s="1045">
        <v>0</v>
      </c>
      <c r="Z11" s="1046">
        <f>+Table252346789101110121312141215161517181920212223[[#This Row],[J/C Prod gas (MMscf)]]-Table252346789101110121312141215161517181920212223[[#This Row],[J/C Utilised gas (MMscf)]]</f>
        <v>7.0600000000000005</v>
      </c>
      <c r="AA11" s="1044">
        <f>+Table252346789101110121312141215161517181920212223[[#This Row],[Odid Prod gas (MMscf)]]-Table252346789101110121312141215161517181920212223[[#This Row],[Gas Export (MMscf/d)]]</f>
        <v>0</v>
      </c>
      <c r="AB11" s="1044">
        <f>+Table252346789101110121312141215161517181920212223[[#This Row],[Batn Prod gas (MMscf)]]-Table252346789101110121312141215161517181920212223[[#This Row],[Batn Utilised gas (MMscf)]]</f>
        <v>0</v>
      </c>
      <c r="AC11" s="1045">
        <f>+Table252346789101110121312141215161517181920212223[[#This Row],[Egwa Prod gas (MMscf)]]-Table252346789101110121312141215161517181920212223[[#This Row],[Egwa Utilised gas (MMscf)]]</f>
        <v>2.4500000000000002</v>
      </c>
      <c r="AD11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10.350000000000001</v>
      </c>
      <c r="AE11" s="1044">
        <f>+Table252346789101110121312141215161517181920212223[[#This Row],[Gas Export (MMscf/d)]]</f>
        <v>0</v>
      </c>
      <c r="AF11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11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9.5100000000000016</v>
      </c>
      <c r="AH11" s="142"/>
      <c r="AI11" s="1080" t="s">
        <v>17</v>
      </c>
      <c r="AJ11" s="1125">
        <v>20.47</v>
      </c>
      <c r="AK11" s="1044">
        <v>2.62</v>
      </c>
      <c r="AL11" s="1044">
        <v>5.8639999999999999</v>
      </c>
      <c r="AM11" s="1044">
        <v>14.375999999999999</v>
      </c>
      <c r="AN11" s="1044">
        <v>14.638</v>
      </c>
      <c r="AO11" s="1173">
        <v>14.638</v>
      </c>
    </row>
    <row r="12" spans="2:41" ht="21.6">
      <c r="B12" s="716">
        <v>44627</v>
      </c>
      <c r="C12" s="749">
        <v>20.47</v>
      </c>
      <c r="D12" s="750">
        <v>15.22</v>
      </c>
      <c r="E12" s="750">
        <v>5.15</v>
      </c>
      <c r="F12" s="749">
        <v>3.58</v>
      </c>
      <c r="G12" s="1042">
        <f>SUM(Table252346789101110121312141215161517181920212223[[#This Row],[Jones Creek Target (Mbopd)]:[Egwa Target (Mbopd)]])</f>
        <v>44.419999999999995</v>
      </c>
      <c r="H12" s="1068">
        <v>15.769</v>
      </c>
      <c r="I12" s="1068">
        <v>0</v>
      </c>
      <c r="J12" s="1068">
        <v>0</v>
      </c>
      <c r="K12" s="1123">
        <v>2.2629999999999999</v>
      </c>
      <c r="L12" s="1068">
        <f t="shared" ref="L12:L36" si="2">H12+I12+J12+K12</f>
        <v>18.032</v>
      </c>
      <c r="M12" s="1123">
        <v>0</v>
      </c>
      <c r="N12" s="1124">
        <f>Table252346789101110121312141215161517181920212223[[#This Row],[Jones Creek Target (Mbopd)]]-Table252346789101110121312141215161517181920212223[[#This Row],[Jones Creek (Mbopd)]]</f>
        <v>4.7009999999999987</v>
      </c>
      <c r="O12" s="1044">
        <f>Table252346789101110121312141215161517181920212223[[#This Row],[Odidi Target (Mbopd)]]-Table252346789101110121312141215161517181920212223[[#This Row],[Odidi (Mbopd)]]</f>
        <v>15.22</v>
      </c>
      <c r="P12" s="1044">
        <f>Table252346789101110121312141215161517181920212223[[#This Row],[Batan Target (Mbopd)]]-Table252346789101110121312141215161517181920212223[[#This Row],[Batan (Mbopd)]]</f>
        <v>5.15</v>
      </c>
      <c r="Q12" s="1044">
        <f>Table252346789101110121312141215161517181920212223[[#This Row],[Egwa Target (Mbopd)]]-Table252346789101110121312141215161517181920212223[[#This Row],[Egwa (Mbopd)]]</f>
        <v>1.3170000000000002</v>
      </c>
      <c r="R12" s="1043">
        <v>5.52</v>
      </c>
      <c r="S12" s="1044">
        <v>0</v>
      </c>
      <c r="T12" s="1044">
        <v>0</v>
      </c>
      <c r="U12" s="1045">
        <v>2.44</v>
      </c>
      <c r="V12" s="1046">
        <v>0.84</v>
      </c>
      <c r="W12" s="1046">
        <v>0</v>
      </c>
      <c r="X12" s="1044">
        <v>0</v>
      </c>
      <c r="Y12" s="1045">
        <v>0</v>
      </c>
      <c r="Z12" s="1046">
        <f>+Table252346789101110121312141215161517181920212223[[#This Row],[J/C Prod gas (MMscf)]]-Table252346789101110121312141215161517181920212223[[#This Row],[J/C Utilised gas (MMscf)]]</f>
        <v>4.68</v>
      </c>
      <c r="AA12" s="1044">
        <f>+Table252346789101110121312141215161517181920212223[[#This Row],[Odid Prod gas (MMscf)]]-Table252346789101110121312141215161517181920212223[[#This Row],[Gas Export (MMscf/d)]]</f>
        <v>0</v>
      </c>
      <c r="AB12" s="1044">
        <f>+Table252346789101110121312141215161517181920212223[[#This Row],[Batn Prod gas (MMscf)]]-Table252346789101110121312141215161517181920212223[[#This Row],[Batn Utilised gas (MMscf)]]</f>
        <v>0</v>
      </c>
      <c r="AC12" s="1045">
        <f>+Table252346789101110121312141215161517181920212223[[#This Row],[Egwa Prod gas (MMscf)]]-Table252346789101110121312141215161517181920212223[[#This Row],[Egwa Utilised gas (MMscf)]]</f>
        <v>2.44</v>
      </c>
      <c r="AD12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7.9599999999999991</v>
      </c>
      <c r="AE12" s="1044">
        <f>+Table252346789101110121312141215161517181920212223[[#This Row],[Gas Export (MMscf/d)]]</f>
        <v>0</v>
      </c>
      <c r="AF12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12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7.1199999999999992</v>
      </c>
      <c r="AI12" s="1080" t="s">
        <v>19</v>
      </c>
      <c r="AJ12" s="1125">
        <v>15.22</v>
      </c>
      <c r="AK12" s="1044">
        <v>0</v>
      </c>
      <c r="AL12" s="1044">
        <v>0</v>
      </c>
      <c r="AM12" s="1044">
        <v>10.329000000000001</v>
      </c>
      <c r="AN12" s="1044">
        <v>11.715</v>
      </c>
      <c r="AO12" s="1044">
        <v>11.558</v>
      </c>
    </row>
    <row r="13" spans="2:41" ht="21.6">
      <c r="B13" s="716">
        <v>44628</v>
      </c>
      <c r="C13" s="749">
        <v>20.47</v>
      </c>
      <c r="D13" s="750">
        <v>15.22</v>
      </c>
      <c r="E13" s="750">
        <v>5.15</v>
      </c>
      <c r="F13" s="749">
        <v>3.58</v>
      </c>
      <c r="G13" s="1042">
        <f>SUM(Table252346789101110121312141215161517181920212223[[#This Row],[Jones Creek Target (Mbopd)]:[Egwa Target (Mbopd)]])</f>
        <v>44.419999999999995</v>
      </c>
      <c r="H13" s="1068">
        <v>17.271000000000001</v>
      </c>
      <c r="I13" s="1068">
        <v>0</v>
      </c>
      <c r="J13" s="1068">
        <v>0</v>
      </c>
      <c r="K13" s="1123">
        <v>2.2669999999999999</v>
      </c>
      <c r="L13" s="1068">
        <f t="shared" si="2"/>
        <v>19.538</v>
      </c>
      <c r="M13" s="1123">
        <v>0</v>
      </c>
      <c r="N13" s="1124">
        <f>Table252346789101110121312141215161517181920212223[[#This Row],[Jones Creek Target (Mbopd)]]-Table252346789101110121312141215161517181920212223[[#This Row],[Jones Creek (Mbopd)]]</f>
        <v>3.1989999999999981</v>
      </c>
      <c r="O13" s="1044">
        <f>Table252346789101110121312141215161517181920212223[[#This Row],[Odidi Target (Mbopd)]]-Table252346789101110121312141215161517181920212223[[#This Row],[Odidi (Mbopd)]]</f>
        <v>15.22</v>
      </c>
      <c r="P13" s="1044">
        <f>Table252346789101110121312141215161517181920212223[[#This Row],[Batan Target (Mbopd)]]-Table252346789101110121312141215161517181920212223[[#This Row],[Batan (Mbopd)]]</f>
        <v>5.15</v>
      </c>
      <c r="Q13" s="1044">
        <f>Table252346789101110121312141215161517181920212223[[#This Row],[Egwa Target (Mbopd)]]-Table252346789101110121312141215161517181920212223[[#This Row],[Egwa (Mbopd)]]</f>
        <v>1.3130000000000002</v>
      </c>
      <c r="R13" s="1043">
        <v>5.52</v>
      </c>
      <c r="S13" s="1044">
        <v>0</v>
      </c>
      <c r="T13" s="1044">
        <v>0</v>
      </c>
      <c r="U13" s="1045">
        <v>2.46</v>
      </c>
      <c r="V13" s="1046">
        <v>0.84</v>
      </c>
      <c r="W13" s="1046">
        <v>0</v>
      </c>
      <c r="X13" s="1044">
        <v>0</v>
      </c>
      <c r="Y13" s="1045">
        <v>0</v>
      </c>
      <c r="Z13" s="1046">
        <f>+Table252346789101110121312141215161517181920212223[[#This Row],[J/C Prod gas (MMscf)]]-Table252346789101110121312141215161517181920212223[[#This Row],[J/C Utilised gas (MMscf)]]</f>
        <v>4.68</v>
      </c>
      <c r="AA13" s="1044">
        <f>+Table252346789101110121312141215161517181920212223[[#This Row],[Odid Prod gas (MMscf)]]-Table252346789101110121312141215161517181920212223[[#This Row],[Gas Export (MMscf/d)]]</f>
        <v>0</v>
      </c>
      <c r="AB13" s="1044">
        <f>+Table252346789101110121312141215161517181920212223[[#This Row],[Batn Prod gas (MMscf)]]-Table252346789101110121312141215161517181920212223[[#This Row],[Batn Utilised gas (MMscf)]]</f>
        <v>0</v>
      </c>
      <c r="AC13" s="1045">
        <f>+Table252346789101110121312141215161517181920212223[[#This Row],[Egwa Prod gas (MMscf)]]-Table252346789101110121312141215161517181920212223[[#This Row],[Egwa Utilised gas (MMscf)]]</f>
        <v>2.46</v>
      </c>
      <c r="AD13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7.9799999999999995</v>
      </c>
      <c r="AE13" s="1044">
        <f>+Table252346789101110121312141215161517181920212223[[#This Row],[Gas Export (MMscf/d)]]</f>
        <v>0</v>
      </c>
      <c r="AF13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13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7.14</v>
      </c>
      <c r="AI13" s="1080" t="s">
        <v>16</v>
      </c>
      <c r="AJ13" s="1125">
        <v>5.15</v>
      </c>
      <c r="AK13" s="1044">
        <v>1.4773000000000001</v>
      </c>
      <c r="AL13" s="1044">
        <v>3.0000000000000001E-3</v>
      </c>
      <c r="AM13" s="1044">
        <v>3.0000000000000001E-3</v>
      </c>
      <c r="AN13" s="1044">
        <v>3.0000000000000001E-3</v>
      </c>
      <c r="AO13" s="1044">
        <v>3.1560000000000001</v>
      </c>
    </row>
    <row r="14" spans="2:41" ht="21.6">
      <c r="B14" s="716">
        <v>44629</v>
      </c>
      <c r="C14" s="749">
        <v>20.47</v>
      </c>
      <c r="D14" s="750">
        <v>15.22</v>
      </c>
      <c r="E14" s="750">
        <v>5.15</v>
      </c>
      <c r="F14" s="749">
        <v>3.58</v>
      </c>
      <c r="G14" s="1042">
        <f>SUM(Table252346789101110121312141215161517181920212223[[#This Row],[Jones Creek Target (Mbopd)]:[Egwa Target (Mbopd)]])</f>
        <v>44.419999999999995</v>
      </c>
      <c r="H14" s="1068">
        <v>15.414999999999999</v>
      </c>
      <c r="I14" s="1068">
        <v>0</v>
      </c>
      <c r="J14" s="1068">
        <v>0</v>
      </c>
      <c r="K14" s="1123">
        <v>2.2709999999999999</v>
      </c>
      <c r="L14" s="1068">
        <f t="shared" si="2"/>
        <v>17.686</v>
      </c>
      <c r="M14" s="1123">
        <v>0</v>
      </c>
      <c r="N14" s="1124">
        <f>Table252346789101110121312141215161517181920212223[[#This Row],[Jones Creek Target (Mbopd)]]-Table252346789101110121312141215161517181920212223[[#This Row],[Jones Creek (Mbopd)]]</f>
        <v>5.0549999999999997</v>
      </c>
      <c r="O14" s="1044">
        <f>Table252346789101110121312141215161517181920212223[[#This Row],[Odidi Target (Mbopd)]]-Table252346789101110121312141215161517181920212223[[#This Row],[Odidi (Mbopd)]]</f>
        <v>15.22</v>
      </c>
      <c r="P14" s="1044">
        <f>Table252346789101110121312141215161517181920212223[[#This Row],[Batan Target (Mbopd)]]-Table252346789101110121312141215161517181920212223[[#This Row],[Batan (Mbopd)]]</f>
        <v>5.15</v>
      </c>
      <c r="Q14" s="1044">
        <f>Table252346789101110121312141215161517181920212223[[#This Row],[Egwa Target (Mbopd)]]-Table252346789101110121312141215161517181920212223[[#This Row],[Egwa (Mbopd)]]</f>
        <v>1.3090000000000002</v>
      </c>
      <c r="R14" s="1043">
        <v>5.52</v>
      </c>
      <c r="S14" s="1044">
        <v>0</v>
      </c>
      <c r="T14" s="1044">
        <v>0</v>
      </c>
      <c r="U14" s="1128">
        <v>2.4700000000000002</v>
      </c>
      <c r="V14" s="1046">
        <v>0.84</v>
      </c>
      <c r="W14" s="1046">
        <v>0</v>
      </c>
      <c r="X14" s="1044">
        <v>0</v>
      </c>
      <c r="Y14" s="1045">
        <v>0</v>
      </c>
      <c r="Z14" s="1046">
        <f>+Table252346789101110121312141215161517181920212223[[#This Row],[J/C Prod gas (MMscf)]]-Table252346789101110121312141215161517181920212223[[#This Row],[J/C Utilised gas (MMscf)]]</f>
        <v>4.68</v>
      </c>
      <c r="AA14" s="1044">
        <f>+Table252346789101110121312141215161517181920212223[[#This Row],[Odid Prod gas (MMscf)]]-Table252346789101110121312141215161517181920212223[[#This Row],[Gas Export (MMscf/d)]]</f>
        <v>0</v>
      </c>
      <c r="AB14" s="1044">
        <f>+Table252346789101110121312141215161517181920212223[[#This Row],[Batn Prod gas (MMscf)]]-Table252346789101110121312141215161517181920212223[[#This Row],[Batn Utilised gas (MMscf)]]</f>
        <v>0</v>
      </c>
      <c r="AC14" s="1045">
        <f>+Table252346789101110121312141215161517181920212223[[#This Row],[Egwa Prod gas (MMscf)]]-Table252346789101110121312141215161517181920212223[[#This Row],[Egwa Utilised gas (MMscf)]]</f>
        <v>2.4700000000000002</v>
      </c>
      <c r="AD14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7.99</v>
      </c>
      <c r="AE14" s="1044">
        <f>+Table252346789101110121312141215161517181920212223[[#This Row],[Gas Export (MMscf/d)]]</f>
        <v>0</v>
      </c>
      <c r="AF14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14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7.15</v>
      </c>
      <c r="AI14" s="1080" t="s">
        <v>18</v>
      </c>
      <c r="AJ14" s="1125">
        <v>3.58</v>
      </c>
      <c r="AK14" s="1044">
        <v>0</v>
      </c>
      <c r="AL14" s="1044">
        <v>0</v>
      </c>
      <c r="AM14" s="1044">
        <v>0</v>
      </c>
      <c r="AN14" s="1044">
        <v>0</v>
      </c>
      <c r="AO14" s="1075">
        <v>0</v>
      </c>
    </row>
    <row r="15" spans="2:41" ht="21.6">
      <c r="B15" s="716">
        <v>44630</v>
      </c>
      <c r="C15" s="749">
        <v>20.47</v>
      </c>
      <c r="D15" s="750">
        <v>15.22</v>
      </c>
      <c r="E15" s="750">
        <v>5.15</v>
      </c>
      <c r="F15" s="749">
        <v>3.58</v>
      </c>
      <c r="G15" s="1042">
        <f>SUM(Table252346789101110121312141215161517181920212223[[#This Row],[Jones Creek Target (Mbopd)]:[Egwa Target (Mbopd)]])</f>
        <v>44.419999999999995</v>
      </c>
      <c r="H15" s="1068">
        <v>16.54955</v>
      </c>
      <c r="I15" s="1068">
        <v>6.7809999999999997</v>
      </c>
      <c r="J15" s="1068">
        <v>0</v>
      </c>
      <c r="K15" s="1123">
        <v>2.2629999999999999</v>
      </c>
      <c r="L15" s="1068">
        <f t="shared" si="2"/>
        <v>25.59355</v>
      </c>
      <c r="M15" s="1123">
        <v>0</v>
      </c>
      <c r="N15" s="1124">
        <f>Table252346789101110121312141215161517181920212223[[#This Row],[Jones Creek Target (Mbopd)]]-Table252346789101110121312141215161517181920212223[[#This Row],[Jones Creek (Mbopd)]]</f>
        <v>3.9204499999999989</v>
      </c>
      <c r="O15" s="1044">
        <f>Table252346789101110121312141215161517181920212223[[#This Row],[Odidi Target (Mbopd)]]-Table252346789101110121312141215161517181920212223[[#This Row],[Odidi (Mbopd)]]</f>
        <v>8.4390000000000001</v>
      </c>
      <c r="P15" s="1044">
        <f>Table252346789101110121312141215161517181920212223[[#This Row],[Batan Target (Mbopd)]]-Table252346789101110121312141215161517181920212223[[#This Row],[Batan (Mbopd)]]</f>
        <v>5.15</v>
      </c>
      <c r="Q15" s="1044">
        <f>Table252346789101110121312141215161517181920212223[[#This Row],[Egwa Target (Mbopd)]]-Table252346789101110121312141215161517181920212223[[#This Row],[Egwa (Mbopd)]]</f>
        <v>1.3170000000000002</v>
      </c>
      <c r="R15" s="1043">
        <v>5.52</v>
      </c>
      <c r="S15" s="1127">
        <v>7.06</v>
      </c>
      <c r="T15" s="1044">
        <v>0</v>
      </c>
      <c r="U15" s="1045">
        <v>2.48</v>
      </c>
      <c r="V15" s="1046">
        <v>0.84</v>
      </c>
      <c r="W15" s="1046">
        <v>0</v>
      </c>
      <c r="X15" s="1044">
        <v>0</v>
      </c>
      <c r="Y15" s="1045">
        <v>0</v>
      </c>
      <c r="Z15" s="1046">
        <f>+Table252346789101110121312141215161517181920212223[[#This Row],[J/C Prod gas (MMscf)]]-Table252346789101110121312141215161517181920212223[[#This Row],[J/C Utilised gas (MMscf)]]</f>
        <v>4.68</v>
      </c>
      <c r="AA15" s="1044">
        <f>+Table252346789101110121312141215161517181920212223[[#This Row],[Odid Prod gas (MMscf)]]-Table252346789101110121312141215161517181920212223[[#This Row],[Gas Export (MMscf/d)]]</f>
        <v>7.06</v>
      </c>
      <c r="AB15" s="1044">
        <f>+Table252346789101110121312141215161517181920212223[[#This Row],[Batn Prod gas (MMscf)]]-Table252346789101110121312141215161517181920212223[[#This Row],[Batn Utilised gas (MMscf)]]</f>
        <v>0</v>
      </c>
      <c r="AC15" s="1045">
        <f>+Table252346789101110121312141215161517181920212223[[#This Row],[Egwa Prod gas (MMscf)]]-Table252346789101110121312141215161517181920212223[[#This Row],[Egwa Utilised gas (MMscf)]]</f>
        <v>2.48</v>
      </c>
      <c r="AD15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15.059999999999999</v>
      </c>
      <c r="AE15" s="1044">
        <f>+Table252346789101110121312141215161517181920212223[[#This Row],[Gas Export (MMscf/d)]]</f>
        <v>0</v>
      </c>
      <c r="AF15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15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14.219999999999999</v>
      </c>
      <c r="AI15" s="1080" t="s">
        <v>447</v>
      </c>
      <c r="AJ15" s="1129">
        <f>SUM(AJ11:AJ14)</f>
        <v>44.419999999999995</v>
      </c>
      <c r="AK15" s="1143">
        <v>4.0973000000000006</v>
      </c>
      <c r="AL15" s="1143">
        <v>5.867</v>
      </c>
      <c r="AM15" s="1143">
        <v>24.707999999999998</v>
      </c>
      <c r="AN15" s="1143">
        <v>26.356000000000002</v>
      </c>
      <c r="AO15" s="1044">
        <f>AO11+AO12+AO13+AO14</f>
        <v>29.351999999999997</v>
      </c>
    </row>
    <row r="16" spans="2:41" ht="21.6">
      <c r="B16" s="716">
        <v>44631</v>
      </c>
      <c r="C16" s="749">
        <v>20.47</v>
      </c>
      <c r="D16" s="750">
        <v>15.22</v>
      </c>
      <c r="E16" s="750">
        <v>5.15</v>
      </c>
      <c r="F16" s="749">
        <v>3.58</v>
      </c>
      <c r="G16" s="1042">
        <f>SUM(Table252346789101110121312141215161517181920212223[[#This Row],[Jones Creek Target (Mbopd)]:[Egwa Target (Mbopd)]])</f>
        <v>44.419999999999995</v>
      </c>
      <c r="H16" s="1068">
        <v>0.41827999999999999</v>
      </c>
      <c r="I16" s="1068">
        <v>10.382999999999999</v>
      </c>
      <c r="J16" s="1042">
        <v>0</v>
      </c>
      <c r="K16" s="1123">
        <v>2.2648899999999998</v>
      </c>
      <c r="L16" s="1068">
        <f t="shared" si="2"/>
        <v>13.066169999999998</v>
      </c>
      <c r="M16" s="1123">
        <v>0</v>
      </c>
      <c r="N16" s="1124">
        <f>Table252346789101110121312141215161517181920212223[[#This Row],[Jones Creek Target (Mbopd)]]-Table252346789101110121312141215161517181920212223[[#This Row],[Jones Creek (Mbopd)]]</f>
        <v>20.05172</v>
      </c>
      <c r="O16" s="1044">
        <f>Table252346789101110121312141215161517181920212223[[#This Row],[Odidi Target (Mbopd)]]-Table252346789101110121312141215161517181920212223[[#This Row],[Odidi (Mbopd)]]</f>
        <v>4.8370000000000015</v>
      </c>
      <c r="P16" s="1044">
        <f>Table252346789101110121312141215161517181920212223[[#This Row],[Batan Target (Mbopd)]]-Table252346789101110121312141215161517181920212223[[#This Row],[Batan (Mbopd)]]</f>
        <v>5.15</v>
      </c>
      <c r="Q16" s="1044">
        <f>Table252346789101110121312141215161517181920212223[[#This Row],[Egwa Target (Mbopd)]]-Table252346789101110121312141215161517181920212223[[#This Row],[Egwa (Mbopd)]]</f>
        <v>1.3151100000000002</v>
      </c>
      <c r="R16" s="1043">
        <v>0.30170000000000002</v>
      </c>
      <c r="S16" s="1044">
        <v>15.01</v>
      </c>
      <c r="T16" s="1044">
        <v>0</v>
      </c>
      <c r="U16" s="1045">
        <v>2.5099999999999998</v>
      </c>
      <c r="V16" s="1046">
        <v>4.6699999999999998E-2</v>
      </c>
      <c r="W16" s="1044">
        <v>0</v>
      </c>
      <c r="X16" s="1044">
        <v>0</v>
      </c>
      <c r="Y16" s="1045">
        <v>0</v>
      </c>
      <c r="Z16" s="1046">
        <f>+Table252346789101110121312141215161517181920212223[[#This Row],[J/C Prod gas (MMscf)]]-Table252346789101110121312141215161517181920212223[[#This Row],[J/C Utilised gas (MMscf)]]</f>
        <v>0.255</v>
      </c>
      <c r="AA16" s="1044">
        <f>+Table252346789101110121312141215161517181920212223[[#This Row],[Odid Prod gas (MMscf)]]-Table252346789101110121312141215161517181920212223[[#This Row],[Gas Export (MMscf/d)]]</f>
        <v>15.01</v>
      </c>
      <c r="AB16" s="1044">
        <f>+Table252346789101110121312141215161517181920212223[[#This Row],[Batn Prod gas (MMscf)]]-Table252346789101110121312141215161517181920212223[[#This Row],[Batn Utilised gas (MMscf)]]</f>
        <v>0</v>
      </c>
      <c r="AC16" s="1045">
        <f>+Table252346789101110121312141215161517181920212223[[#This Row],[Egwa Prod gas (MMscf)]]-Table252346789101110121312141215161517181920212223[[#This Row],[Egwa Utilised gas (MMscf)]]</f>
        <v>2.5099999999999998</v>
      </c>
      <c r="AD16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17.8217</v>
      </c>
      <c r="AE16" s="1044">
        <f>+Table252346789101110121312141215161517181920212223[[#This Row],[Gas Export (MMscf/d)]]</f>
        <v>0</v>
      </c>
      <c r="AF16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4.6699999999999998E-2</v>
      </c>
      <c r="AG16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17.774999999999999</v>
      </c>
      <c r="AI16" s="1080" t="s">
        <v>448</v>
      </c>
      <c r="AJ16" s="1129">
        <v>26</v>
      </c>
      <c r="AK16" s="1044">
        <v>0</v>
      </c>
      <c r="AL16" s="1044">
        <v>0</v>
      </c>
      <c r="AM16" s="1044">
        <v>0</v>
      </c>
      <c r="AN16" s="1044">
        <v>0</v>
      </c>
      <c r="AO16" s="1088">
        <v>0.54500000000000004</v>
      </c>
    </row>
    <row r="17" spans="2:35" ht="21.6">
      <c r="B17" s="716">
        <v>44632</v>
      </c>
      <c r="C17" s="749">
        <v>20.47</v>
      </c>
      <c r="D17" s="750">
        <v>15.22</v>
      </c>
      <c r="E17" s="750">
        <v>5.15</v>
      </c>
      <c r="F17" s="749">
        <v>3.58</v>
      </c>
      <c r="G17" s="1042">
        <f>SUM(Table252346789101110121312141215161517181920212223[[#This Row],[Jones Creek Target (Mbopd)]:[Egwa Target (Mbopd)]])</f>
        <v>44.419999999999995</v>
      </c>
      <c r="H17" s="1068">
        <v>0</v>
      </c>
      <c r="I17" s="1068">
        <v>9.0570000000000004</v>
      </c>
      <c r="J17" s="1068">
        <v>0</v>
      </c>
      <c r="K17" s="1126">
        <v>2.2624499999999999</v>
      </c>
      <c r="L17" s="1042">
        <f t="shared" si="2"/>
        <v>11.31945</v>
      </c>
      <c r="M17" s="1126">
        <v>0</v>
      </c>
      <c r="N17" s="1124">
        <f>Table252346789101110121312141215161517181920212223[[#This Row],[Jones Creek Target (Mbopd)]]-Table252346789101110121312141215161517181920212223[[#This Row],[Jones Creek (Mbopd)]]</f>
        <v>20.47</v>
      </c>
      <c r="O17" s="1044">
        <f>Table252346789101110121312141215161517181920212223[[#This Row],[Odidi Target (Mbopd)]]-Table252346789101110121312141215161517181920212223[[#This Row],[Odidi (Mbopd)]]</f>
        <v>6.1630000000000003</v>
      </c>
      <c r="P17" s="1044">
        <f>Table252346789101110121312141215161517181920212223[[#This Row],[Batan Target (Mbopd)]]-Table252346789101110121312141215161517181920212223[[#This Row],[Batan (Mbopd)]]</f>
        <v>5.15</v>
      </c>
      <c r="Q17" s="1044">
        <f>Table252346789101110121312141215161517181920212223[[#This Row],[Egwa Target (Mbopd)]]-Table252346789101110121312141215161517181920212223[[#This Row],[Egwa (Mbopd)]]</f>
        <v>1.3175500000000002</v>
      </c>
      <c r="R17" s="1044">
        <v>0</v>
      </c>
      <c r="S17" s="1044">
        <v>15.88</v>
      </c>
      <c r="T17" s="1044">
        <v>0</v>
      </c>
      <c r="U17" s="1045">
        <v>2.52</v>
      </c>
      <c r="V17" s="1045">
        <v>0</v>
      </c>
      <c r="W17" s="1044">
        <v>0</v>
      </c>
      <c r="X17" s="1044">
        <v>0</v>
      </c>
      <c r="Y17" s="1045">
        <v>0</v>
      </c>
      <c r="Z17" s="1046">
        <f>+Table252346789101110121312141215161517181920212223[[#This Row],[J/C Prod gas (MMscf)]]-Table252346789101110121312141215161517181920212223[[#This Row],[J/C Utilised gas (MMscf)]]</f>
        <v>0</v>
      </c>
      <c r="AA17" s="1044">
        <f>+Table252346789101110121312141215161517181920212223[[#This Row],[Odid Prod gas (MMscf)]]-Table252346789101110121312141215161517181920212223[[#This Row],[Gas Export (MMscf/d)]]</f>
        <v>15.88</v>
      </c>
      <c r="AB17" s="1044">
        <f>+Table252346789101110121312141215161517181920212223[[#This Row],[Batn Prod gas (MMscf)]]-Table252346789101110121312141215161517181920212223[[#This Row],[Batn Utilised gas (MMscf)]]</f>
        <v>0</v>
      </c>
      <c r="AC17" s="1045">
        <f>+Table252346789101110121312141215161517181920212223[[#This Row],[Egwa Prod gas (MMscf)]]-Table252346789101110121312141215161517181920212223[[#This Row],[Egwa Utilised gas (MMscf)]]</f>
        <v>2.52</v>
      </c>
      <c r="AD17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18.400000000000002</v>
      </c>
      <c r="AE17" s="1044">
        <f>+Table252346789101110121312141215161517181920212223[[#This Row],[Gas Export (MMscf/d)]]</f>
        <v>0</v>
      </c>
      <c r="AF17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</v>
      </c>
      <c r="AG17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18.400000000000002</v>
      </c>
      <c r="AI17" s="142"/>
    </row>
    <row r="18" spans="2:35" ht="21.6">
      <c r="B18" s="716">
        <v>44633</v>
      </c>
      <c r="C18" s="749">
        <v>20.47</v>
      </c>
      <c r="D18" s="750">
        <v>15.22</v>
      </c>
      <c r="E18" s="750">
        <v>5.15</v>
      </c>
      <c r="F18" s="749">
        <v>3.58</v>
      </c>
      <c r="G18" s="1042">
        <f>SUM(Table252346789101110121312141215161517181920212223[[#This Row],[Jones Creek Target (Mbopd)]:[Egwa Target (Mbopd)]])</f>
        <v>44.419999999999995</v>
      </c>
      <c r="H18" s="1068">
        <v>0</v>
      </c>
      <c r="I18" s="1068">
        <v>10.39</v>
      </c>
      <c r="J18" s="1068">
        <v>0</v>
      </c>
      <c r="K18" s="1126">
        <v>0.71</v>
      </c>
      <c r="L18" s="1042">
        <f t="shared" si="2"/>
        <v>11.100000000000001</v>
      </c>
      <c r="M18" s="1126">
        <v>0</v>
      </c>
      <c r="N18" s="1124">
        <f>Table252346789101110121312141215161517181920212223[[#This Row],[Jones Creek Target (Mbopd)]]-Table252346789101110121312141215161517181920212223[[#This Row],[Jones Creek (Mbopd)]]</f>
        <v>20.47</v>
      </c>
      <c r="O18" s="1044">
        <f>Table252346789101110121312141215161517181920212223[[#This Row],[Odidi Target (Mbopd)]]-Table252346789101110121312141215161517181920212223[[#This Row],[Odidi (Mbopd)]]</f>
        <v>4.83</v>
      </c>
      <c r="P18" s="1044">
        <f>Table252346789101110121312141215161517181920212223[[#This Row],[Batan Target (Mbopd)]]-Table252346789101110121312141215161517181920212223[[#This Row],[Batan (Mbopd)]]</f>
        <v>5.15</v>
      </c>
      <c r="Q18" s="1044">
        <f>Table252346789101110121312141215161517181920212223[[#This Row],[Egwa Target (Mbopd)]]-Table252346789101110121312141215161517181920212223[[#This Row],[Egwa (Mbopd)]]</f>
        <v>2.87</v>
      </c>
      <c r="R18" s="1043">
        <v>0</v>
      </c>
      <c r="S18" s="1044">
        <v>21.17</v>
      </c>
      <c r="T18" s="1044">
        <v>0</v>
      </c>
      <c r="U18" s="1045">
        <v>0.77</v>
      </c>
      <c r="V18" s="1045">
        <v>0</v>
      </c>
      <c r="W18" s="1044">
        <v>0</v>
      </c>
      <c r="X18" s="1044">
        <v>0</v>
      </c>
      <c r="Y18" s="1045">
        <v>0</v>
      </c>
      <c r="Z18" s="1046">
        <f>+Table252346789101110121312141215161517181920212223[[#This Row],[J/C Prod gas (MMscf)]]-Table252346789101110121312141215161517181920212223[[#This Row],[J/C Utilised gas (MMscf)]]</f>
        <v>0</v>
      </c>
      <c r="AA18" s="1044">
        <f>+Table252346789101110121312141215161517181920212223[[#This Row],[Odid Prod gas (MMscf)]]-Table252346789101110121312141215161517181920212223[[#This Row],[Gas Export (MMscf/d)]]</f>
        <v>21.17</v>
      </c>
      <c r="AB18" s="1044">
        <f>+Table252346789101110121312141215161517181920212223[[#This Row],[Batn Prod gas (MMscf)]]-Table252346789101110121312141215161517181920212223[[#This Row],[Batn Utilised gas (MMscf)]]</f>
        <v>0</v>
      </c>
      <c r="AC18" s="1045">
        <f>+Table252346789101110121312141215161517181920212223[[#This Row],[Egwa Prod gas (MMscf)]]-Table252346789101110121312141215161517181920212223[[#This Row],[Egwa Utilised gas (MMscf)]]</f>
        <v>0.77</v>
      </c>
      <c r="AD18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21.94</v>
      </c>
      <c r="AE18" s="1044">
        <f>+Table252346789101110121312141215161517181920212223[[#This Row],[Gas Export (MMscf/d)]]</f>
        <v>0</v>
      </c>
      <c r="AF18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</v>
      </c>
      <c r="AG18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21.94</v>
      </c>
      <c r="AI18" s="242"/>
    </row>
    <row r="19" spans="2:35" ht="21.6">
      <c r="B19" s="716">
        <v>44634</v>
      </c>
      <c r="C19" s="749">
        <v>20.47</v>
      </c>
      <c r="D19" s="750">
        <v>15.22</v>
      </c>
      <c r="E19" s="750">
        <v>5.15</v>
      </c>
      <c r="F19" s="749">
        <v>3.58</v>
      </c>
      <c r="G19" s="1042">
        <f>SUM(Table252346789101110121312141215161517181920212223[[#This Row],[Jones Creek Target (Mbopd)]:[Egwa Target (Mbopd)]])</f>
        <v>44.419999999999995</v>
      </c>
      <c r="H19" s="1068">
        <v>16.43</v>
      </c>
      <c r="I19" s="1068">
        <v>11.96</v>
      </c>
      <c r="J19" s="1068">
        <v>0</v>
      </c>
      <c r="K19" s="1126">
        <v>0</v>
      </c>
      <c r="L19" s="1042">
        <f t="shared" si="2"/>
        <v>28.39</v>
      </c>
      <c r="M19" s="1126">
        <v>4.6100000000000003</v>
      </c>
      <c r="N19" s="1124">
        <f>Table252346789101110121312141215161517181920212223[[#This Row],[Jones Creek Target (Mbopd)]]-Table252346789101110121312141215161517181920212223[[#This Row],[Jones Creek (Mbopd)]]</f>
        <v>4.0399999999999991</v>
      </c>
      <c r="O19" s="1044">
        <f>Table252346789101110121312141215161517181920212223[[#This Row],[Odidi Target (Mbopd)]]-Table252346789101110121312141215161517181920212223[[#This Row],[Odidi (Mbopd)]]</f>
        <v>3.26</v>
      </c>
      <c r="P19" s="1044">
        <f>Table252346789101110121312141215161517181920212223[[#This Row],[Batan Target (Mbopd)]]-Table252346789101110121312141215161517181920212223[[#This Row],[Batan (Mbopd)]]</f>
        <v>5.15</v>
      </c>
      <c r="Q19" s="1044">
        <f>Table252346789101110121312141215161517181920212223[[#This Row],[Egwa Target (Mbopd)]]-Table252346789101110121312141215161517181920212223[[#This Row],[Egwa (Mbopd)]]</f>
        <v>3.58</v>
      </c>
      <c r="R19" s="1044">
        <v>5.99</v>
      </c>
      <c r="S19" s="1044">
        <v>25.87</v>
      </c>
      <c r="T19" s="1044">
        <v>0</v>
      </c>
      <c r="U19" s="1045">
        <v>0</v>
      </c>
      <c r="V19" s="1046">
        <v>0.84</v>
      </c>
      <c r="W19" s="1044">
        <v>0</v>
      </c>
      <c r="X19" s="1044">
        <v>0</v>
      </c>
      <c r="Y19" s="1045">
        <v>0</v>
      </c>
      <c r="Z19" s="1046">
        <f>+Table252346789101110121312141215161517181920212223[[#This Row],[J/C Prod gas (MMscf)]]-Table252346789101110121312141215161517181920212223[[#This Row],[J/C Utilised gas (MMscf)]]</f>
        <v>5.15</v>
      </c>
      <c r="AA19" s="1044">
        <f>+Table252346789101110121312141215161517181920212223[[#This Row],[Odid Prod gas (MMscf)]]-Table252346789101110121312141215161517181920212223[[#This Row],[Gas Export (MMscf/d)]]</f>
        <v>21.26</v>
      </c>
      <c r="AB19" s="1044">
        <f>+Table252346789101110121312141215161517181920212223[[#This Row],[Batn Prod gas (MMscf)]]-Table252346789101110121312141215161517181920212223[[#This Row],[Batn Utilised gas (MMscf)]]</f>
        <v>0</v>
      </c>
      <c r="AC19" s="1045">
        <f>+Table252346789101110121312141215161517181920212223[[#This Row],[Egwa Prod gas (MMscf)]]-Table252346789101110121312141215161517181920212223[[#This Row],[Egwa Utilised gas (MMscf)]]</f>
        <v>0</v>
      </c>
      <c r="AD19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31.86</v>
      </c>
      <c r="AE19" s="1044">
        <f>+Table252346789101110121312141215161517181920212223[[#This Row],[Gas Export (MMscf/d)]]</f>
        <v>4.6100000000000003</v>
      </c>
      <c r="AF19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19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26.410000000000004</v>
      </c>
      <c r="AH19" s="734"/>
      <c r="AI19" s="242"/>
    </row>
    <row r="20" spans="2:35">
      <c r="B20" s="716">
        <v>44635</v>
      </c>
      <c r="C20" s="749">
        <v>20.47</v>
      </c>
      <c r="D20" s="750">
        <v>15.22</v>
      </c>
      <c r="E20" s="750">
        <v>5.15</v>
      </c>
      <c r="F20" s="749">
        <v>3.58</v>
      </c>
      <c r="G20" s="1042">
        <f>SUM(Table252346789101110121312141215161517181920212223[[#This Row],[Jones Creek Target (Mbopd)]:[Egwa Target (Mbopd)]])</f>
        <v>44.419999999999995</v>
      </c>
      <c r="H20" s="1068">
        <v>17.753</v>
      </c>
      <c r="I20" s="1068">
        <v>12.739000000000001</v>
      </c>
      <c r="J20" s="1068">
        <v>0</v>
      </c>
      <c r="K20" s="1126">
        <v>0</v>
      </c>
      <c r="L20" s="1042">
        <f t="shared" si="2"/>
        <v>30.492000000000001</v>
      </c>
      <c r="M20" s="1126">
        <v>6.524</v>
      </c>
      <c r="N20" s="1124">
        <f>Table252346789101110121312141215161517181920212223[[#This Row],[Jones Creek Target (Mbopd)]]-Table252346789101110121312141215161517181920212223[[#This Row],[Jones Creek (Mbopd)]]</f>
        <v>2.7169999999999987</v>
      </c>
      <c r="O20" s="1044">
        <f>Table252346789101110121312141215161517181920212223[[#This Row],[Odidi Target (Mbopd)]]-Table252346789101110121312141215161517181920212223[[#This Row],[Odidi (Mbopd)]]</f>
        <v>2.4809999999999999</v>
      </c>
      <c r="P20" s="1044">
        <f>Table252346789101110121312141215161517181920212223[[#This Row],[Batan Target (Mbopd)]]-Table252346789101110121312141215161517181920212223[[#This Row],[Batan (Mbopd)]]</f>
        <v>5.15</v>
      </c>
      <c r="Q20" s="1044">
        <f>Table252346789101110121312141215161517181920212223[[#This Row],[Egwa Target (Mbopd)]]-Table252346789101110121312141215161517181920212223[[#This Row],[Egwa (Mbopd)]]</f>
        <v>3.58</v>
      </c>
      <c r="R20" s="1043">
        <v>5.99</v>
      </c>
      <c r="S20" s="1044">
        <v>26.85</v>
      </c>
      <c r="T20" s="1044">
        <v>0</v>
      </c>
      <c r="U20" s="1045">
        <v>0</v>
      </c>
      <c r="V20" s="1046">
        <v>0.84</v>
      </c>
      <c r="W20" s="1044">
        <v>0</v>
      </c>
      <c r="X20" s="1044">
        <v>0</v>
      </c>
      <c r="Y20" s="1045">
        <v>0</v>
      </c>
      <c r="Z20" s="1046">
        <f>+Table252346789101110121312141215161517181920212223[[#This Row],[J/C Prod gas (MMscf)]]-Table252346789101110121312141215161517181920212223[[#This Row],[J/C Utilised gas (MMscf)]]</f>
        <v>5.15</v>
      </c>
      <c r="AA20" s="1044">
        <f>+Table252346789101110121312141215161517181920212223[[#This Row],[Odid Prod gas (MMscf)]]-Table252346789101110121312141215161517181920212223[[#This Row],[Gas Export (MMscf/d)]]</f>
        <v>20.326000000000001</v>
      </c>
      <c r="AB20" s="1044">
        <f>+Table252346789101110121312141215161517181920212223[[#This Row],[Batn Prod gas (MMscf)]]-Table252346789101110121312141215161517181920212223[[#This Row],[Batn Utilised gas (MMscf)]]</f>
        <v>0</v>
      </c>
      <c r="AC20" s="1045">
        <f>+Table252346789101110121312141215161517181920212223[[#This Row],[Egwa Prod gas (MMscf)]]-Table252346789101110121312141215161517181920212223[[#This Row],[Egwa Utilised gas (MMscf)]]</f>
        <v>0</v>
      </c>
      <c r="AD20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32.840000000000003</v>
      </c>
      <c r="AE20" s="1044">
        <f>+Table252346789101110121312141215161517181920212223[[#This Row],[Gas Export (MMscf/d)]]</f>
        <v>6.524</v>
      </c>
      <c r="AF20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20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25.475999999999999</v>
      </c>
    </row>
    <row r="21" spans="2:35">
      <c r="B21" s="716">
        <v>44636</v>
      </c>
      <c r="C21" s="749">
        <v>20.47</v>
      </c>
      <c r="D21" s="750">
        <v>15.22</v>
      </c>
      <c r="E21" s="750">
        <v>5.15</v>
      </c>
      <c r="F21" s="749">
        <v>3.58</v>
      </c>
      <c r="G21" s="1042">
        <f>SUM(Table252346789101110121312141215161517181920212223[[#This Row],[Jones Creek Target (Mbopd)]:[Egwa Target (Mbopd)]])</f>
        <v>44.419999999999995</v>
      </c>
      <c r="H21" s="1068">
        <v>18.02</v>
      </c>
      <c r="I21" s="1068">
        <v>12.877000000000001</v>
      </c>
      <c r="J21" s="1068">
        <v>0</v>
      </c>
      <c r="K21" s="1126">
        <v>0</v>
      </c>
      <c r="L21" s="1042">
        <f t="shared" si="2"/>
        <v>30.896999999999998</v>
      </c>
      <c r="M21" s="1126">
        <v>5.0460000000000003</v>
      </c>
      <c r="N21" s="1124">
        <f>Table252346789101110121312141215161517181920212223[[#This Row],[Jones Creek Target (Mbopd)]]-Table252346789101110121312141215161517181920212223[[#This Row],[Jones Creek (Mbopd)]]</f>
        <v>2.4499999999999993</v>
      </c>
      <c r="O21" s="1044">
        <f>Table252346789101110121312141215161517181920212223[[#This Row],[Odidi Target (Mbopd)]]-Table252346789101110121312141215161517181920212223[[#This Row],[Odidi (Mbopd)]]</f>
        <v>2.343</v>
      </c>
      <c r="P21" s="1044">
        <f>Table252346789101110121312141215161517181920212223[[#This Row],[Batan Target (Mbopd)]]-Table252346789101110121312141215161517181920212223[[#This Row],[Batan (Mbopd)]]</f>
        <v>5.15</v>
      </c>
      <c r="Q21" s="1044">
        <f>Table252346789101110121312141215161517181920212223[[#This Row],[Egwa Target (Mbopd)]]-Table252346789101110121312141215161517181920212223[[#This Row],[Egwa (Mbopd)]]</f>
        <v>3.58</v>
      </c>
      <c r="R21" s="1043">
        <v>5.9889999999999999</v>
      </c>
      <c r="S21" s="1044">
        <v>29.02</v>
      </c>
      <c r="T21" s="1044">
        <v>0</v>
      </c>
      <c r="U21" s="1045">
        <v>0</v>
      </c>
      <c r="V21" s="1046">
        <v>0.84</v>
      </c>
      <c r="W21" s="1044">
        <v>0</v>
      </c>
      <c r="X21" s="1044">
        <v>0</v>
      </c>
      <c r="Y21" s="1045">
        <v>0</v>
      </c>
      <c r="Z21" s="1046">
        <f>+Table252346789101110121312141215161517181920212223[[#This Row],[J/C Prod gas (MMscf)]]-Table252346789101110121312141215161517181920212223[[#This Row],[J/C Utilised gas (MMscf)]]</f>
        <v>5.149</v>
      </c>
      <c r="AA21" s="1044">
        <f>+Table252346789101110121312141215161517181920212223[[#This Row],[Odid Prod gas (MMscf)]]-Table252346789101110121312141215161517181920212223[[#This Row],[Gas Export (MMscf/d)]]</f>
        <v>23.974</v>
      </c>
      <c r="AB21" s="1044">
        <f>+Table252346789101110121312141215161517181920212223[[#This Row],[Batn Prod gas (MMscf)]]-Table252346789101110121312141215161517181920212223[[#This Row],[Batn Utilised gas (MMscf)]]</f>
        <v>0</v>
      </c>
      <c r="AC21" s="1045">
        <f>+Table252346789101110121312141215161517181920212223[[#This Row],[Egwa Prod gas (MMscf)]]-Table252346789101110121312141215161517181920212223[[#This Row],[Egwa Utilised gas (MMscf)]]</f>
        <v>0</v>
      </c>
      <c r="AD21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35.009</v>
      </c>
      <c r="AE21" s="1044">
        <f>+Table252346789101110121312141215161517181920212223[[#This Row],[Gas Export (MMscf/d)]]</f>
        <v>5.0460000000000003</v>
      </c>
      <c r="AF21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21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29.123000000000001</v>
      </c>
    </row>
    <row r="22" spans="2:35">
      <c r="B22" s="716">
        <v>44637</v>
      </c>
      <c r="C22" s="749">
        <v>20.47</v>
      </c>
      <c r="D22" s="750">
        <v>15.22</v>
      </c>
      <c r="E22" s="750">
        <v>5.15</v>
      </c>
      <c r="F22" s="749">
        <v>3.58</v>
      </c>
      <c r="G22" s="1042">
        <f>SUM(Table252346789101110121312141215161517181920212223[[#This Row],[Jones Creek Target (Mbopd)]:[Egwa Target (Mbopd)]])</f>
        <v>44.419999999999995</v>
      </c>
      <c r="H22" s="1068">
        <v>17.396999999999998</v>
      </c>
      <c r="I22" s="1151">
        <v>12.948</v>
      </c>
      <c r="J22" s="1068">
        <v>0</v>
      </c>
      <c r="K22" s="1126">
        <v>2.0339999999999998</v>
      </c>
      <c r="L22" s="1042">
        <f t="shared" si="2"/>
        <v>32.378999999999998</v>
      </c>
      <c r="M22" s="1126">
        <v>0.42599999999999999</v>
      </c>
      <c r="N22" s="1124">
        <f>Table252346789101110121312141215161517181920212223[[#This Row],[Jones Creek Target (Mbopd)]]-Table252346789101110121312141215161517181920212223[[#This Row],[Jones Creek (Mbopd)]]</f>
        <v>3.0730000000000004</v>
      </c>
      <c r="O22" s="1044">
        <f>Table252346789101110121312141215161517181920212223[[#This Row],[Odidi Target (Mbopd)]]-Table252346789101110121312141215161517181920212223[[#This Row],[Odidi (Mbopd)]]</f>
        <v>2.2720000000000002</v>
      </c>
      <c r="P22" s="1044">
        <f>Table252346789101110121312141215161517181920212223[[#This Row],[Batan Target (Mbopd)]]-Table252346789101110121312141215161517181920212223[[#This Row],[Batan (Mbopd)]]</f>
        <v>5.15</v>
      </c>
      <c r="Q22" s="1044">
        <f>Table252346789101110121312141215161517181920212223[[#This Row],[Egwa Target (Mbopd)]]-Table252346789101110121312141215161517181920212223[[#This Row],[Egwa (Mbopd)]]</f>
        <v>1.5460000000000003</v>
      </c>
      <c r="R22" s="1043">
        <v>6.08</v>
      </c>
      <c r="S22" s="1044">
        <v>29.02</v>
      </c>
      <c r="T22" s="1044">
        <v>0</v>
      </c>
      <c r="U22" s="1045">
        <v>0.72</v>
      </c>
      <c r="V22" s="1046">
        <v>0.84</v>
      </c>
      <c r="W22" s="1044">
        <v>0</v>
      </c>
      <c r="X22" s="1044">
        <v>0</v>
      </c>
      <c r="Y22" s="1045">
        <v>0</v>
      </c>
      <c r="Z22" s="1046">
        <f>+Table252346789101110121312141215161517181920212223[[#This Row],[J/C Prod gas (MMscf)]]-Table252346789101110121312141215161517181920212223[[#This Row],[J/C Utilised gas (MMscf)]]</f>
        <v>5.24</v>
      </c>
      <c r="AA22" s="1044">
        <f>+Table252346789101110121312141215161517181920212223[[#This Row],[Odid Prod gas (MMscf)]]-Table252346789101110121312141215161517181920212223[[#This Row],[Gas Export (MMscf/d)]]</f>
        <v>28.594000000000001</v>
      </c>
      <c r="AB22" s="1044">
        <f>+Table252346789101110121312141215161517181920212223[[#This Row],[Batn Prod gas (MMscf)]]-Table252346789101110121312141215161517181920212223[[#This Row],[Batn Utilised gas (MMscf)]]</f>
        <v>0</v>
      </c>
      <c r="AC22" s="1045">
        <f>+Table252346789101110121312141215161517181920212223[[#This Row],[Egwa Prod gas (MMscf)]]-Table252346789101110121312141215161517181920212223[[#This Row],[Egwa Utilised gas (MMscf)]]</f>
        <v>0.72</v>
      </c>
      <c r="AD22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35.82</v>
      </c>
      <c r="AE22" s="1044">
        <f>+Table252346789101110121312141215161517181920212223[[#This Row],[Gas Export (MMscf/d)]]</f>
        <v>0.42599999999999999</v>
      </c>
      <c r="AF22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22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34.554000000000002</v>
      </c>
    </row>
    <row r="23" spans="2:35">
      <c r="B23" s="716">
        <v>44638</v>
      </c>
      <c r="C23" s="749">
        <v>20.47</v>
      </c>
      <c r="D23" s="750">
        <v>15.22</v>
      </c>
      <c r="E23" s="750">
        <v>5.15</v>
      </c>
      <c r="F23" s="749">
        <v>3.58</v>
      </c>
      <c r="G23" s="1042">
        <f>SUM(Table252346789101110121312141215161517181920212223[[#This Row],[Jones Creek Target (Mbopd)]:[Egwa Target (Mbopd)]])</f>
        <v>44.419999999999995</v>
      </c>
      <c r="H23" s="1068">
        <v>17.373999999999999</v>
      </c>
      <c r="I23" s="1068">
        <v>13.007999999999999</v>
      </c>
      <c r="J23" s="1068">
        <v>0</v>
      </c>
      <c r="K23" s="1123">
        <v>2.5870000000000002</v>
      </c>
      <c r="L23" s="1068">
        <f t="shared" si="2"/>
        <v>32.969000000000001</v>
      </c>
      <c r="M23" s="1123">
        <v>0.57699999999999996</v>
      </c>
      <c r="N23" s="1124">
        <f>Table252346789101110121312141215161517181920212223[[#This Row],[Jones Creek Target (Mbopd)]]-Table252346789101110121312141215161517181920212223[[#This Row],[Jones Creek (Mbopd)]]</f>
        <v>3.0960000000000001</v>
      </c>
      <c r="O23" s="1044">
        <f>Table252346789101110121312141215161517181920212223[[#This Row],[Odidi Target (Mbopd)]]-Table252346789101110121312141215161517181920212223[[#This Row],[Odidi (Mbopd)]]</f>
        <v>2.2120000000000015</v>
      </c>
      <c r="P23" s="1044">
        <f>Table252346789101110121312141215161517181920212223[[#This Row],[Batan Target (Mbopd)]]-Table252346789101110121312141215161517181920212223[[#This Row],[Batan (Mbopd)]]</f>
        <v>5.15</v>
      </c>
      <c r="Q23" s="1044">
        <f>Table252346789101110121312141215161517181920212223[[#This Row],[Egwa Target (Mbopd)]]-Table252346789101110121312141215161517181920212223[[#This Row],[Egwa (Mbopd)]]</f>
        <v>0.99299999999999988</v>
      </c>
      <c r="R23" s="1043">
        <v>5.9893000000000001</v>
      </c>
      <c r="S23" s="1044">
        <v>29.51</v>
      </c>
      <c r="T23" s="1044">
        <v>0</v>
      </c>
      <c r="U23" s="1045">
        <v>1.64</v>
      </c>
      <c r="V23" s="1046">
        <v>0.84</v>
      </c>
      <c r="W23" s="1044">
        <v>0</v>
      </c>
      <c r="X23" s="1044">
        <v>0</v>
      </c>
      <c r="Y23" s="1045">
        <v>0</v>
      </c>
      <c r="Z23" s="1046">
        <f>+Table252346789101110121312141215161517181920212223[[#This Row],[J/C Prod gas (MMscf)]]-Table252346789101110121312141215161517181920212223[[#This Row],[J/C Utilised gas (MMscf)]]</f>
        <v>5.1493000000000002</v>
      </c>
      <c r="AA23" s="1044">
        <f>+Table252346789101110121312141215161517181920212223[[#This Row],[Odid Prod gas (MMscf)]]-Table252346789101110121312141215161517181920212223[[#This Row],[Gas Export (MMscf/d)]]</f>
        <v>28.933</v>
      </c>
      <c r="AB23" s="1044">
        <f>+Table252346789101110121312141215161517181920212223[[#This Row],[Batn Prod gas (MMscf)]]-Table252346789101110121312141215161517181920212223[[#This Row],[Batn Utilised gas (MMscf)]]</f>
        <v>0</v>
      </c>
      <c r="AC23" s="747">
        <f>+Table252346789101110121312141215161517181920212223[[#This Row],[Egwa Prod gas (MMscf)]]-Table252346789101110121312141215161517181920212223[[#This Row],[Egwa Utilised gas (MMscf)]]</f>
        <v>1.64</v>
      </c>
      <c r="AD23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37.139300000000006</v>
      </c>
      <c r="AE23" s="1044">
        <f>+Table252346789101110121312141215161517181920212223[[#This Row],[Gas Export (MMscf/d)]]</f>
        <v>0.57699999999999996</v>
      </c>
      <c r="AF23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23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35.722300000000004</v>
      </c>
    </row>
    <row r="24" spans="2:35">
      <c r="B24" s="716">
        <v>44639</v>
      </c>
      <c r="C24" s="749">
        <v>20.47</v>
      </c>
      <c r="D24" s="750">
        <v>15.22</v>
      </c>
      <c r="E24" s="750">
        <v>5.15</v>
      </c>
      <c r="F24" s="749">
        <v>3.58</v>
      </c>
      <c r="G24" s="1042">
        <f>SUM(Table252346789101110121312141215161517181920212223[[#This Row],[Jones Creek Target (Mbopd)]:[Egwa Target (Mbopd)]])</f>
        <v>44.419999999999995</v>
      </c>
      <c r="H24" s="752">
        <v>17.241</v>
      </c>
      <c r="I24" s="1068">
        <v>12.798</v>
      </c>
      <c r="J24" s="1068">
        <v>3.36</v>
      </c>
      <c r="K24" s="1123">
        <v>2.391</v>
      </c>
      <c r="L24" s="1068">
        <f t="shared" si="2"/>
        <v>35.79</v>
      </c>
      <c r="M24" s="1123">
        <v>1.89</v>
      </c>
      <c r="N24" s="1124">
        <f>Table252346789101110121312141215161517181920212223[[#This Row],[Jones Creek Target (Mbopd)]]-Table252346789101110121312141215161517181920212223[[#This Row],[Jones Creek (Mbopd)]]</f>
        <v>3.2289999999999992</v>
      </c>
      <c r="O24" s="1044">
        <f>Table252346789101110121312141215161517181920212223[[#This Row],[Odidi Target (Mbopd)]]-Table252346789101110121312141215161517181920212223[[#This Row],[Odidi (Mbopd)]]</f>
        <v>2.4220000000000006</v>
      </c>
      <c r="P24" s="1044">
        <f>Table252346789101110121312141215161517181920212223[[#This Row],[Batan Target (Mbopd)]]-Table252346789101110121312141215161517181920212223[[#This Row],[Batan (Mbopd)]]</f>
        <v>1.7900000000000005</v>
      </c>
      <c r="Q24" s="1044">
        <f>Table252346789101110121312141215161517181920212223[[#This Row],[Egwa Target (Mbopd)]]-Table252346789101110121312141215161517181920212223[[#This Row],[Egwa (Mbopd)]]</f>
        <v>1.1890000000000001</v>
      </c>
      <c r="R24" s="1043">
        <v>5.9893000000000001</v>
      </c>
      <c r="S24" s="1044">
        <v>29.51</v>
      </c>
      <c r="T24" s="1044">
        <v>0.34</v>
      </c>
      <c r="U24" s="1045">
        <v>2.0299999999999998</v>
      </c>
      <c r="V24" s="1046">
        <v>0.84</v>
      </c>
      <c r="W24" s="1044">
        <v>0</v>
      </c>
      <c r="X24" s="1044">
        <v>0.1</v>
      </c>
      <c r="Y24" s="1045">
        <v>0</v>
      </c>
      <c r="Z24" s="1046">
        <f>+Table252346789101110121312141215161517181920212223[[#This Row],[J/C Prod gas (MMscf)]]-Table252346789101110121312141215161517181920212223[[#This Row],[J/C Utilised gas (MMscf)]]</f>
        <v>5.1493000000000002</v>
      </c>
      <c r="AA24" s="1044">
        <f>+Table252346789101110121312141215161517181920212223[[#This Row],[Odid Prod gas (MMscf)]]-Table252346789101110121312141215161517181920212223[[#This Row],[Gas Export (MMscf/d)]]</f>
        <v>27.62</v>
      </c>
      <c r="AB24" s="1044">
        <f>+Table252346789101110121312141215161517181920212223[[#This Row],[Batn Prod gas (MMscf)]]-Table252346789101110121312141215161517181920212223[[#This Row],[Batn Utilised gas (MMscf)]]</f>
        <v>0.24000000000000002</v>
      </c>
      <c r="AC24" s="747">
        <f>+Table252346789101110121312141215161517181920212223[[#This Row],[Egwa Prod gas (MMscf)]]-Table252346789101110121312141215161517181920212223[[#This Row],[Egwa Utilised gas (MMscf)]]</f>
        <v>2.0299999999999998</v>
      </c>
      <c r="AD24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37.86930000000001</v>
      </c>
      <c r="AE24" s="1044">
        <f>+Table252346789101110121312141215161517181920212223[[#This Row],[Gas Export (MMscf/d)]]</f>
        <v>1.89</v>
      </c>
      <c r="AF24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0.94</v>
      </c>
      <c r="AG24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35.039300000000004</v>
      </c>
    </row>
    <row r="25" spans="2:35">
      <c r="B25" s="716">
        <v>44640</v>
      </c>
      <c r="C25" s="749">
        <v>20.47</v>
      </c>
      <c r="D25" s="750">
        <v>15.22</v>
      </c>
      <c r="E25" s="750">
        <v>5.15</v>
      </c>
      <c r="F25" s="749">
        <v>3.58</v>
      </c>
      <c r="G25" s="1042">
        <f>SUM(Table252346789101110121312141215161517181920212223[[#This Row],[Jones Creek Target (Mbopd)]:[Egwa Target (Mbopd)]])</f>
        <v>44.419999999999995</v>
      </c>
      <c r="H25" s="1068">
        <v>16.952999999999999</v>
      </c>
      <c r="I25" s="1068">
        <v>13.125</v>
      </c>
      <c r="J25" s="1068">
        <v>2.1949999999999998</v>
      </c>
      <c r="K25" s="1123">
        <v>2.3319999999999999</v>
      </c>
      <c r="L25" s="1068">
        <f t="shared" si="2"/>
        <v>34.604999999999997</v>
      </c>
      <c r="M25" s="1123">
        <v>1.3680000000000001</v>
      </c>
      <c r="N25" s="1124">
        <f>Table252346789101110121312141215161517181920212223[[#This Row],[Jones Creek Target (Mbopd)]]-Table252346789101110121312141215161517181920212223[[#This Row],[Jones Creek (Mbopd)]]</f>
        <v>3.5169999999999995</v>
      </c>
      <c r="O25" s="1044">
        <f>Table252346789101110121312141215161517181920212223[[#This Row],[Odidi Target (Mbopd)]]-Table252346789101110121312141215161517181920212223[[#This Row],[Odidi (Mbopd)]]</f>
        <v>2.0950000000000006</v>
      </c>
      <c r="P25" s="1044">
        <f>Table252346789101110121312141215161517181920212223[[#This Row],[Batan Target (Mbopd)]]-Table252346789101110121312141215161517181920212223[[#This Row],[Batan (Mbopd)]]</f>
        <v>2.9550000000000005</v>
      </c>
      <c r="Q25" s="1044">
        <f>Table252346789101110121312141215161517181920212223[[#This Row],[Egwa Target (Mbopd)]]-Table252346789101110121312141215161517181920212223[[#This Row],[Egwa (Mbopd)]]</f>
        <v>1.2480000000000002</v>
      </c>
      <c r="R25" s="1043">
        <v>5.99</v>
      </c>
      <c r="S25" s="1044">
        <v>30.14</v>
      </c>
      <c r="T25" s="1044">
        <v>0.34</v>
      </c>
      <c r="U25" s="1045">
        <v>2.21</v>
      </c>
      <c r="V25" s="1046">
        <v>0.84</v>
      </c>
      <c r="W25" s="1044">
        <v>0</v>
      </c>
      <c r="X25" s="1044">
        <v>0.1</v>
      </c>
      <c r="Y25" s="1045">
        <v>0</v>
      </c>
      <c r="Z25" s="1046">
        <f>+Table252346789101110121312141215161517181920212223[[#This Row],[J/C Prod gas (MMscf)]]-Table252346789101110121312141215161517181920212223[[#This Row],[J/C Utilised gas (MMscf)]]</f>
        <v>5.15</v>
      </c>
      <c r="AA25" s="1044">
        <f>+Table252346789101110121312141215161517181920212223[[#This Row],[Odid Prod gas (MMscf)]]-Table252346789101110121312141215161517181920212223[[#This Row],[Gas Export (MMscf/d)]]</f>
        <v>28.772000000000002</v>
      </c>
      <c r="AB25" s="1044">
        <f>+Table252346789101110121312141215161517181920212223[[#This Row],[Batn Prod gas (MMscf)]]-Table252346789101110121312141215161517181920212223[[#This Row],[Batn Utilised gas (MMscf)]]</f>
        <v>0.24000000000000002</v>
      </c>
      <c r="AC25" s="747">
        <f>+Table252346789101110121312141215161517181920212223[[#This Row],[Egwa Prod gas (MMscf)]]-Table252346789101110121312141215161517181920212223[[#This Row],[Egwa Utilised gas (MMscf)]]</f>
        <v>2.21</v>
      </c>
      <c r="AD25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38.680000000000007</v>
      </c>
      <c r="AE25" s="1044">
        <f>+Table252346789101110121312141215161517181920212223[[#This Row],[Gas Export (MMscf/d)]]</f>
        <v>1.3680000000000001</v>
      </c>
      <c r="AF25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0.94</v>
      </c>
      <c r="AG25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36.372000000000007</v>
      </c>
    </row>
    <row r="26" spans="2:35">
      <c r="B26" s="716">
        <v>44641</v>
      </c>
      <c r="C26" s="749">
        <v>20.47</v>
      </c>
      <c r="D26" s="750">
        <v>15.22</v>
      </c>
      <c r="E26" s="750">
        <v>5.15</v>
      </c>
      <c r="F26" s="749">
        <v>3.58</v>
      </c>
      <c r="G26" s="1042">
        <f>SUM(Table252346789101110121312141215161517181920212223[[#This Row],[Jones Creek Target (Mbopd)]:[Egwa Target (Mbopd)]])</f>
        <v>44.419999999999995</v>
      </c>
      <c r="H26" s="1068">
        <v>11.93</v>
      </c>
      <c r="I26" s="1068">
        <v>8.1579999999999995</v>
      </c>
      <c r="J26" s="1068">
        <v>3.5110000000000001</v>
      </c>
      <c r="K26" s="1123">
        <v>1.2090000000000001</v>
      </c>
      <c r="L26" s="1068">
        <f t="shared" si="2"/>
        <v>24.808</v>
      </c>
      <c r="M26" s="1123">
        <v>0.11700000000000001</v>
      </c>
      <c r="N26" s="1124">
        <f>Table252346789101110121312141215161517181920212223[[#This Row],[Jones Creek Target (Mbopd)]]-Table252346789101110121312141215161517181920212223[[#This Row],[Jones Creek (Mbopd)]]</f>
        <v>8.5399999999999991</v>
      </c>
      <c r="O26" s="1044">
        <f>Table252346789101110121312141215161517181920212223[[#This Row],[Odidi Target (Mbopd)]]-Table252346789101110121312141215161517181920212223[[#This Row],[Odidi (Mbopd)]]</f>
        <v>7.0620000000000012</v>
      </c>
      <c r="P26" s="1044">
        <f>Table252346789101110121312141215161517181920212223[[#This Row],[Batan Target (Mbopd)]]-Table252346789101110121312141215161517181920212223[[#This Row],[Batan (Mbopd)]]</f>
        <v>1.6390000000000002</v>
      </c>
      <c r="Q26" s="1044">
        <f>Table252346789101110121312141215161517181920212223[[#This Row],[Egwa Target (Mbopd)]]-Table252346789101110121312141215161517181920212223[[#This Row],[Egwa (Mbopd)]]</f>
        <v>2.371</v>
      </c>
      <c r="R26" s="1043">
        <v>4.74</v>
      </c>
      <c r="S26" s="1044">
        <v>20.57</v>
      </c>
      <c r="T26" s="1044">
        <v>1.07</v>
      </c>
      <c r="U26" s="1045">
        <v>1.1599999999999999</v>
      </c>
      <c r="V26" s="1046">
        <v>0.84</v>
      </c>
      <c r="W26" s="1044">
        <v>0</v>
      </c>
      <c r="X26" s="1044">
        <v>1</v>
      </c>
      <c r="Y26" s="1045">
        <v>0</v>
      </c>
      <c r="Z26" s="1046">
        <f>+Table252346789101110121312141215161517181920212223[[#This Row],[J/C Prod gas (MMscf)]]-Table252346789101110121312141215161517181920212223[[#This Row],[J/C Utilised gas (MMscf)]]</f>
        <v>3.9000000000000004</v>
      </c>
      <c r="AA26" s="1044">
        <f>+Table252346789101110121312141215161517181920212223[[#This Row],[Odid Prod gas (MMscf)]]-Table252346789101110121312141215161517181920212223[[#This Row],[Gas Export (MMscf/d)]]</f>
        <v>20.452999999999999</v>
      </c>
      <c r="AB26" s="1044">
        <f>+Table252346789101110121312141215161517181920212223[[#This Row],[Batn Prod gas (MMscf)]]-Table252346789101110121312141215161517181920212223[[#This Row],[Batn Utilised gas (MMscf)]]</f>
        <v>7.0000000000000062E-2</v>
      </c>
      <c r="AC26" s="747">
        <f>+Table252346789101110121312141215161517181920212223[[#This Row],[Egwa Prod gas (MMscf)]]-Table252346789101110121312141215161517181920212223[[#This Row],[Egwa Utilised gas (MMscf)]]</f>
        <v>1.1599999999999999</v>
      </c>
      <c r="AD26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27.540000000000003</v>
      </c>
      <c r="AE26" s="1044">
        <f>+Table252346789101110121312141215161517181920212223[[#This Row],[Gas Export (MMscf/d)]]</f>
        <v>0.11700000000000001</v>
      </c>
      <c r="AF26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1.8399999999999999</v>
      </c>
      <c r="AG26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25.583000000000002</v>
      </c>
    </row>
    <row r="27" spans="2:35">
      <c r="B27" s="716">
        <v>44642</v>
      </c>
      <c r="C27" s="749">
        <v>20.47</v>
      </c>
      <c r="D27" s="750">
        <v>15.22</v>
      </c>
      <c r="E27" s="750">
        <v>5.15</v>
      </c>
      <c r="F27" s="749">
        <v>3.58</v>
      </c>
      <c r="G27" s="1120">
        <f>SUM(Table252346789101110121312141215161517181920212223[[#This Row],[Jones Creek Target (Mbopd)]:[Egwa Target (Mbopd)]])</f>
        <v>44.419999999999995</v>
      </c>
      <c r="H27" s="1068">
        <v>5.3090000000000002</v>
      </c>
      <c r="I27" s="1068">
        <v>5.681</v>
      </c>
      <c r="J27" s="1068">
        <v>3.39</v>
      </c>
      <c r="K27" s="1069">
        <v>0</v>
      </c>
      <c r="L27" s="1068">
        <f t="shared" si="2"/>
        <v>14.38</v>
      </c>
      <c r="M27" s="1123">
        <v>0</v>
      </c>
      <c r="N27" s="1124">
        <f>Table252346789101110121312141215161517181920212223[[#This Row],[Jones Creek Target (Mbopd)]]-Table252346789101110121312141215161517181920212223[[#This Row],[Jones Creek (Mbopd)]]</f>
        <v>15.160999999999998</v>
      </c>
      <c r="O27" s="1044">
        <f>Table252346789101110121312141215161517181920212223[[#This Row],[Odidi Target (Mbopd)]]-Table252346789101110121312141215161517181920212223[[#This Row],[Odidi (Mbopd)]]</f>
        <v>9.5390000000000015</v>
      </c>
      <c r="P27" s="1044">
        <f>Table252346789101110121312141215161517181920212223[[#This Row],[Batan Target (Mbopd)]]-Table252346789101110121312141215161517181920212223[[#This Row],[Batan (Mbopd)]]</f>
        <v>1.7600000000000002</v>
      </c>
      <c r="Q27" s="1044">
        <f>Table252346789101110121312141215161517181920212223[[#This Row],[Egwa Target (Mbopd)]]-Table252346789101110121312141215161517181920212223[[#This Row],[Egwa (Mbopd)]]</f>
        <v>3.58</v>
      </c>
      <c r="R27" s="1043">
        <v>3.49</v>
      </c>
      <c r="S27" s="1044">
        <v>9.91</v>
      </c>
      <c r="T27" s="1044">
        <v>1.07</v>
      </c>
      <c r="U27" s="1045">
        <v>0</v>
      </c>
      <c r="V27" s="1046">
        <v>0.84</v>
      </c>
      <c r="W27" s="1044">
        <v>0</v>
      </c>
      <c r="X27" s="1044">
        <v>1</v>
      </c>
      <c r="Y27" s="1045">
        <v>0</v>
      </c>
      <c r="Z27" s="1046">
        <f>+Table252346789101110121312141215161517181920212223[[#This Row],[J/C Prod gas (MMscf)]]-Table252346789101110121312141215161517181920212223[[#This Row],[J/C Utilised gas (MMscf)]]</f>
        <v>2.6500000000000004</v>
      </c>
      <c r="AA27" s="1044">
        <f>+Table252346789101110121312141215161517181920212223[[#This Row],[Odid Prod gas (MMscf)]]-Table252346789101110121312141215161517181920212223[[#This Row],[Gas Export (MMscf/d)]]</f>
        <v>9.91</v>
      </c>
      <c r="AB27" s="1044">
        <f>+Table252346789101110121312141215161517181920212223[[#This Row],[Batn Prod gas (MMscf)]]-Table252346789101110121312141215161517181920212223[[#This Row],[Batn Utilised gas (MMscf)]]</f>
        <v>7.0000000000000062E-2</v>
      </c>
      <c r="AC27" s="747">
        <f>+Table252346789101110121312141215161517181920212223[[#This Row],[Egwa Prod gas (MMscf)]]-Table252346789101110121312141215161517181920212223[[#This Row],[Egwa Utilised gas (MMscf)]]</f>
        <v>0</v>
      </c>
      <c r="AD27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14.47</v>
      </c>
      <c r="AE27" s="1044">
        <f>+Table252346789101110121312141215161517181920212223[[#This Row],[Gas Export (MMscf/d)]]</f>
        <v>0</v>
      </c>
      <c r="AF27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1.8399999999999999</v>
      </c>
      <c r="AG27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12.63</v>
      </c>
    </row>
    <row r="28" spans="2:35">
      <c r="B28" s="716">
        <v>44643</v>
      </c>
      <c r="C28" s="749">
        <v>20.47</v>
      </c>
      <c r="D28" s="750">
        <v>15.22</v>
      </c>
      <c r="E28" s="750">
        <v>5.15</v>
      </c>
      <c r="F28" s="749">
        <v>3.58</v>
      </c>
      <c r="G28" s="1042">
        <f>SUM(Table252346789101110121312141215161517181920212223[[#This Row],[Jones Creek Target (Mbopd)]:[Egwa Target (Mbopd)]])</f>
        <v>44.419999999999995</v>
      </c>
      <c r="H28" s="1068">
        <v>4.5129999999999999</v>
      </c>
      <c r="I28" s="1068">
        <v>5.87</v>
      </c>
      <c r="J28" s="1068">
        <v>3.3210000000000002</v>
      </c>
      <c r="K28" s="1069">
        <v>0</v>
      </c>
      <c r="L28" s="1068">
        <f t="shared" si="2"/>
        <v>13.703999999999999</v>
      </c>
      <c r="M28" s="1123">
        <v>0</v>
      </c>
      <c r="N28" s="1124">
        <f>Table252346789101110121312141215161517181920212223[[#This Row],[Jones Creek Target (Mbopd)]]-Table252346789101110121312141215161517181920212223[[#This Row],[Jones Creek (Mbopd)]]</f>
        <v>15.956999999999999</v>
      </c>
      <c r="O28" s="1044">
        <f>Table252346789101110121312141215161517181920212223[[#This Row],[Odidi Target (Mbopd)]]-Table252346789101110121312141215161517181920212223[[#This Row],[Odidi (Mbopd)]]</f>
        <v>9.3500000000000014</v>
      </c>
      <c r="P28" s="1044">
        <f>Table252346789101110121312141215161517181920212223[[#This Row],[Batan Target (Mbopd)]]-Table252346789101110121312141215161517181920212223[[#This Row],[Batan (Mbopd)]]</f>
        <v>1.8290000000000002</v>
      </c>
      <c r="Q28" s="1044">
        <f>Table252346789101110121312141215161517181920212223[[#This Row],[Egwa Target (Mbopd)]]-Table252346789101110121312141215161517181920212223[[#This Row],[Egwa (Mbopd)]]</f>
        <v>3.58</v>
      </c>
      <c r="R28" s="1043">
        <v>2.8</v>
      </c>
      <c r="S28" s="1044">
        <v>9.91</v>
      </c>
      <c r="T28" s="1044">
        <v>1.07</v>
      </c>
      <c r="U28" s="1045">
        <v>0</v>
      </c>
      <c r="V28" s="1046">
        <v>0.84</v>
      </c>
      <c r="W28" s="1044">
        <v>0</v>
      </c>
      <c r="X28" s="1044">
        <v>1</v>
      </c>
      <c r="Y28" s="1045">
        <v>0</v>
      </c>
      <c r="Z28" s="1046">
        <f>+Table252346789101110121312141215161517181920212223[[#This Row],[J/C Prod gas (MMscf)]]-Table252346789101110121312141215161517181920212223[[#This Row],[J/C Utilised gas (MMscf)]]</f>
        <v>1.96</v>
      </c>
      <c r="AA28" s="1044">
        <f>+Table252346789101110121312141215161517181920212223[[#This Row],[Odid Prod gas (MMscf)]]-Table252346789101110121312141215161517181920212223[[#This Row],[Gas Export (MMscf/d)]]</f>
        <v>9.91</v>
      </c>
      <c r="AB28" s="1044">
        <f>+Table252346789101110121312141215161517181920212223[[#This Row],[Batn Prod gas (MMscf)]]-Table252346789101110121312141215161517181920212223[[#This Row],[Batn Utilised gas (MMscf)]]</f>
        <v>7.0000000000000062E-2</v>
      </c>
      <c r="AC28" s="747">
        <f>+Table252346789101110121312141215161517181920212223[[#This Row],[Egwa Prod gas (MMscf)]]-Table252346789101110121312141215161517181920212223[[#This Row],[Egwa Utilised gas (MMscf)]]</f>
        <v>0</v>
      </c>
      <c r="AD28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13.780000000000001</v>
      </c>
      <c r="AE28" s="1044">
        <f>+Table252346789101110121312141215161517181920212223[[#This Row],[Gas Export (MMscf/d)]]</f>
        <v>0</v>
      </c>
      <c r="AF28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1.8399999999999999</v>
      </c>
      <c r="AG28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11.940000000000001</v>
      </c>
    </row>
    <row r="29" spans="2:35">
      <c r="B29" s="716">
        <v>44644</v>
      </c>
      <c r="C29" s="749">
        <v>20.47</v>
      </c>
      <c r="D29" s="750">
        <v>15.22</v>
      </c>
      <c r="E29" s="750">
        <v>5.15</v>
      </c>
      <c r="F29" s="749">
        <v>3.58</v>
      </c>
      <c r="G29" s="1042">
        <f>SUM(Table252346789101110121312141215161517181920212223[[#This Row],[Jones Creek Target (Mbopd)]:[Egwa Target (Mbopd)]])</f>
        <v>44.419999999999995</v>
      </c>
      <c r="H29" s="1068">
        <v>4.72</v>
      </c>
      <c r="I29" s="1068">
        <v>4.5380000000000003</v>
      </c>
      <c r="J29" s="1068">
        <v>3.2759999999999998</v>
      </c>
      <c r="K29" s="1069">
        <v>0</v>
      </c>
      <c r="L29" s="1068">
        <f t="shared" si="2"/>
        <v>12.533999999999999</v>
      </c>
      <c r="M29" s="1123">
        <v>0</v>
      </c>
      <c r="N29" s="1124">
        <f>Table252346789101110121312141215161517181920212223[[#This Row],[Jones Creek Target (Mbopd)]]-Table252346789101110121312141215161517181920212223[[#This Row],[Jones Creek (Mbopd)]]</f>
        <v>15.75</v>
      </c>
      <c r="O29" s="1044">
        <f>Table252346789101110121312141215161517181920212223[[#This Row],[Odidi Target (Mbopd)]]-Table252346789101110121312141215161517181920212223[[#This Row],[Odidi (Mbopd)]]</f>
        <v>10.682</v>
      </c>
      <c r="P29" s="1044">
        <f>Table252346789101110121312141215161517181920212223[[#This Row],[Batan Target (Mbopd)]]-Table252346789101110121312141215161517181920212223[[#This Row],[Batan (Mbopd)]]</f>
        <v>1.8740000000000006</v>
      </c>
      <c r="Q29" s="1044">
        <f>Table252346789101110121312141215161517181920212223[[#This Row],[Egwa Target (Mbopd)]]-Table252346789101110121312141215161517181920212223[[#This Row],[Egwa (Mbopd)]]</f>
        <v>3.58</v>
      </c>
      <c r="R29" s="1043">
        <v>2.68</v>
      </c>
      <c r="S29" s="1044">
        <v>9.91</v>
      </c>
      <c r="T29" s="1044">
        <v>1.07</v>
      </c>
      <c r="U29" s="1045">
        <v>0</v>
      </c>
      <c r="V29" s="1046">
        <v>0.84</v>
      </c>
      <c r="W29" s="1044">
        <v>0</v>
      </c>
      <c r="X29" s="1044">
        <v>1</v>
      </c>
      <c r="Y29" s="1045">
        <v>0</v>
      </c>
      <c r="Z29" s="1046">
        <f>+Table252346789101110121312141215161517181920212223[[#This Row],[J/C Prod gas (MMscf)]]-Table252346789101110121312141215161517181920212223[[#This Row],[J/C Utilised gas (MMscf)]]</f>
        <v>1.8400000000000003</v>
      </c>
      <c r="AA29" s="1044">
        <f>+Table252346789101110121312141215161517181920212223[[#This Row],[Odid Prod gas (MMscf)]]-Table252346789101110121312141215161517181920212223[[#This Row],[Gas Export (MMscf/d)]]</f>
        <v>9.91</v>
      </c>
      <c r="AB29" s="1044">
        <f>+Table252346789101110121312141215161517181920212223[[#This Row],[Batn Prod gas (MMscf)]]-Table252346789101110121312141215161517181920212223[[#This Row],[Batn Utilised gas (MMscf)]]</f>
        <v>7.0000000000000062E-2</v>
      </c>
      <c r="AC29" s="747">
        <f>+Table252346789101110121312141215161517181920212223[[#This Row],[Egwa Prod gas (MMscf)]]-Table252346789101110121312141215161517181920212223[[#This Row],[Egwa Utilised gas (MMscf)]]</f>
        <v>0</v>
      </c>
      <c r="AD29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13.66</v>
      </c>
      <c r="AE29" s="1044">
        <f>+Table252346789101110121312141215161517181920212223[[#This Row],[Gas Export (MMscf/d)]]</f>
        <v>0</v>
      </c>
      <c r="AF29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1.8399999999999999</v>
      </c>
      <c r="AG29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11.82</v>
      </c>
    </row>
    <row r="30" spans="2:35">
      <c r="B30" s="716">
        <v>44645</v>
      </c>
      <c r="C30" s="749">
        <v>20.47</v>
      </c>
      <c r="D30" s="750">
        <v>15.22</v>
      </c>
      <c r="E30" s="750">
        <v>5.15</v>
      </c>
      <c r="F30" s="749">
        <v>3.58</v>
      </c>
      <c r="G30" s="1042">
        <f>SUM(Table252346789101110121312141215161517181920212223[[#This Row],[Jones Creek Target (Mbopd)]:[Egwa Target (Mbopd)]])</f>
        <v>44.419999999999995</v>
      </c>
      <c r="H30" s="1068">
        <v>3.6949999999999998</v>
      </c>
      <c r="I30" s="1068">
        <v>3.7170000000000001</v>
      </c>
      <c r="J30" s="1068">
        <v>1.7387999999999999</v>
      </c>
      <c r="K30" s="1069">
        <v>0</v>
      </c>
      <c r="L30" s="1068">
        <f t="shared" si="2"/>
        <v>9.1508000000000003</v>
      </c>
      <c r="M30" s="1123">
        <v>0</v>
      </c>
      <c r="N30" s="1124">
        <f>Table252346789101110121312141215161517181920212223[[#This Row],[Jones Creek Target (Mbopd)]]-Table252346789101110121312141215161517181920212223[[#This Row],[Jones Creek (Mbopd)]]</f>
        <v>16.774999999999999</v>
      </c>
      <c r="O30" s="1044">
        <f>Table252346789101110121312141215161517181920212223[[#This Row],[Odidi Target (Mbopd)]]-Table252346789101110121312141215161517181920212223[[#This Row],[Odidi (Mbopd)]]</f>
        <v>11.503</v>
      </c>
      <c r="P30" s="1044">
        <f>Table252346789101110121312141215161517181920212223[[#This Row],[Batan Target (Mbopd)]]-Table252346789101110121312141215161517181920212223[[#This Row],[Batan (Mbopd)]]</f>
        <v>3.4112000000000005</v>
      </c>
      <c r="Q30" s="1044">
        <f>Table252346789101110121312141215161517181920212223[[#This Row],[Egwa Target (Mbopd)]]-Table252346789101110121312141215161517181920212223[[#This Row],[Egwa (Mbopd)]]</f>
        <v>3.58</v>
      </c>
      <c r="R30" s="1043">
        <v>2.8892000000000002</v>
      </c>
      <c r="S30" s="1044">
        <v>8.48</v>
      </c>
      <c r="T30" s="1044">
        <v>0.5</v>
      </c>
      <c r="U30" s="1045">
        <v>0</v>
      </c>
      <c r="V30" s="1046">
        <v>0.84</v>
      </c>
      <c r="W30" s="1044">
        <v>0</v>
      </c>
      <c r="X30" s="1044">
        <v>0.3</v>
      </c>
      <c r="Y30" s="1045">
        <v>0</v>
      </c>
      <c r="Z30" s="1046">
        <f>+Table252346789101110121312141215161517181920212223[[#This Row],[J/C Prod gas (MMscf)]]-Table252346789101110121312141215161517181920212223[[#This Row],[J/C Utilised gas (MMscf)]]</f>
        <v>2.0492000000000004</v>
      </c>
      <c r="AA30" s="1044">
        <f>+Table252346789101110121312141215161517181920212223[[#This Row],[Odid Prod gas (MMscf)]]-Table252346789101110121312141215161517181920212223[[#This Row],[Gas Export (MMscf/d)]]</f>
        <v>8.48</v>
      </c>
      <c r="AB30" s="1044">
        <f>+Table252346789101110121312141215161517181920212223[[#This Row],[Batn Prod gas (MMscf)]]-Table252346789101110121312141215161517181920212223[[#This Row],[Batn Utilised gas (MMscf)]]</f>
        <v>0.2</v>
      </c>
      <c r="AC30" s="747">
        <f>+Table252346789101110121312141215161517181920212223[[#This Row],[Egwa Prod gas (MMscf)]]-Table252346789101110121312141215161517181920212223[[#This Row],[Egwa Utilised gas (MMscf)]]</f>
        <v>0</v>
      </c>
      <c r="AD30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11.869200000000001</v>
      </c>
      <c r="AE30" s="1044">
        <f>+Table252346789101110121312141215161517181920212223[[#This Row],[Gas Export (MMscf/d)]]</f>
        <v>0</v>
      </c>
      <c r="AF30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1.1399999999999999</v>
      </c>
      <c r="AG30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10.729200000000001</v>
      </c>
    </row>
    <row r="31" spans="2:35">
      <c r="B31" s="716">
        <v>44646</v>
      </c>
      <c r="C31" s="749">
        <v>20.47</v>
      </c>
      <c r="D31" s="750">
        <v>15.22</v>
      </c>
      <c r="E31" s="750">
        <v>5.15</v>
      </c>
      <c r="F31" s="749">
        <v>3.58</v>
      </c>
      <c r="G31" s="1042">
        <f>SUM(Table252346789101110121312141215161517181920212223[[#This Row],[Jones Creek Target (Mbopd)]:[Egwa Target (Mbopd)]])</f>
        <v>44.419999999999995</v>
      </c>
      <c r="H31" s="1068">
        <v>2.827</v>
      </c>
      <c r="I31" s="1068">
        <v>0</v>
      </c>
      <c r="J31" s="1068">
        <v>3.7284000000000002</v>
      </c>
      <c r="K31" s="1069">
        <v>0</v>
      </c>
      <c r="L31" s="1068">
        <f t="shared" si="2"/>
        <v>6.5554000000000006</v>
      </c>
      <c r="M31" s="1123">
        <v>0</v>
      </c>
      <c r="N31" s="1124">
        <f>Table252346789101110121312141215161517181920212223[[#This Row],[Jones Creek Target (Mbopd)]]-Table252346789101110121312141215161517181920212223[[#This Row],[Jones Creek (Mbopd)]]</f>
        <v>17.643000000000001</v>
      </c>
      <c r="O31" s="1044">
        <f>Table252346789101110121312141215161517181920212223[[#This Row],[Odidi Target (Mbopd)]]-Table252346789101110121312141215161517181920212223[[#This Row],[Odidi (Mbopd)]]</f>
        <v>15.22</v>
      </c>
      <c r="P31" s="1044">
        <f>Table252346789101110121312141215161517181920212223[[#This Row],[Batan Target (Mbopd)]]-Table252346789101110121312141215161517181920212223[[#This Row],[Batan (Mbopd)]]</f>
        <v>1.4216000000000002</v>
      </c>
      <c r="Q31" s="1044">
        <f>Table252346789101110121312141215161517181920212223[[#This Row],[Egwa Target (Mbopd)]]-Table252346789101110121312141215161517181920212223[[#This Row],[Egwa (Mbopd)]]</f>
        <v>3.58</v>
      </c>
      <c r="R31" s="1043">
        <v>2.6326999999999998</v>
      </c>
      <c r="S31" s="1044">
        <v>0</v>
      </c>
      <c r="T31" s="1044">
        <v>0.6</v>
      </c>
      <c r="U31" s="1045">
        <v>0</v>
      </c>
      <c r="V31" s="1046">
        <v>0.84</v>
      </c>
      <c r="W31" s="1044">
        <v>0</v>
      </c>
      <c r="X31" s="1044">
        <v>0.3</v>
      </c>
      <c r="Y31" s="1045">
        <v>0</v>
      </c>
      <c r="Z31" s="1046">
        <f>+Table252346789101110121312141215161517181920212223[[#This Row],[J/C Prod gas (MMscf)]]-Table252346789101110121312141215161517181920212223[[#This Row],[J/C Utilised gas (MMscf)]]</f>
        <v>1.7927</v>
      </c>
      <c r="AA31" s="1044">
        <f>+Table252346789101110121312141215161517181920212223[[#This Row],[Odid Prod gas (MMscf)]]-Table252346789101110121312141215161517181920212223[[#This Row],[Gas Export (MMscf/d)]]</f>
        <v>0</v>
      </c>
      <c r="AB31" s="1044">
        <f>+Table252346789101110121312141215161517181920212223[[#This Row],[Batn Prod gas (MMscf)]]-Table252346789101110121312141215161517181920212223[[#This Row],[Batn Utilised gas (MMscf)]]</f>
        <v>0.3</v>
      </c>
      <c r="AC31" s="747">
        <f>+Table252346789101110121312141215161517181920212223[[#This Row],[Egwa Prod gas (MMscf)]]-Table252346789101110121312141215161517181920212223[[#This Row],[Egwa Utilised gas (MMscf)]]</f>
        <v>0</v>
      </c>
      <c r="AD31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3.2326999999999999</v>
      </c>
      <c r="AE31" s="1044">
        <f>+Table252346789101110121312141215161517181920212223[[#This Row],[Gas Export (MMscf/d)]]</f>
        <v>0</v>
      </c>
      <c r="AF31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1.1399999999999999</v>
      </c>
      <c r="AG31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2.0926999999999998</v>
      </c>
    </row>
    <row r="32" spans="2:35">
      <c r="B32" s="716">
        <v>44647</v>
      </c>
      <c r="C32" s="749">
        <v>20.47</v>
      </c>
      <c r="D32" s="750">
        <v>15.22</v>
      </c>
      <c r="E32" s="750">
        <v>5.15</v>
      </c>
      <c r="F32" s="749">
        <v>3.58</v>
      </c>
      <c r="G32" s="1042">
        <f>SUM(Table252346789101110121312141215161517181920212223[[#This Row],[Jones Creek Target (Mbopd)]:[Egwa Target (Mbopd)]])</f>
        <v>44.419999999999995</v>
      </c>
      <c r="H32" s="1068">
        <v>2.62</v>
      </c>
      <c r="I32" s="1042">
        <v>0</v>
      </c>
      <c r="J32" s="1068">
        <v>1.4773000000000001</v>
      </c>
      <c r="K32" s="1069">
        <v>0</v>
      </c>
      <c r="L32" s="1068">
        <f t="shared" si="2"/>
        <v>4.0973000000000006</v>
      </c>
      <c r="M32" s="1123">
        <v>0</v>
      </c>
      <c r="N32" s="1124">
        <f>Table252346789101110121312141215161517181920212223[[#This Row],[Jones Creek Target (Mbopd)]]-Table252346789101110121312141215161517181920212223[[#This Row],[Jones Creek (Mbopd)]]</f>
        <v>17.849999999999998</v>
      </c>
      <c r="O32" s="1044">
        <f>Table252346789101110121312141215161517181920212223[[#This Row],[Odidi Target (Mbopd)]]-Table252346789101110121312141215161517181920212223[[#This Row],[Odidi (Mbopd)]]</f>
        <v>15.22</v>
      </c>
      <c r="P32" s="1044">
        <f>Table252346789101110121312141215161517181920212223[[#This Row],[Batan Target (Mbopd)]]-Table252346789101110121312141215161517181920212223[[#This Row],[Batan (Mbopd)]]</f>
        <v>3.6727000000000003</v>
      </c>
      <c r="Q32" s="1044">
        <f>Table252346789101110121312141215161517181920212223[[#This Row],[Egwa Target (Mbopd)]]-Table252346789101110121312141215161517181920212223[[#This Row],[Egwa (Mbopd)]]</f>
        <v>3.58</v>
      </c>
      <c r="R32" s="1043">
        <v>2.5792999999999999</v>
      </c>
      <c r="S32" s="1127">
        <v>0</v>
      </c>
      <c r="T32" s="1044">
        <v>0.4</v>
      </c>
      <c r="U32" s="1045">
        <v>0</v>
      </c>
      <c r="V32" s="1046">
        <v>0.84</v>
      </c>
      <c r="W32" s="1044">
        <v>0</v>
      </c>
      <c r="X32" s="1044">
        <v>0.1</v>
      </c>
      <c r="Y32" s="1045">
        <v>0</v>
      </c>
      <c r="Z32" s="1046">
        <f>+Table252346789101110121312141215161517181920212223[[#This Row],[J/C Prod gas (MMscf)]]-Table252346789101110121312141215161517181920212223[[#This Row],[J/C Utilised gas (MMscf)]]</f>
        <v>1.7393000000000001</v>
      </c>
      <c r="AA32" s="1044">
        <f>+Table252346789101110121312141215161517181920212223[[#This Row],[Odid Prod gas (MMscf)]]-Table252346789101110121312141215161517181920212223[[#This Row],[Gas Export (MMscf/d)]]</f>
        <v>0</v>
      </c>
      <c r="AB32" s="1044">
        <f>+Table252346789101110121312141215161517181920212223[[#This Row],[Batn Prod gas (MMscf)]]-Table252346789101110121312141215161517181920212223[[#This Row],[Batn Utilised gas (MMscf)]]</f>
        <v>0.30000000000000004</v>
      </c>
      <c r="AC32" s="747">
        <f>+Table252346789101110121312141215161517181920212223[[#This Row],[Egwa Prod gas (MMscf)]]-Table252346789101110121312141215161517181920212223[[#This Row],[Egwa Utilised gas (MMscf)]]</f>
        <v>0</v>
      </c>
      <c r="AD32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2.9792999999999998</v>
      </c>
      <c r="AE32" s="1044">
        <f>+Table252346789101110121312141215161517181920212223[[#This Row],[Gas Export (MMscf/d)]]</f>
        <v>0</v>
      </c>
      <c r="AF32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0.94</v>
      </c>
      <c r="AG32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2.0392999999999999</v>
      </c>
    </row>
    <row r="33" spans="2:33">
      <c r="B33" s="716">
        <v>44648</v>
      </c>
      <c r="C33" s="749">
        <v>20.47</v>
      </c>
      <c r="D33" s="750">
        <v>15.22</v>
      </c>
      <c r="E33" s="750">
        <v>5.15</v>
      </c>
      <c r="F33" s="749">
        <v>3.58</v>
      </c>
      <c r="G33" s="1042">
        <f>SUM(Table252346789101110121312141215161517181920212223[[#This Row],[Jones Creek Target (Mbopd)]:[Egwa Target (Mbopd)]])</f>
        <v>44.419999999999995</v>
      </c>
      <c r="H33" s="1068">
        <v>5.8639999999999999</v>
      </c>
      <c r="I33" s="1068">
        <v>0</v>
      </c>
      <c r="J33" s="1068">
        <v>0</v>
      </c>
      <c r="K33" s="1069">
        <v>0</v>
      </c>
      <c r="L33" s="1068">
        <f t="shared" si="2"/>
        <v>5.8639999999999999</v>
      </c>
      <c r="M33" s="1123">
        <v>0</v>
      </c>
      <c r="N33" s="1124">
        <f>Table252346789101110121312141215161517181920212223[[#This Row],[Jones Creek Target (Mbopd)]]-Table252346789101110121312141215161517181920212223[[#This Row],[Jones Creek (Mbopd)]]</f>
        <v>14.605999999999998</v>
      </c>
      <c r="O33" s="1044">
        <f>Table252346789101110121312141215161517181920212223[[#This Row],[Odidi Target (Mbopd)]]-Table252346789101110121312141215161517181920212223[[#This Row],[Odidi (Mbopd)]]</f>
        <v>15.22</v>
      </c>
      <c r="P33" s="1044">
        <f>Table252346789101110121312141215161517181920212223[[#This Row],[Batan Target (Mbopd)]]-Table252346789101110121312141215161517181920212223[[#This Row],[Batan (Mbopd)]]</f>
        <v>5.15</v>
      </c>
      <c r="Q33" s="1044">
        <f>Table252346789101110121312141215161517181920212223[[#This Row],[Egwa Target (Mbopd)]]-Table252346789101110121312141215161517181920212223[[#This Row],[Egwa (Mbopd)]]</f>
        <v>3.58</v>
      </c>
      <c r="R33" s="1043">
        <v>4.5145999999999997</v>
      </c>
      <c r="S33" s="1044">
        <v>0</v>
      </c>
      <c r="T33" s="1044">
        <v>0</v>
      </c>
      <c r="U33" s="1045">
        <v>0</v>
      </c>
      <c r="V33" s="1046">
        <v>0.84</v>
      </c>
      <c r="W33" s="1044">
        <v>0</v>
      </c>
      <c r="X33" s="1044">
        <v>0</v>
      </c>
      <c r="Y33" s="1045">
        <v>0</v>
      </c>
      <c r="Z33" s="1046">
        <f>+Table252346789101110121312141215161517181920212223[[#This Row],[J/C Prod gas (MMscf)]]-Table252346789101110121312141215161517181920212223[[#This Row],[J/C Utilised gas (MMscf)]]</f>
        <v>3.6745999999999999</v>
      </c>
      <c r="AA33" s="1044">
        <f>+Table252346789101110121312141215161517181920212223[[#This Row],[Odid Prod gas (MMscf)]]-Table252346789101110121312141215161517181920212223[[#This Row],[Gas Export (MMscf/d)]]</f>
        <v>0</v>
      </c>
      <c r="AB33" s="1044">
        <f>+Table252346789101110121312141215161517181920212223[[#This Row],[Batn Prod gas (MMscf)]]-Table252346789101110121312141215161517181920212223[[#This Row],[Batn Utilised gas (MMscf)]]</f>
        <v>0</v>
      </c>
      <c r="AC33" s="747">
        <f>+Table252346789101110121312141215161517181920212223[[#This Row],[Egwa Prod gas (MMscf)]]-Table252346789101110121312141215161517181920212223[[#This Row],[Egwa Utilised gas (MMscf)]]</f>
        <v>0</v>
      </c>
      <c r="AD33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4.5145999999999997</v>
      </c>
      <c r="AE33" s="1044">
        <f>+Table252346789101110121312141215161517181920212223[[#This Row],[Gas Export (MMscf/d)]]</f>
        <v>0</v>
      </c>
      <c r="AF33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33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3.6745999999999999</v>
      </c>
    </row>
    <row r="34" spans="2:33">
      <c r="B34" s="716">
        <v>44649</v>
      </c>
      <c r="C34" s="749">
        <v>20.47</v>
      </c>
      <c r="D34" s="750">
        <v>15.22</v>
      </c>
      <c r="E34" s="750">
        <v>5.15</v>
      </c>
      <c r="F34" s="749">
        <v>3.58</v>
      </c>
      <c r="G34" s="1042">
        <f>SUM(Table252346789101110121312141215161517181920212223[[#This Row],[Jones Creek Target (Mbopd)]:[Egwa Target (Mbopd)]])</f>
        <v>44.419999999999995</v>
      </c>
      <c r="H34" s="1068">
        <v>14.375999999999999</v>
      </c>
      <c r="I34" s="1042">
        <v>10.329000000000001</v>
      </c>
      <c r="J34" s="1068">
        <v>0</v>
      </c>
      <c r="K34" s="1069">
        <v>0</v>
      </c>
      <c r="L34" s="1068">
        <f t="shared" si="2"/>
        <v>24.704999999999998</v>
      </c>
      <c r="M34" s="1123">
        <v>0</v>
      </c>
      <c r="N34" s="1124">
        <f>Table252346789101110121312141215161517181920212223[[#This Row],[Jones Creek Target (Mbopd)]]-Table252346789101110121312141215161517181920212223[[#This Row],[Jones Creek (Mbopd)]]</f>
        <v>6.0939999999999994</v>
      </c>
      <c r="O34" s="1044">
        <f>Table252346789101110121312141215161517181920212223[[#This Row],[Odidi Target (Mbopd)]]-Table252346789101110121312141215161517181920212223[[#This Row],[Odidi (Mbopd)]]</f>
        <v>4.891</v>
      </c>
      <c r="P34" s="1044">
        <f>Table252346789101110121312141215161517181920212223[[#This Row],[Batan Target (Mbopd)]]-Table252346789101110121312141215161517181920212223[[#This Row],[Batan (Mbopd)]]</f>
        <v>5.15</v>
      </c>
      <c r="Q34" s="1044">
        <f>Table252346789101110121312141215161517181920212223[[#This Row],[Egwa Target (Mbopd)]]-Table252346789101110121312141215161517181920212223[[#This Row],[Egwa (Mbopd)]]</f>
        <v>3.58</v>
      </c>
      <c r="R34" s="1043">
        <v>7.4204999999999997</v>
      </c>
      <c r="S34" s="1044">
        <v>21.47</v>
      </c>
      <c r="T34" s="1044">
        <v>0</v>
      </c>
      <c r="U34" s="1045">
        <v>0</v>
      </c>
      <c r="V34" s="1046">
        <v>0.84</v>
      </c>
      <c r="W34" s="1044">
        <v>0</v>
      </c>
      <c r="X34" s="1044">
        <v>0</v>
      </c>
      <c r="Y34" s="1045">
        <v>0</v>
      </c>
      <c r="Z34" s="1046">
        <f>+Table252346789101110121312141215161517181920212223[[#This Row],[J/C Prod gas (MMscf)]]-Table252346789101110121312141215161517181920212223[[#This Row],[J/C Utilised gas (MMscf)]]</f>
        <v>6.5804999999999998</v>
      </c>
      <c r="AA34" s="1044">
        <f>+Table252346789101110121312141215161517181920212223[[#This Row],[Odid Prod gas (MMscf)]]-Table252346789101110121312141215161517181920212223[[#This Row],[Gas Export (MMscf/d)]]</f>
        <v>21.47</v>
      </c>
      <c r="AB34" s="1044">
        <f>+Table252346789101110121312141215161517181920212223[[#This Row],[Batn Prod gas (MMscf)]]-Table252346789101110121312141215161517181920212223[[#This Row],[Batn Utilised gas (MMscf)]]</f>
        <v>0</v>
      </c>
      <c r="AC34" s="747">
        <f>+Table252346789101110121312141215161517181920212223[[#This Row],[Egwa Prod gas (MMscf)]]-Table252346789101110121312141215161517181920212223[[#This Row],[Egwa Utilised gas (MMscf)]]</f>
        <v>0</v>
      </c>
      <c r="AD34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28.890499999999999</v>
      </c>
      <c r="AE34" s="1044">
        <f>+Table252346789101110121312141215161517181920212223[[#This Row],[Gas Export (MMscf/d)]]</f>
        <v>0</v>
      </c>
      <c r="AF34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0.84</v>
      </c>
      <c r="AG34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28.0505</v>
      </c>
    </row>
    <row r="35" spans="2:33">
      <c r="B35" s="716">
        <v>44650</v>
      </c>
      <c r="C35" s="749">
        <v>20.47</v>
      </c>
      <c r="D35" s="750">
        <v>15.22</v>
      </c>
      <c r="E35" s="750">
        <v>5.15</v>
      </c>
      <c r="F35" s="749">
        <v>3.58</v>
      </c>
      <c r="G35" s="1042">
        <f>SUM(Table252346789101110121312141215161517181920212223[[#This Row],[Jones Creek Target (Mbopd)]:[Egwa Target (Mbopd)]])</f>
        <v>44.419999999999995</v>
      </c>
      <c r="H35" s="1068">
        <v>14.638</v>
      </c>
      <c r="I35" s="1068">
        <v>11.715</v>
      </c>
      <c r="J35" s="1068">
        <v>3.6836000000000002</v>
      </c>
      <c r="K35" s="1069">
        <v>0</v>
      </c>
      <c r="L35" s="1068">
        <f t="shared" si="2"/>
        <v>30.0366</v>
      </c>
      <c r="M35" s="1123">
        <v>0</v>
      </c>
      <c r="N35" s="1124">
        <f>Table252346789101110121312141215161517181920212223[[#This Row],[Jones Creek Target (Mbopd)]]-Table252346789101110121312141215161517181920212223[[#This Row],[Jones Creek (Mbopd)]]</f>
        <v>5.831999999999999</v>
      </c>
      <c r="O35" s="1044">
        <f>Table252346789101110121312141215161517181920212223[[#This Row],[Odidi Target (Mbopd)]]-Table252346789101110121312141215161517181920212223[[#This Row],[Odidi (Mbopd)]]</f>
        <v>3.5050000000000008</v>
      </c>
      <c r="P35" s="1044">
        <f>Table252346789101110121312141215161517181920212223[[#This Row],[Batan Target (Mbopd)]]-Table252346789101110121312141215161517181920212223[[#This Row],[Batan (Mbopd)]]</f>
        <v>1.4664000000000001</v>
      </c>
      <c r="Q35" s="1044">
        <f>Table252346789101110121312141215161517181920212223[[#This Row],[Egwa Target (Mbopd)]]-Table252346789101110121312141215161517181920212223[[#This Row],[Egwa (Mbopd)]]</f>
        <v>3.58</v>
      </c>
      <c r="R35" s="1068">
        <v>7.5522999999999998</v>
      </c>
      <c r="S35" s="1044">
        <v>29.51</v>
      </c>
      <c r="T35" s="1068">
        <v>0.7</v>
      </c>
      <c r="U35" s="1045">
        <v>0</v>
      </c>
      <c r="V35" s="1046">
        <v>0.84</v>
      </c>
      <c r="W35" s="1044">
        <v>0</v>
      </c>
      <c r="X35" s="1068">
        <v>0.1</v>
      </c>
      <c r="Y35" s="1045">
        <v>0</v>
      </c>
      <c r="Z35" s="1046">
        <f>+Table252346789101110121312141215161517181920212223[[#This Row],[J/C Prod gas (MMscf)]]-Table252346789101110121312141215161517181920212223[[#This Row],[J/C Utilised gas (MMscf)]]</f>
        <v>6.7122999999999999</v>
      </c>
      <c r="AA35" s="1044">
        <f>+Table252346789101110121312141215161517181920212223[[#This Row],[Odid Prod gas (MMscf)]]-Table252346789101110121312141215161517181920212223[[#This Row],[Gas Export (MMscf/d)]]</f>
        <v>29.51</v>
      </c>
      <c r="AB35" s="1044">
        <f>+Table252346789101110121312141215161517181920212223[[#This Row],[Batn Prod gas (MMscf)]]-Table252346789101110121312141215161517181920212223[[#This Row],[Batn Utilised gas (MMscf)]]</f>
        <v>0.6</v>
      </c>
      <c r="AC35" s="747">
        <f>+Table252346789101110121312141215161517181920212223[[#This Row],[Egwa Prod gas (MMscf)]]-Table252346789101110121312141215161517181920212223[[#This Row],[Egwa Utilised gas (MMscf)]]</f>
        <v>0</v>
      </c>
      <c r="AD35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37.762300000000003</v>
      </c>
      <c r="AE35" s="1044">
        <f>+Table252346789101110121312141215161517181920212223[[#This Row],[Gas Export (MMscf/d)]]</f>
        <v>0</v>
      </c>
      <c r="AF35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0.94</v>
      </c>
      <c r="AG35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36.822300000000006</v>
      </c>
    </row>
    <row r="36" spans="2:33">
      <c r="B36" s="716">
        <v>44651</v>
      </c>
      <c r="C36" s="749">
        <v>20.47</v>
      </c>
      <c r="D36" s="750">
        <v>15.22</v>
      </c>
      <c r="E36" s="750">
        <v>5.15</v>
      </c>
      <c r="F36" s="749">
        <v>3.58</v>
      </c>
      <c r="G36" s="1042">
        <f>SUM(Table252346789101110121312141215161517181920212223[[#This Row],[Jones Creek Target (Mbopd)]:[Egwa Target (Mbopd)]])</f>
        <v>44.419999999999995</v>
      </c>
      <c r="H36" s="1174">
        <v>14.638</v>
      </c>
      <c r="I36" s="1068">
        <v>11.558</v>
      </c>
      <c r="J36" s="1068">
        <v>3.1560000000000001</v>
      </c>
      <c r="K36" s="1069">
        <v>0</v>
      </c>
      <c r="L36" s="1068">
        <f t="shared" si="2"/>
        <v>29.351999999999997</v>
      </c>
      <c r="M36" s="1123">
        <v>0.54500000000000004</v>
      </c>
      <c r="N36" s="1124">
        <f>Table252346789101110121312141215161517181920212223[[#This Row],[Jones Creek Target (Mbopd)]]-Table252346789101110121312141215161517181920212223[[#This Row],[Jones Creek (Mbopd)]]</f>
        <v>5.831999999999999</v>
      </c>
      <c r="O36" s="1044">
        <f>Table252346789101110121312141215161517181920212223[[#This Row],[Odidi Target (Mbopd)]]-Table252346789101110121312141215161517181920212223[[#This Row],[Odidi (Mbopd)]]</f>
        <v>3.6620000000000008</v>
      </c>
      <c r="P36" s="1044">
        <f>Table252346789101110121312141215161517181920212223[[#This Row],[Batan Target (Mbopd)]]-Table252346789101110121312141215161517181920212223[[#This Row],[Batan (Mbopd)]]</f>
        <v>1.9940000000000002</v>
      </c>
      <c r="Q36" s="1044">
        <f>Table252346789101110121312141215161517181920212223[[#This Row],[Egwa Target (Mbopd)]]-Table252346789101110121312141215161517181920212223[[#This Row],[Egwa (Mbopd)]]</f>
        <v>3.58</v>
      </c>
      <c r="R36" s="1149">
        <v>7.55</v>
      </c>
      <c r="S36" s="1044">
        <v>23.26</v>
      </c>
      <c r="T36" s="1068">
        <v>0.98</v>
      </c>
      <c r="U36" s="1045">
        <v>0</v>
      </c>
      <c r="V36" s="1046">
        <v>0.84</v>
      </c>
      <c r="W36" s="1044">
        <v>0</v>
      </c>
      <c r="X36" s="1068">
        <v>0.7</v>
      </c>
      <c r="Y36" s="1045">
        <v>0</v>
      </c>
      <c r="Z36" s="1046">
        <f>+Table252346789101110121312141215161517181920212223[[#This Row],[J/C Prod gas (MMscf)]]-Table252346789101110121312141215161517181920212223[[#This Row],[J/C Utilised gas (MMscf)]]</f>
        <v>6.71</v>
      </c>
      <c r="AA36" s="1044">
        <f>+Table252346789101110121312141215161517181920212223[[#This Row],[Odid Prod gas (MMscf)]]-Table252346789101110121312141215161517181920212223[[#This Row],[Gas Export (MMscf/d)]]</f>
        <v>22.715</v>
      </c>
      <c r="AB36" s="1044">
        <f>+Table252346789101110121312141215161517181920212223[[#This Row],[Batn Prod gas (MMscf)]]-Table252346789101110121312141215161517181920212223[[#This Row],[Batn Utilised gas (MMscf)]]</f>
        <v>0.28000000000000003</v>
      </c>
      <c r="AC36" s="747">
        <f>+Table252346789101110121312141215161517181920212223[[#This Row],[Egwa Prod gas (MMscf)]]-Table252346789101110121312141215161517181920212223[[#This Row],[Egwa Utilised gas (MMscf)]]</f>
        <v>0</v>
      </c>
      <c r="AD36" s="1044">
        <f>+Table252346789101110121312141215161517181920212223[[#This Row],[J/C Prod gas (MMscf)]]+Table252346789101110121312141215161517181920212223[[#This Row],[Odid Prod gas (MMscf)]]+Table252346789101110121312141215161517181920212223[[#This Row],[Batn Prod gas (MMscf)]]+Table252346789101110121312141215161517181920212223[[#This Row],[Egwa Prod gas (MMscf)]]</f>
        <v>31.790000000000003</v>
      </c>
      <c r="AE36" s="1044">
        <f>+Table252346789101110121312141215161517181920212223[[#This Row],[Gas Export (MMscf/d)]]</f>
        <v>0.54500000000000004</v>
      </c>
      <c r="AF36" s="1044">
        <f>+Table252346789101110121312141215161517181920212223[[#This Row],[J/C Utilised gas (MMscf)]]+Table252346789101110121312141215161517181920212223[[#This Row],[Odid Utilised gas (MMscf)]]+Table252346789101110121312141215161517181920212223[[#This Row],[Batn Utilised gas (MMscf)]]+Table252346789101110121312141215161517181920212223[[#This Row],[Egwa Utilised gas (MMscf)]]</f>
        <v>1.54</v>
      </c>
      <c r="AG36" s="1045">
        <f>+Table252346789101110121312141215161517181920212223[[#This Row],[ J/C Flared Gas (MMscf/d)]]+Table252346789101110121312141215161517181920212223[[#This Row],[ Odidi Flared Gas (MMscf/d)]]+Table252346789101110121312141215161517181920212223[[#This Row],[ Batan Flared Gas (MMscf/d)]]+Table252346789101110121312141215161517181920212223[[#This Row],[Egwa Flared Gas (MMscf/d)]]</f>
        <v>29.705000000000002</v>
      </c>
    </row>
    <row r="37" spans="2:33">
      <c r="B37" s="716">
        <v>44652</v>
      </c>
      <c r="C37" s="749">
        <v>20.47</v>
      </c>
      <c r="D37" s="750">
        <v>15.22</v>
      </c>
      <c r="E37" s="750">
        <v>5.15</v>
      </c>
      <c r="F37" s="749">
        <v>3.58</v>
      </c>
      <c r="G37" s="1042">
        <f>SUM(Table252346789101110121312141215161517181920212223[[#This Row],[Jones Creek Target (Mbopd)]:[Egwa Target (Mbopd)]])</f>
        <v>44.419999999999995</v>
      </c>
      <c r="H37" s="1068"/>
      <c r="I37" s="1068"/>
      <c r="J37" s="1068"/>
      <c r="K37" s="1069"/>
      <c r="L37" s="1122"/>
      <c r="M37" s="1123"/>
      <c r="N37" s="1124"/>
      <c r="O37" s="1044"/>
      <c r="P37" s="1044"/>
      <c r="Q37" s="1044"/>
      <c r="R37" s="1043"/>
      <c r="S37" s="1044"/>
      <c r="T37" s="1044"/>
      <c r="U37" s="1045"/>
      <c r="V37" s="1046"/>
      <c r="W37" s="1044"/>
      <c r="X37" s="1044"/>
      <c r="Y37" s="1045"/>
      <c r="Z37" s="1046"/>
      <c r="AA37" s="1044"/>
      <c r="AB37" s="1044"/>
      <c r="AC37" s="1045"/>
      <c r="AD37" s="1044"/>
      <c r="AE37" s="1044"/>
      <c r="AF37" s="1044"/>
      <c r="AG37" s="1045"/>
    </row>
    <row r="38" spans="2:33">
      <c r="B38" s="716">
        <v>44653</v>
      </c>
      <c r="C38" s="749">
        <v>20.47</v>
      </c>
      <c r="D38" s="750">
        <v>15.22</v>
      </c>
      <c r="E38" s="750">
        <v>5.15</v>
      </c>
      <c r="F38" s="749">
        <v>3.58</v>
      </c>
      <c r="G38" s="1042">
        <f>SUM(Table252346789101110121312141215161517181920212223[[#This Row],[Jones Creek Target (Mbopd)]:[Egwa Target (Mbopd)]])</f>
        <v>44.419999999999995</v>
      </c>
      <c r="H38" s="1068"/>
      <c r="I38" s="1068"/>
      <c r="J38" s="1068"/>
      <c r="K38" s="1069"/>
      <c r="L38" s="1122"/>
      <c r="M38" s="1123"/>
      <c r="N38" s="1124"/>
      <c r="O38" s="1044"/>
      <c r="P38" s="1044"/>
      <c r="Q38" s="1044"/>
      <c r="R38" s="1043"/>
      <c r="S38" s="1044"/>
      <c r="T38" s="1044"/>
      <c r="U38" s="1045"/>
      <c r="V38" s="1046"/>
      <c r="W38" s="1044"/>
      <c r="X38" s="1044"/>
      <c r="Y38" s="1045"/>
      <c r="Z38" s="1046"/>
      <c r="AA38" s="1044"/>
      <c r="AB38" s="1044"/>
      <c r="AC38" s="1045"/>
      <c r="AD38" s="1044"/>
      <c r="AE38" s="1044"/>
      <c r="AF38" s="1044"/>
      <c r="AG38" s="1045"/>
    </row>
    <row r="39" spans="2:33">
      <c r="B39" s="716">
        <v>44654</v>
      </c>
      <c r="C39" s="749">
        <v>20.47</v>
      </c>
      <c r="D39" s="750">
        <v>15.22</v>
      </c>
      <c r="E39" s="750">
        <v>5.15</v>
      </c>
      <c r="F39" s="749">
        <v>3.58</v>
      </c>
      <c r="G39" s="1042">
        <f>SUM(Table252346789101110121312141215161517181920212223[[#This Row],[Jones Creek Target (Mbopd)]:[Egwa Target (Mbopd)]])</f>
        <v>44.419999999999995</v>
      </c>
      <c r="H39" s="1068"/>
      <c r="I39" s="1068"/>
      <c r="J39" s="1068"/>
      <c r="K39" s="1069"/>
      <c r="L39" s="1122"/>
      <c r="M39" s="1123"/>
      <c r="N39" s="1124"/>
      <c r="O39" s="1044"/>
      <c r="P39" s="1044"/>
      <c r="Q39" s="1044"/>
      <c r="R39" s="1043"/>
      <c r="S39" s="1044"/>
      <c r="T39" s="1044"/>
      <c r="U39" s="1045"/>
      <c r="V39" s="1046"/>
      <c r="W39" s="1046"/>
      <c r="X39" s="1044"/>
      <c r="Y39" s="1045"/>
      <c r="Z39" s="1046"/>
      <c r="AA39" s="1044"/>
      <c r="AB39" s="1044"/>
      <c r="AC39" s="1045"/>
      <c r="AD39" s="1044"/>
      <c r="AE39" s="1044"/>
      <c r="AF39" s="1044"/>
      <c r="AG39" s="1045"/>
    </row>
    <row r="40" spans="2:33">
      <c r="B40" s="716">
        <v>44655</v>
      </c>
      <c r="C40" s="749">
        <v>20.47</v>
      </c>
      <c r="D40" s="750">
        <v>15.22</v>
      </c>
      <c r="E40" s="750">
        <v>5.15</v>
      </c>
      <c r="F40" s="749">
        <v>3.58</v>
      </c>
      <c r="G40" s="1042">
        <f>SUM(Table252346789101110121312141215161517181920212223[[#This Row],[Jones Creek Target (Mbopd)]:[Egwa Target (Mbopd)]])</f>
        <v>44.419999999999995</v>
      </c>
      <c r="H40" s="1068"/>
      <c r="I40" s="1068"/>
      <c r="J40" s="1068"/>
      <c r="K40" s="1069"/>
      <c r="L40" s="1122"/>
      <c r="M40" s="1123"/>
      <c r="N40" s="1124"/>
      <c r="O40" s="1044"/>
      <c r="P40" s="1044"/>
      <c r="Q40" s="1044"/>
      <c r="R40" s="1043"/>
      <c r="S40" s="1044"/>
      <c r="T40" s="1044"/>
      <c r="U40" s="1045"/>
      <c r="V40" s="1046"/>
      <c r="W40" s="1046"/>
      <c r="X40" s="1044"/>
      <c r="Y40" s="1045"/>
      <c r="Z40" s="1046"/>
      <c r="AA40" s="1044"/>
      <c r="AB40" s="1044"/>
      <c r="AC40" s="1045"/>
      <c r="AD40" s="1044"/>
      <c r="AE40" s="1044"/>
      <c r="AF40" s="1044"/>
      <c r="AG40" s="1045"/>
    </row>
    <row r="41" spans="2:33">
      <c r="B41" s="716">
        <v>44656</v>
      </c>
      <c r="C41" s="749">
        <v>20.47</v>
      </c>
      <c r="D41" s="750">
        <v>15.22</v>
      </c>
      <c r="E41" s="750">
        <v>5.15</v>
      </c>
      <c r="F41" s="749">
        <v>3.58</v>
      </c>
      <c r="G41" s="1042">
        <f>SUM(Table252346789101110121312141215161517181920212223[[#This Row],[Jones Creek Target (Mbopd)]:[Egwa Target (Mbopd)]])</f>
        <v>44.419999999999995</v>
      </c>
      <c r="H41" s="1068"/>
      <c r="I41" s="1068"/>
      <c r="J41" s="1068"/>
      <c r="K41" s="1069"/>
      <c r="L41" s="1122"/>
      <c r="M41" s="1123"/>
      <c r="N41" s="1124"/>
      <c r="O41" s="1044"/>
      <c r="P41" s="1044"/>
      <c r="Q41" s="1044"/>
      <c r="R41" s="1043"/>
      <c r="S41" s="1044"/>
      <c r="T41" s="1044"/>
      <c r="U41" s="1045"/>
      <c r="V41" s="1046"/>
      <c r="W41" s="1046"/>
      <c r="X41" s="1044"/>
      <c r="Y41" s="1045"/>
      <c r="Z41" s="1046"/>
      <c r="AA41" s="1044"/>
      <c r="AB41" s="1044"/>
      <c r="AC41" s="1045"/>
      <c r="AD41" s="1044"/>
      <c r="AE41" s="1044"/>
      <c r="AF41" s="1044"/>
      <c r="AG41" s="1045"/>
    </row>
    <row r="42" spans="2:33">
      <c r="B42" s="716">
        <v>44657</v>
      </c>
      <c r="C42" s="749">
        <v>20.47</v>
      </c>
      <c r="D42" s="750">
        <v>15.22</v>
      </c>
      <c r="E42" s="750">
        <v>5.15</v>
      </c>
      <c r="F42" s="749">
        <v>3.58</v>
      </c>
      <c r="G42" s="1042">
        <f>SUM(Table252346789101110121312141215161517181920212223[[#This Row],[Jones Creek Target (Mbopd)]:[Egwa Target (Mbopd)]])</f>
        <v>44.419999999999995</v>
      </c>
      <c r="H42" s="1068"/>
      <c r="I42" s="1068"/>
      <c r="J42" s="1068"/>
      <c r="K42" s="1069"/>
      <c r="L42" s="1164"/>
      <c r="M42" s="1123"/>
      <c r="N42" s="1124"/>
      <c r="O42" s="1044"/>
      <c r="P42" s="1044"/>
      <c r="Q42" s="1044"/>
      <c r="R42" s="1043"/>
      <c r="S42" s="1044"/>
      <c r="T42" s="1044"/>
      <c r="U42" s="1045"/>
      <c r="V42" s="1046"/>
      <c r="W42" s="1046"/>
      <c r="X42" s="1044"/>
      <c r="Y42" s="1045"/>
      <c r="Z42" s="1046"/>
      <c r="AA42" s="1044"/>
      <c r="AB42" s="1044"/>
      <c r="AC42" s="1045"/>
      <c r="AD42" s="1044"/>
      <c r="AE42" s="1044"/>
      <c r="AF42" s="1044"/>
      <c r="AG42" s="1045"/>
    </row>
    <row r="43" spans="2:33">
      <c r="B43" s="716">
        <v>44658</v>
      </c>
      <c r="C43" s="749">
        <v>20.47</v>
      </c>
      <c r="D43" s="750">
        <v>15.22</v>
      </c>
      <c r="E43" s="750">
        <v>5.15</v>
      </c>
      <c r="F43" s="749">
        <v>3.58</v>
      </c>
      <c r="G43" s="1042">
        <f>SUM(Table252346789101110121312141215161517181920212223[[#This Row],[Jones Creek Target (Mbopd)]:[Egwa Target (Mbopd)]])</f>
        <v>44.419999999999995</v>
      </c>
      <c r="H43" s="1068"/>
      <c r="I43" s="1068"/>
      <c r="J43" s="1068"/>
      <c r="K43" s="1069"/>
      <c r="L43" s="1164"/>
      <c r="M43" s="1123"/>
      <c r="N43" s="1124"/>
      <c r="O43" s="1044"/>
      <c r="P43" s="1044"/>
      <c r="Q43" s="1044"/>
      <c r="R43" s="1043"/>
      <c r="S43" s="1044"/>
      <c r="T43" s="1044"/>
      <c r="U43" s="1045"/>
      <c r="V43" s="1046"/>
      <c r="W43" s="1046"/>
      <c r="X43" s="1044"/>
      <c r="Y43" s="1045"/>
      <c r="Z43" s="1046"/>
      <c r="AA43" s="1044"/>
      <c r="AB43" s="1044"/>
      <c r="AC43" s="1045"/>
      <c r="AD43" s="1044"/>
      <c r="AE43" s="1044"/>
      <c r="AF43" s="1044"/>
      <c r="AG43" s="1045"/>
    </row>
    <row r="44" spans="2:33">
      <c r="B44" s="716">
        <v>44659</v>
      </c>
      <c r="C44" s="749">
        <v>20.47</v>
      </c>
      <c r="D44" s="750">
        <v>15.22</v>
      </c>
      <c r="E44" s="750">
        <v>5.15</v>
      </c>
      <c r="F44" s="749">
        <v>3.58</v>
      </c>
      <c r="G44" s="1042">
        <f>SUM(Table252346789101110121312141215161517181920212223[[#This Row],[Jones Creek Target (Mbopd)]:[Egwa Target (Mbopd)]])</f>
        <v>44.419999999999995</v>
      </c>
      <c r="H44" s="1068"/>
      <c r="I44" s="1068"/>
      <c r="J44" s="1068"/>
      <c r="K44" s="1069"/>
      <c r="L44" s="1164"/>
      <c r="M44" s="1123"/>
      <c r="N44" s="1124"/>
      <c r="O44" s="1044"/>
      <c r="P44" s="1044"/>
      <c r="Q44" s="1044"/>
      <c r="R44" s="1043"/>
      <c r="S44" s="1044"/>
      <c r="T44" s="1044"/>
      <c r="U44" s="1045"/>
      <c r="V44" s="1046"/>
      <c r="W44" s="1044"/>
      <c r="X44" s="1044"/>
      <c r="Y44" s="1045"/>
      <c r="Z44" s="1046"/>
      <c r="AA44" s="1044"/>
      <c r="AB44" s="1044"/>
      <c r="AC44" s="1045"/>
      <c r="AD44" s="1044"/>
      <c r="AE44" s="1044"/>
      <c r="AF44" s="1044"/>
      <c r="AG44" s="1045"/>
    </row>
    <row r="45" spans="2:33">
      <c r="B45" s="1168"/>
      <c r="C45" s="1169"/>
      <c r="D45" s="1169"/>
      <c r="E45" s="1169"/>
      <c r="F45" s="1169"/>
      <c r="G45" s="1170"/>
      <c r="H45" s="1171"/>
      <c r="I45" s="1171"/>
      <c r="J45" s="1171"/>
      <c r="K45" s="1171"/>
      <c r="L45" s="1171"/>
      <c r="M45" s="1171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</row>
    <row r="47" spans="2:33" ht="27">
      <c r="B47" s="1345" t="s">
        <v>149</v>
      </c>
      <c r="C47" s="1346"/>
      <c r="D47" s="1346"/>
      <c r="E47" s="1346"/>
      <c r="F47" s="1346"/>
      <c r="G47" s="1346"/>
      <c r="H47" s="1346"/>
      <c r="I47" s="1346"/>
      <c r="J47" s="1346"/>
      <c r="K47" s="1346"/>
      <c r="L47" s="1346"/>
      <c r="M47" s="1346"/>
      <c r="N47" s="1346"/>
      <c r="O47" s="1346"/>
      <c r="P47" s="1346"/>
      <c r="Q47" s="1347"/>
    </row>
    <row r="48" spans="2:33" ht="43.15">
      <c r="B48" s="1004" t="s">
        <v>22</v>
      </c>
      <c r="C48" s="1005" t="s">
        <v>358</v>
      </c>
      <c r="D48" s="1348" t="s">
        <v>24</v>
      </c>
      <c r="E48" s="1349"/>
      <c r="F48" s="1349"/>
      <c r="G48" s="1349"/>
      <c r="H48" s="1349"/>
      <c r="I48" s="1349"/>
      <c r="J48" s="1349"/>
      <c r="K48" s="1349"/>
      <c r="L48" s="1349"/>
      <c r="M48" s="1349"/>
      <c r="N48" s="1349"/>
      <c r="O48" s="1349"/>
      <c r="P48" s="1349"/>
      <c r="Q48" s="1350"/>
    </row>
    <row r="49" spans="2:36" ht="36" customHeight="1">
      <c r="B49" s="656" t="s">
        <v>17</v>
      </c>
      <c r="C49" s="652">
        <v>5.831999999999999</v>
      </c>
      <c r="D49" s="1358" t="s">
        <v>538</v>
      </c>
      <c r="E49" s="1359"/>
      <c r="F49" s="1359"/>
      <c r="G49" s="1359"/>
      <c r="H49" s="1359"/>
      <c r="I49" s="1359"/>
      <c r="J49" s="1359"/>
      <c r="K49" s="1359"/>
      <c r="L49" s="1359"/>
      <c r="M49" s="1359"/>
      <c r="N49" s="1359"/>
      <c r="O49" s="1359"/>
      <c r="P49" s="1359"/>
      <c r="Q49" s="1374"/>
    </row>
    <row r="50" spans="2:36" ht="34.5" customHeight="1">
      <c r="B50" s="656" t="s">
        <v>19</v>
      </c>
      <c r="C50" s="652">
        <v>3.6620000000000008</v>
      </c>
      <c r="D50" s="1358" t="s">
        <v>539</v>
      </c>
      <c r="E50" s="1359"/>
      <c r="F50" s="1359"/>
      <c r="G50" s="1359"/>
      <c r="H50" s="1359"/>
      <c r="I50" s="1359"/>
      <c r="J50" s="1359"/>
      <c r="K50" s="1359"/>
      <c r="L50" s="1359"/>
      <c r="M50" s="1359"/>
      <c r="N50" s="1359"/>
      <c r="O50" s="1359"/>
      <c r="P50" s="1359"/>
      <c r="Q50" s="1374"/>
    </row>
    <row r="51" spans="2:36" ht="21.6">
      <c r="B51" s="656" t="s">
        <v>16</v>
      </c>
      <c r="C51" s="652">
        <v>1.9940000000000002</v>
      </c>
      <c r="D51" s="1377" t="s">
        <v>540</v>
      </c>
      <c r="E51" s="1359"/>
      <c r="F51" s="1359"/>
      <c r="G51" s="1359"/>
      <c r="H51" s="1359"/>
      <c r="I51" s="1359"/>
      <c r="J51" s="1359"/>
      <c r="K51" s="1359"/>
      <c r="L51" s="1359"/>
      <c r="M51" s="1359"/>
      <c r="N51" s="1359"/>
      <c r="O51" s="1359"/>
      <c r="P51" s="1359"/>
      <c r="Q51" s="1374"/>
    </row>
    <row r="52" spans="2:36" ht="21.6">
      <c r="B52" s="657" t="s">
        <v>18</v>
      </c>
      <c r="C52" s="653">
        <v>3.58</v>
      </c>
      <c r="D52" s="1370" t="s">
        <v>541</v>
      </c>
      <c r="E52" s="1353"/>
      <c r="F52" s="1353"/>
      <c r="G52" s="1353"/>
      <c r="H52" s="1353"/>
      <c r="I52" s="1353"/>
      <c r="J52" s="1353"/>
      <c r="K52" s="1353"/>
      <c r="L52" s="1353"/>
      <c r="M52" s="1353"/>
      <c r="N52" s="1353"/>
      <c r="O52" s="1353"/>
      <c r="P52" s="1353"/>
      <c r="Q52" s="1376"/>
    </row>
    <row r="53" spans="2:36" ht="26.1" customHeight="1">
      <c r="B53" s="658" t="s">
        <v>187</v>
      </c>
      <c r="C53" s="654">
        <f>SUM(C49:C52)</f>
        <v>15.068</v>
      </c>
      <c r="D53" s="1355" t="s">
        <v>542</v>
      </c>
      <c r="E53" s="1356"/>
      <c r="F53" s="1356"/>
      <c r="G53" s="1356"/>
      <c r="H53" s="1356"/>
      <c r="I53" s="1356"/>
      <c r="J53" s="1356"/>
      <c r="K53" s="1356"/>
      <c r="L53" s="1356"/>
      <c r="M53" s="1356"/>
      <c r="N53" s="1356"/>
      <c r="O53" s="1356"/>
      <c r="P53" s="1356"/>
      <c r="Q53" s="1373"/>
    </row>
    <row r="54" spans="2:36" ht="24.6">
      <c r="AJ54" s="735"/>
    </row>
    <row r="56" spans="2:36">
      <c r="I56" s="580">
        <f>0.89+1.1+0.28</f>
        <v>2.2700000000000005</v>
      </c>
      <c r="K56" s="580">
        <v>5.831999999999999</v>
      </c>
    </row>
    <row r="57" spans="2:36">
      <c r="K57" s="580">
        <v>3.6620000000000008</v>
      </c>
    </row>
    <row r="58" spans="2:36">
      <c r="D58" s="580">
        <v>5.831999999999999</v>
      </c>
      <c r="E58" s="580">
        <v>3.6620000000000008</v>
      </c>
      <c r="F58" s="580">
        <v>1.9940000000000002</v>
      </c>
      <c r="G58" s="580">
        <v>3.58</v>
      </c>
      <c r="K58" s="580">
        <v>1.9940000000000002</v>
      </c>
    </row>
    <row r="59" spans="2:36">
      <c r="K59" s="580">
        <v>3.58</v>
      </c>
    </row>
    <row r="60" spans="2:36">
      <c r="G60" s="580">
        <v>6.0939999999999994</v>
      </c>
      <c r="H60" s="580">
        <v>4.891</v>
      </c>
      <c r="I60" s="580">
        <v>5.15</v>
      </c>
      <c r="J60" s="580">
        <v>3.58</v>
      </c>
    </row>
    <row r="67" spans="2:2">
      <c r="B67" s="1166" t="s">
        <v>543</v>
      </c>
    </row>
    <row r="68" spans="2:2">
      <c r="B68" s="1166" t="s">
        <v>544</v>
      </c>
    </row>
    <row r="69" spans="2:2">
      <c r="B69" s="1166" t="s">
        <v>545</v>
      </c>
    </row>
  </sheetData>
  <mergeCells count="8">
    <mergeCell ref="D52:Q52"/>
    <mergeCell ref="D53:Q53"/>
    <mergeCell ref="AJ8:AO8"/>
    <mergeCell ref="B47:Q47"/>
    <mergeCell ref="D48:Q48"/>
    <mergeCell ref="D49:Q49"/>
    <mergeCell ref="D50:Q50"/>
    <mergeCell ref="D51:Q5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8552D-9632-4EA5-854F-235F553230B2}">
  <dimension ref="B1:Z1002"/>
  <sheetViews>
    <sheetView tabSelected="1" topLeftCell="A75" zoomScale="90" zoomScaleNormal="90" workbookViewId="0">
      <selection activeCell="L83" sqref="L83"/>
    </sheetView>
  </sheetViews>
  <sheetFormatPr defaultColWidth="9.21875" defaultRowHeight="19.149999999999999"/>
  <cols>
    <col min="1" max="1" width="4.77734375" style="580" customWidth="1"/>
    <col min="2" max="2" width="6.21875" style="580" customWidth="1"/>
    <col min="3" max="3" width="10.109375" style="580" customWidth="1"/>
    <col min="4" max="4" width="10.21875" style="580" customWidth="1"/>
    <col min="5" max="5" width="8.88671875" style="580"/>
    <col min="6" max="6" width="8" style="580" customWidth="1"/>
    <col min="7" max="7" width="8.5546875" style="580" customWidth="1"/>
    <col min="8" max="8" width="7.33203125" style="580" customWidth="1"/>
    <col min="9" max="9" width="7.6640625" style="580" customWidth="1"/>
    <col min="10" max="10" width="8" style="580" customWidth="1"/>
    <col min="11" max="11" width="24.44140625" style="580" customWidth="1"/>
    <col min="12" max="12" width="17.6640625" style="580" customWidth="1"/>
    <col min="13" max="16" width="8.88671875" style="580"/>
    <col min="17" max="17" width="22.109375" style="580" customWidth="1"/>
    <col min="18" max="16384" width="9.21875" style="580"/>
  </cols>
  <sheetData>
    <row r="1" spans="2:26" ht="22.15">
      <c r="B1"/>
      <c r="C1" s="1226" t="s">
        <v>546</v>
      </c>
      <c r="D1" s="1226"/>
      <c r="E1" s="1226"/>
      <c r="F1" s="1226"/>
      <c r="G1" s="1226"/>
      <c r="H1" s="1226"/>
      <c r="I1" s="1226"/>
      <c r="J1" s="1226"/>
      <c r="K1" s="1226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</row>
    <row r="2" spans="2:26" ht="24.75" customHeight="1">
      <c r="B2"/>
      <c r="C2"/>
      <c r="D2" s="1"/>
      <c r="E2" s="1"/>
      <c r="F2" s="1"/>
      <c r="G2" s="1"/>
      <c r="H2" s="1"/>
      <c r="I2" s="1"/>
      <c r="J2" s="1"/>
      <c r="K2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</row>
    <row r="3" spans="2:26" ht="24.75" customHeight="1">
      <c r="B3"/>
      <c r="C3" s="1367" t="s">
        <v>547</v>
      </c>
      <c r="D3" s="1368"/>
      <c r="E3" s="1368"/>
      <c r="F3" s="1368"/>
      <c r="G3" s="1368"/>
      <c r="H3" s="1368"/>
      <c r="I3" s="1368"/>
      <c r="J3" s="1368"/>
      <c r="K3" s="136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</row>
    <row r="4" spans="2:26" ht="39.6">
      <c r="B4" s="803" t="s">
        <v>156</v>
      </c>
      <c r="C4" s="803" t="s">
        <v>31</v>
      </c>
      <c r="D4" s="804" t="s">
        <v>32</v>
      </c>
      <c r="E4" s="804" t="s">
        <v>33</v>
      </c>
      <c r="F4" s="804" t="s">
        <v>34</v>
      </c>
      <c r="G4" s="804" t="s">
        <v>35</v>
      </c>
      <c r="H4" s="805" t="s">
        <v>37</v>
      </c>
      <c r="I4" s="806" t="s">
        <v>38</v>
      </c>
      <c r="J4" s="806" t="s">
        <v>39</v>
      </c>
      <c r="K4" s="807" t="s">
        <v>40</v>
      </c>
      <c r="L4" s="866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</row>
    <row r="5" spans="2:26">
      <c r="B5" s="1101">
        <v>1</v>
      </c>
      <c r="C5" s="818" t="s">
        <v>46</v>
      </c>
      <c r="D5" s="192" t="s">
        <v>47</v>
      </c>
      <c r="E5" s="193">
        <v>40</v>
      </c>
      <c r="F5" s="194">
        <v>1753</v>
      </c>
      <c r="G5" s="194">
        <v>1161</v>
      </c>
      <c r="H5" s="194">
        <v>34</v>
      </c>
      <c r="I5" s="194">
        <v>323</v>
      </c>
      <c r="J5" s="1099">
        <v>129</v>
      </c>
      <c r="K5" s="1109" t="s">
        <v>489</v>
      </c>
      <c r="L5" s="1100"/>
      <c r="M5" s="579"/>
      <c r="N5" s="1179">
        <v>9000</v>
      </c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</row>
    <row r="6" spans="2:26">
      <c r="B6" s="1101">
        <v>2</v>
      </c>
      <c r="C6" s="818" t="s">
        <v>48</v>
      </c>
      <c r="D6" s="192" t="s">
        <v>47</v>
      </c>
      <c r="E6" s="193" t="s">
        <v>49</v>
      </c>
      <c r="F6" s="194">
        <v>1538</v>
      </c>
      <c r="G6" s="188">
        <v>998</v>
      </c>
      <c r="H6" s="194">
        <v>35</v>
      </c>
      <c r="I6" s="194">
        <v>310</v>
      </c>
      <c r="J6" s="194">
        <v>163</v>
      </c>
      <c r="K6" s="1110" t="s">
        <v>489</v>
      </c>
      <c r="L6" s="1100"/>
      <c r="M6" s="579"/>
      <c r="N6" s="1179">
        <v>3580</v>
      </c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</row>
    <row r="7" spans="2:26">
      <c r="B7" s="1163">
        <v>3</v>
      </c>
      <c r="C7" s="815" t="s">
        <v>45</v>
      </c>
      <c r="D7" s="219" t="s">
        <v>44</v>
      </c>
      <c r="E7" s="220">
        <v>32</v>
      </c>
      <c r="F7" s="221">
        <v>2221</v>
      </c>
      <c r="G7" s="278">
        <v>1044</v>
      </c>
      <c r="H7" s="221">
        <v>53</v>
      </c>
      <c r="I7" s="221">
        <v>669</v>
      </c>
      <c r="J7" s="221">
        <v>249</v>
      </c>
      <c r="K7" s="445" t="s">
        <v>531</v>
      </c>
      <c r="L7" s="1100"/>
      <c r="M7" s="579"/>
      <c r="N7" s="1179">
        <v>13800</v>
      </c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</row>
    <row r="8" spans="2:26">
      <c r="B8" s="1101">
        <v>4</v>
      </c>
      <c r="C8" s="818" t="s">
        <v>56</v>
      </c>
      <c r="D8" s="192" t="s">
        <v>47</v>
      </c>
      <c r="E8" s="193">
        <v>44</v>
      </c>
      <c r="F8" s="194">
        <v>3857</v>
      </c>
      <c r="G8" s="188">
        <v>1662</v>
      </c>
      <c r="H8" s="194">
        <v>58</v>
      </c>
      <c r="I8" s="194">
        <v>329</v>
      </c>
      <c r="J8" s="194">
        <v>352</v>
      </c>
      <c r="K8" s="1110" t="s">
        <v>489</v>
      </c>
      <c r="L8" s="1100"/>
      <c r="M8" s="579"/>
      <c r="N8" s="1179">
        <v>20470</v>
      </c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</row>
    <row r="9" spans="2:26" ht="19.899999999999999" thickBot="1">
      <c r="B9" s="1167">
        <v>5</v>
      </c>
      <c r="C9" s="1105" t="s">
        <v>57</v>
      </c>
      <c r="D9" s="258" t="s">
        <v>47</v>
      </c>
      <c r="E9" s="259">
        <v>28</v>
      </c>
      <c r="F9" s="260">
        <v>1706</v>
      </c>
      <c r="G9" s="1106">
        <v>277</v>
      </c>
      <c r="H9" s="260">
        <v>84</v>
      </c>
      <c r="I9" s="260">
        <v>377</v>
      </c>
      <c r="J9" s="260">
        <v>305</v>
      </c>
      <c r="K9" s="1178" t="s">
        <v>235</v>
      </c>
      <c r="L9" s="1100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</row>
    <row r="10" spans="2:26" ht="19.899999999999999" thickBot="1">
      <c r="B10" s="1116">
        <v>6</v>
      </c>
      <c r="C10" s="1117" t="s">
        <v>41</v>
      </c>
      <c r="D10" s="283" t="s">
        <v>42</v>
      </c>
      <c r="E10" s="284">
        <v>28</v>
      </c>
      <c r="F10" s="278">
        <v>1706</v>
      </c>
      <c r="G10" s="278">
        <v>580</v>
      </c>
      <c r="H10" s="278">
        <v>66</v>
      </c>
      <c r="I10" s="278">
        <v>995</v>
      </c>
      <c r="J10" s="278">
        <v>494</v>
      </c>
      <c r="K10" s="445" t="s">
        <v>235</v>
      </c>
      <c r="L10" s="1100" t="s">
        <v>503</v>
      </c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</row>
    <row r="11" spans="2:26">
      <c r="B11" s="1101">
        <v>7</v>
      </c>
      <c r="C11" s="815" t="s">
        <v>43</v>
      </c>
      <c r="D11" s="219" t="s">
        <v>44</v>
      </c>
      <c r="E11" s="220">
        <v>28</v>
      </c>
      <c r="F11" s="221">
        <v>1132</v>
      </c>
      <c r="G11" s="278">
        <v>566</v>
      </c>
      <c r="H11" s="221">
        <v>50</v>
      </c>
      <c r="I11" s="221">
        <v>607</v>
      </c>
      <c r="J11" s="221">
        <v>147</v>
      </c>
      <c r="K11" s="445" t="s">
        <v>235</v>
      </c>
      <c r="L11" s="1100" t="s">
        <v>503</v>
      </c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</row>
    <row r="12" spans="2:26">
      <c r="B12" s="1101">
        <v>8</v>
      </c>
      <c r="C12" s="815" t="s">
        <v>373</v>
      </c>
      <c r="D12" s="219" t="s">
        <v>47</v>
      </c>
      <c r="E12" s="220">
        <v>24</v>
      </c>
      <c r="F12" s="221">
        <v>1643</v>
      </c>
      <c r="G12" s="278">
        <v>690</v>
      </c>
      <c r="H12" s="221">
        <v>58</v>
      </c>
      <c r="I12" s="221">
        <v>300</v>
      </c>
      <c r="J12" s="221">
        <v>287</v>
      </c>
      <c r="K12" s="445" t="s">
        <v>68</v>
      </c>
      <c r="L12" s="1100" t="s">
        <v>503</v>
      </c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</row>
    <row r="13" spans="2:26">
      <c r="B13" s="1102">
        <v>9</v>
      </c>
      <c r="C13" s="815" t="s">
        <v>50</v>
      </c>
      <c r="D13" s="219" t="s">
        <v>47</v>
      </c>
      <c r="E13" s="220" t="s">
        <v>51</v>
      </c>
      <c r="F13" s="221">
        <v>1480</v>
      </c>
      <c r="G13" s="278">
        <v>444</v>
      </c>
      <c r="H13" s="221">
        <v>70</v>
      </c>
      <c r="I13" s="221">
        <v>762</v>
      </c>
      <c r="J13" s="221">
        <v>173</v>
      </c>
      <c r="K13" s="445" t="s">
        <v>235</v>
      </c>
      <c r="L13" s="1100" t="s">
        <v>503</v>
      </c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</row>
    <row r="14" spans="2:26">
      <c r="B14" s="1101">
        <v>10</v>
      </c>
      <c r="C14" s="815" t="s">
        <v>52</v>
      </c>
      <c r="D14" s="219" t="s">
        <v>47</v>
      </c>
      <c r="E14" s="220">
        <v>40</v>
      </c>
      <c r="F14" s="221">
        <v>1652</v>
      </c>
      <c r="G14" s="278">
        <v>760</v>
      </c>
      <c r="H14" s="221">
        <v>54</v>
      </c>
      <c r="I14" s="221">
        <v>447</v>
      </c>
      <c r="J14" s="221">
        <v>159</v>
      </c>
      <c r="K14" s="445" t="s">
        <v>235</v>
      </c>
      <c r="L14" s="1100" t="s">
        <v>503</v>
      </c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</row>
    <row r="15" spans="2:26" ht="21" customHeight="1">
      <c r="B15" s="1101">
        <v>11</v>
      </c>
      <c r="C15" s="815" t="s">
        <v>53</v>
      </c>
      <c r="D15" s="219" t="s">
        <v>47</v>
      </c>
      <c r="E15" s="220">
        <v>28</v>
      </c>
      <c r="F15" s="221">
        <v>1410</v>
      </c>
      <c r="G15" s="278">
        <v>663</v>
      </c>
      <c r="H15" s="221">
        <v>53.33</v>
      </c>
      <c r="I15" s="221">
        <v>430</v>
      </c>
      <c r="J15" s="221">
        <v>342</v>
      </c>
      <c r="K15" s="1103" t="s">
        <v>235</v>
      </c>
      <c r="L15" s="1118" t="s">
        <v>504</v>
      </c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</row>
    <row r="16" spans="2:26">
      <c r="B16" s="1104">
        <v>12</v>
      </c>
      <c r="C16" s="1105" t="s">
        <v>54</v>
      </c>
      <c r="D16" s="258" t="s">
        <v>47</v>
      </c>
      <c r="E16" s="259" t="s">
        <v>55</v>
      </c>
      <c r="F16" s="260">
        <v>1633</v>
      </c>
      <c r="G16" s="1106">
        <v>780</v>
      </c>
      <c r="H16" s="260">
        <v>52</v>
      </c>
      <c r="I16" s="260">
        <v>492</v>
      </c>
      <c r="J16" s="260">
        <v>377</v>
      </c>
      <c r="K16" s="1103" t="s">
        <v>548</v>
      </c>
      <c r="L16" s="1108" t="s">
        <v>504</v>
      </c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</row>
    <row r="17" spans="2:26">
      <c r="F17" s="224">
        <f>SUM(F5:F9)</f>
        <v>11075</v>
      </c>
      <c r="G17" s="224">
        <f>SUM(G5:G9)</f>
        <v>5142</v>
      </c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</row>
    <row r="18" spans="2:26" ht="19.899999999999999" thickBot="1">
      <c r="F18" s="1"/>
      <c r="G18" s="208">
        <f>ROUNDUP(G17,-1)</f>
        <v>5150</v>
      </c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</row>
    <row r="19" spans="2:26">
      <c r="B19"/>
      <c r="C19"/>
      <c r="D19" s="1"/>
      <c r="E19" s="1"/>
      <c r="F19" s="1"/>
      <c r="G19" s="1"/>
      <c r="H19" s="1"/>
      <c r="I19" s="1"/>
      <c r="J19" s="1"/>
      <c r="K1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</row>
    <row r="20" spans="2:26" ht="26.25" customHeight="1">
      <c r="B20" s="303"/>
      <c r="C20" s="1367" t="s">
        <v>549</v>
      </c>
      <c r="D20" s="1368"/>
      <c r="E20" s="1368"/>
      <c r="F20" s="1368"/>
      <c r="G20" s="1368"/>
      <c r="H20" s="1368"/>
      <c r="I20" s="1368"/>
      <c r="J20" s="1368"/>
      <c r="K20" s="1369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</row>
    <row r="21" spans="2:26" ht="39.6">
      <c r="B21" s="1181" t="s">
        <v>156</v>
      </c>
      <c r="C21" s="1182" t="s">
        <v>31</v>
      </c>
      <c r="D21" s="179" t="s">
        <v>32</v>
      </c>
      <c r="E21" s="179" t="s">
        <v>33</v>
      </c>
      <c r="F21" s="179" t="s">
        <v>34</v>
      </c>
      <c r="G21" s="179" t="s">
        <v>35</v>
      </c>
      <c r="H21" s="179" t="s">
        <v>37</v>
      </c>
      <c r="I21" s="179" t="s">
        <v>38</v>
      </c>
      <c r="J21" s="179" t="s">
        <v>39</v>
      </c>
      <c r="K21" s="1183" t="s">
        <v>40</v>
      </c>
      <c r="L21" s="866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</row>
    <row r="22" spans="2:26">
      <c r="B22" s="1186">
        <v>1</v>
      </c>
      <c r="C22" s="784" t="s">
        <v>61</v>
      </c>
      <c r="D22" s="784" t="s">
        <v>62</v>
      </c>
      <c r="E22" s="785">
        <v>28</v>
      </c>
      <c r="F22" s="1184">
        <v>888</v>
      </c>
      <c r="G22" s="1185">
        <v>355</v>
      </c>
      <c r="H22" s="1185">
        <v>56</v>
      </c>
      <c r="I22" s="1185">
        <v>782</v>
      </c>
      <c r="J22" s="1185">
        <v>370</v>
      </c>
      <c r="K22" s="1187" t="s">
        <v>489</v>
      </c>
      <c r="L22" s="1100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</row>
    <row r="23" spans="2:26">
      <c r="B23" s="1188">
        <v>2</v>
      </c>
      <c r="C23" s="784" t="s">
        <v>64</v>
      </c>
      <c r="D23" s="784" t="s">
        <v>65</v>
      </c>
      <c r="E23" s="785">
        <v>32</v>
      </c>
      <c r="F23" s="786">
        <v>2346</v>
      </c>
      <c r="G23" s="787">
        <v>1384</v>
      </c>
      <c r="H23" s="787">
        <v>41</v>
      </c>
      <c r="I23" s="787">
        <v>733</v>
      </c>
      <c r="J23" s="787">
        <v>421</v>
      </c>
      <c r="K23" s="1189" t="s">
        <v>489</v>
      </c>
      <c r="L23" s="1100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</row>
    <row r="24" spans="2:26" ht="19.5">
      <c r="B24" s="1206">
        <v>3</v>
      </c>
      <c r="C24" s="837" t="s">
        <v>69</v>
      </c>
      <c r="D24" s="837" t="s">
        <v>70</v>
      </c>
      <c r="E24" s="838">
        <v>28</v>
      </c>
      <c r="F24" s="834">
        <v>1419</v>
      </c>
      <c r="G24" s="835">
        <v>440</v>
      </c>
      <c r="H24" s="835">
        <v>69</v>
      </c>
      <c r="I24" s="835">
        <v>3311</v>
      </c>
      <c r="J24" s="835">
        <v>798</v>
      </c>
      <c r="K24" s="1189" t="s">
        <v>489</v>
      </c>
      <c r="L24" s="1100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</row>
    <row r="25" spans="2:26">
      <c r="B25" s="1190">
        <v>4</v>
      </c>
      <c r="C25" s="773" t="s">
        <v>71</v>
      </c>
      <c r="D25" s="773" t="s">
        <v>72</v>
      </c>
      <c r="E25" s="774">
        <v>32</v>
      </c>
      <c r="F25" s="775">
        <v>1087</v>
      </c>
      <c r="G25" s="776">
        <v>413</v>
      </c>
      <c r="H25" s="776">
        <v>62</v>
      </c>
      <c r="I25" s="776">
        <v>3311</v>
      </c>
      <c r="J25" s="776">
        <v>750</v>
      </c>
      <c r="K25" s="1103" t="s">
        <v>235</v>
      </c>
      <c r="L25" s="1100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</row>
    <row r="26" spans="2:26" ht="33.6">
      <c r="B26" s="1191">
        <v>5</v>
      </c>
      <c r="C26" s="784" t="s">
        <v>73</v>
      </c>
      <c r="D26" s="784" t="s">
        <v>72</v>
      </c>
      <c r="E26" s="785">
        <v>44</v>
      </c>
      <c r="F26" s="786">
        <v>818</v>
      </c>
      <c r="G26" s="787">
        <v>450</v>
      </c>
      <c r="H26" s="787">
        <v>45</v>
      </c>
      <c r="I26" s="787">
        <v>3278</v>
      </c>
      <c r="J26" s="787">
        <v>406</v>
      </c>
      <c r="K26" s="1192" t="s">
        <v>493</v>
      </c>
      <c r="L26" s="1100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</row>
    <row r="27" spans="2:26">
      <c r="B27" s="1188">
        <v>6</v>
      </c>
      <c r="C27" s="837" t="s">
        <v>74</v>
      </c>
      <c r="D27" s="837" t="s">
        <v>75</v>
      </c>
      <c r="E27" s="838">
        <v>36</v>
      </c>
      <c r="F27" s="834">
        <v>3076</v>
      </c>
      <c r="G27" s="835">
        <v>1384</v>
      </c>
      <c r="H27" s="835">
        <v>55</v>
      </c>
      <c r="I27" s="835">
        <v>1480</v>
      </c>
      <c r="J27" s="835">
        <v>840</v>
      </c>
      <c r="K27" s="1193" t="s">
        <v>489</v>
      </c>
      <c r="L27" s="1100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</row>
    <row r="28" spans="2:26" s="1078" customFormat="1">
      <c r="B28" s="1188">
        <v>7</v>
      </c>
      <c r="C28" s="837" t="s">
        <v>76</v>
      </c>
      <c r="D28" s="837" t="s">
        <v>77</v>
      </c>
      <c r="E28" s="838">
        <v>20</v>
      </c>
      <c r="F28" s="834">
        <v>715</v>
      </c>
      <c r="G28" s="835">
        <v>250</v>
      </c>
      <c r="H28" s="835">
        <v>65</v>
      </c>
      <c r="I28" s="835">
        <v>478</v>
      </c>
      <c r="J28" s="835">
        <v>160</v>
      </c>
      <c r="K28" s="1194" t="s">
        <v>489</v>
      </c>
      <c r="L28" s="1100" t="s">
        <v>533</v>
      </c>
      <c r="M28" s="1095"/>
      <c r="N28" s="1095"/>
      <c r="O28" s="1095"/>
      <c r="P28" s="1095"/>
      <c r="Q28" s="1095"/>
      <c r="R28" s="1095"/>
      <c r="S28" s="1095"/>
      <c r="T28" s="1095"/>
      <c r="U28" s="1095"/>
      <c r="V28" s="1095"/>
      <c r="W28" s="1095"/>
      <c r="X28" s="1095"/>
      <c r="Y28" s="1095"/>
      <c r="Z28" s="1095"/>
    </row>
    <row r="29" spans="2:26" s="1078" customFormat="1">
      <c r="B29" s="1188">
        <v>8</v>
      </c>
      <c r="C29" s="837" t="s">
        <v>78</v>
      </c>
      <c r="D29" s="837" t="s">
        <v>79</v>
      </c>
      <c r="E29" s="838">
        <v>52</v>
      </c>
      <c r="F29" s="834">
        <v>1133</v>
      </c>
      <c r="G29" s="835">
        <v>1131</v>
      </c>
      <c r="H29" s="835">
        <v>0.2</v>
      </c>
      <c r="I29" s="1180">
        <v>1085</v>
      </c>
      <c r="J29" s="835">
        <v>218</v>
      </c>
      <c r="K29" s="1195" t="s">
        <v>495</v>
      </c>
      <c r="M29" s="1095"/>
      <c r="N29" s="1095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5"/>
      <c r="Z29" s="1095"/>
    </row>
    <row r="30" spans="2:26" s="1078" customFormat="1">
      <c r="B30" s="1188">
        <v>9</v>
      </c>
      <c r="C30" s="784" t="s">
        <v>80</v>
      </c>
      <c r="D30" s="784" t="s">
        <v>81</v>
      </c>
      <c r="E30" s="785">
        <v>32</v>
      </c>
      <c r="F30" s="786">
        <v>2139</v>
      </c>
      <c r="G30" s="787">
        <v>492</v>
      </c>
      <c r="H30" s="787">
        <v>77</v>
      </c>
      <c r="I30" s="787">
        <v>1975</v>
      </c>
      <c r="J30" s="787">
        <v>667</v>
      </c>
      <c r="K30" s="782" t="s">
        <v>535</v>
      </c>
      <c r="L30" s="1100"/>
      <c r="M30" s="1095"/>
      <c r="N30" s="1095"/>
      <c r="O30" s="1095"/>
      <c r="P30" s="1095"/>
      <c r="Q30" s="1095"/>
      <c r="R30" s="1095"/>
      <c r="S30" s="1095"/>
      <c r="T30" s="1095"/>
      <c r="U30" s="1095"/>
      <c r="V30" s="1095"/>
      <c r="W30" s="1095"/>
      <c r="X30" s="1095"/>
      <c r="Y30" s="1095"/>
      <c r="Z30" s="1095"/>
    </row>
    <row r="31" spans="2:26" s="1078" customFormat="1">
      <c r="B31" s="1188">
        <v>10</v>
      </c>
      <c r="C31" s="784" t="s">
        <v>82</v>
      </c>
      <c r="D31" s="784" t="s">
        <v>65</v>
      </c>
      <c r="E31" s="785">
        <v>28</v>
      </c>
      <c r="F31" s="786">
        <v>1466</v>
      </c>
      <c r="G31" s="787">
        <v>1026</v>
      </c>
      <c r="H31" s="787">
        <v>30</v>
      </c>
      <c r="I31" s="787">
        <v>350</v>
      </c>
      <c r="J31" s="787">
        <v>360</v>
      </c>
      <c r="K31" s="1192" t="s">
        <v>489</v>
      </c>
      <c r="L31" s="1100"/>
      <c r="M31" s="1095"/>
      <c r="N31" s="1095"/>
      <c r="O31" s="1095"/>
      <c r="P31" s="1095"/>
      <c r="Q31" s="1095"/>
      <c r="R31" s="1095"/>
      <c r="S31" s="1095"/>
      <c r="T31" s="1095"/>
      <c r="U31" s="1095"/>
      <c r="V31" s="1095"/>
      <c r="W31" s="1095"/>
      <c r="X31" s="1095"/>
      <c r="Y31" s="1095"/>
      <c r="Z31" s="1095"/>
    </row>
    <row r="32" spans="2:26" s="647" customFormat="1">
      <c r="B32" s="1190">
        <v>11</v>
      </c>
      <c r="C32" s="773" t="s">
        <v>83</v>
      </c>
      <c r="D32" s="773" t="s">
        <v>84</v>
      </c>
      <c r="E32" s="774">
        <v>44</v>
      </c>
      <c r="F32" s="775">
        <v>3707</v>
      </c>
      <c r="G32" s="776">
        <v>1112</v>
      </c>
      <c r="H32" s="776">
        <v>70</v>
      </c>
      <c r="I32" s="776">
        <v>1735</v>
      </c>
      <c r="J32" s="776">
        <v>1068</v>
      </c>
      <c r="K32" s="1103" t="s">
        <v>235</v>
      </c>
      <c r="L32" s="1100"/>
      <c r="M32" s="646"/>
      <c r="N32" s="646"/>
      <c r="O32" s="646"/>
      <c r="P32" s="646"/>
      <c r="Q32" s="646"/>
      <c r="R32" s="646"/>
      <c r="S32" s="646"/>
      <c r="T32" s="646"/>
      <c r="U32" s="646"/>
      <c r="V32" s="646"/>
      <c r="W32" s="646"/>
      <c r="X32" s="646"/>
      <c r="Y32" s="646"/>
      <c r="Z32" s="646"/>
    </row>
    <row r="33" spans="2:26" s="1078" customFormat="1" ht="19.5">
      <c r="B33" s="1190">
        <v>12</v>
      </c>
      <c r="C33" s="773" t="s">
        <v>85</v>
      </c>
      <c r="D33" s="773" t="s">
        <v>72</v>
      </c>
      <c r="E33" s="774">
        <v>32</v>
      </c>
      <c r="F33" s="775">
        <v>1702</v>
      </c>
      <c r="G33" s="776">
        <v>1072</v>
      </c>
      <c r="H33" s="776">
        <v>37</v>
      </c>
      <c r="I33" s="776">
        <v>1724</v>
      </c>
      <c r="J33" s="776">
        <v>600</v>
      </c>
      <c r="K33" s="1103" t="s">
        <v>235</v>
      </c>
      <c r="L33" s="1100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</row>
    <row r="34" spans="2:26" s="1078" customFormat="1" ht="33.6">
      <c r="B34" s="1188">
        <v>13</v>
      </c>
      <c r="C34" s="837" t="s">
        <v>86</v>
      </c>
      <c r="D34" s="837" t="s">
        <v>87</v>
      </c>
      <c r="E34" s="838">
        <v>28</v>
      </c>
      <c r="F34" s="834">
        <v>755</v>
      </c>
      <c r="G34" s="835">
        <v>332</v>
      </c>
      <c r="H34" s="835">
        <v>56</v>
      </c>
      <c r="I34" s="835">
        <v>6177</v>
      </c>
      <c r="J34" s="835">
        <v>1850</v>
      </c>
      <c r="K34" s="1193" t="s">
        <v>497</v>
      </c>
      <c r="L34" s="1100" t="s">
        <v>533</v>
      </c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</row>
    <row r="35" spans="2:26" s="1078" customFormat="1">
      <c r="B35" s="1188">
        <v>14</v>
      </c>
      <c r="C35" s="837" t="s">
        <v>88</v>
      </c>
      <c r="D35" s="837" t="s">
        <v>89</v>
      </c>
      <c r="E35" s="838">
        <v>28</v>
      </c>
      <c r="F35" s="834">
        <v>1108</v>
      </c>
      <c r="G35" s="835">
        <v>532</v>
      </c>
      <c r="H35" s="835">
        <v>52</v>
      </c>
      <c r="I35" s="835">
        <v>3495</v>
      </c>
      <c r="J35" s="835">
        <v>363</v>
      </c>
      <c r="K35" s="1195" t="s">
        <v>489</v>
      </c>
      <c r="L35" s="1100"/>
      <c r="M35" s="1095"/>
      <c r="N35" s="1095"/>
      <c r="O35" s="1095"/>
      <c r="P35" s="1095"/>
      <c r="Q35" s="1095"/>
      <c r="R35" s="1095"/>
      <c r="S35" s="1095"/>
      <c r="T35" s="1095"/>
      <c r="U35" s="1095"/>
      <c r="V35" s="1095"/>
      <c r="W35" s="1095"/>
      <c r="X35" s="1095"/>
      <c r="Y35" s="1095"/>
      <c r="Z35" s="1095"/>
    </row>
    <row r="36" spans="2:26" s="647" customFormat="1" ht="19.5">
      <c r="B36" s="1204">
        <v>15</v>
      </c>
      <c r="C36" s="773" t="s">
        <v>90</v>
      </c>
      <c r="D36" s="773" t="s">
        <v>84</v>
      </c>
      <c r="E36" s="774">
        <v>48</v>
      </c>
      <c r="F36" s="775">
        <v>776</v>
      </c>
      <c r="G36" s="776">
        <v>714</v>
      </c>
      <c r="H36" s="776">
        <v>8</v>
      </c>
      <c r="I36" s="776">
        <v>4911</v>
      </c>
      <c r="J36" s="776">
        <v>550</v>
      </c>
      <c r="K36" s="1205" t="s">
        <v>235</v>
      </c>
      <c r="L36" s="1100"/>
      <c r="M36" s="646"/>
      <c r="N36" s="646"/>
      <c r="O36" s="646"/>
      <c r="P36" s="646"/>
      <c r="Q36" s="646"/>
      <c r="R36" s="646"/>
      <c r="S36" s="646"/>
      <c r="T36" s="646"/>
      <c r="U36" s="646"/>
      <c r="V36" s="646"/>
      <c r="W36" s="646"/>
      <c r="X36" s="646"/>
      <c r="Y36" s="646"/>
      <c r="Z36" s="646"/>
    </row>
    <row r="37" spans="2:26" s="647" customFormat="1">
      <c r="B37" s="1188">
        <v>16</v>
      </c>
      <c r="C37" s="784" t="s">
        <v>91</v>
      </c>
      <c r="D37" s="784" t="s">
        <v>89</v>
      </c>
      <c r="E37" s="785">
        <v>36</v>
      </c>
      <c r="F37" s="786">
        <v>497</v>
      </c>
      <c r="G37" s="787">
        <v>496</v>
      </c>
      <c r="H37" s="787">
        <v>0</v>
      </c>
      <c r="I37" s="787">
        <v>1297</v>
      </c>
      <c r="J37" s="787">
        <v>200</v>
      </c>
      <c r="K37" s="1189" t="s">
        <v>489</v>
      </c>
      <c r="L37" s="1100"/>
      <c r="M37" s="646"/>
      <c r="N37" s="646"/>
      <c r="O37" s="646"/>
      <c r="P37" s="646"/>
      <c r="Q37" s="646"/>
      <c r="R37" s="646"/>
      <c r="S37" s="646"/>
      <c r="T37" s="646"/>
      <c r="U37" s="646"/>
      <c r="V37" s="646"/>
      <c r="W37" s="646"/>
      <c r="X37" s="646"/>
      <c r="Y37" s="646"/>
      <c r="Z37" s="646"/>
    </row>
    <row r="38" spans="2:26" s="647" customFormat="1">
      <c r="B38" s="1188">
        <v>17</v>
      </c>
      <c r="C38" s="784" t="s">
        <v>92</v>
      </c>
      <c r="D38" s="784" t="s">
        <v>93</v>
      </c>
      <c r="E38" s="785">
        <v>24</v>
      </c>
      <c r="F38" s="786">
        <v>651</v>
      </c>
      <c r="G38" s="787">
        <v>378</v>
      </c>
      <c r="H38" s="787">
        <v>38</v>
      </c>
      <c r="I38" s="787">
        <v>373</v>
      </c>
      <c r="J38" s="787">
        <v>180</v>
      </c>
      <c r="K38" s="1189" t="s">
        <v>489</v>
      </c>
      <c r="L38" s="1100"/>
      <c r="M38" s="646"/>
      <c r="N38" s="646"/>
      <c r="O38" s="646"/>
      <c r="P38" s="646"/>
      <c r="Q38" s="646"/>
      <c r="R38" s="646"/>
      <c r="S38" s="646"/>
      <c r="T38" s="646"/>
      <c r="U38" s="646"/>
      <c r="V38" s="646"/>
      <c r="W38" s="646"/>
      <c r="X38" s="646"/>
      <c r="Y38" s="646"/>
      <c r="Z38" s="646"/>
    </row>
    <row r="39" spans="2:26" s="647" customFormat="1">
      <c r="B39" s="1188">
        <v>18</v>
      </c>
      <c r="C39" s="784" t="s">
        <v>94</v>
      </c>
      <c r="D39" s="784" t="s">
        <v>67</v>
      </c>
      <c r="E39" s="785">
        <v>32</v>
      </c>
      <c r="F39" s="786">
        <v>1445</v>
      </c>
      <c r="G39" s="787">
        <v>708</v>
      </c>
      <c r="H39" s="787">
        <v>51</v>
      </c>
      <c r="I39" s="787">
        <v>678</v>
      </c>
      <c r="J39" s="787">
        <v>444</v>
      </c>
      <c r="K39" s="1189" t="s">
        <v>489</v>
      </c>
      <c r="L39" s="1100"/>
      <c r="M39" s="646"/>
      <c r="N39" s="646"/>
      <c r="O39" s="646"/>
      <c r="P39" s="646"/>
      <c r="Q39" s="646"/>
      <c r="R39" s="646"/>
      <c r="S39" s="646"/>
      <c r="T39" s="646"/>
      <c r="U39" s="646"/>
      <c r="V39" s="646"/>
      <c r="W39" s="646"/>
      <c r="X39" s="646"/>
      <c r="Y39" s="646"/>
      <c r="Z39" s="646"/>
    </row>
    <row r="40" spans="2:26" s="647" customFormat="1">
      <c r="B40" s="1188">
        <v>19</v>
      </c>
      <c r="C40" s="784" t="s">
        <v>95</v>
      </c>
      <c r="D40" s="784" t="s">
        <v>65</v>
      </c>
      <c r="E40" s="792">
        <v>20</v>
      </c>
      <c r="F40" s="786">
        <v>1053</v>
      </c>
      <c r="G40" s="787">
        <v>379</v>
      </c>
      <c r="H40" s="787">
        <v>64</v>
      </c>
      <c r="I40" s="787">
        <v>437</v>
      </c>
      <c r="J40" s="787">
        <v>305</v>
      </c>
      <c r="K40" s="1189" t="s">
        <v>489</v>
      </c>
      <c r="L40" s="1100"/>
      <c r="M40" s="646"/>
      <c r="N40" s="646"/>
      <c r="O40" s="646"/>
      <c r="P40" s="646"/>
      <c r="Q40" s="646"/>
      <c r="R40" s="646"/>
      <c r="S40" s="646"/>
      <c r="T40" s="646"/>
      <c r="U40" s="646"/>
      <c r="V40" s="646"/>
      <c r="W40" s="646"/>
      <c r="X40" s="646"/>
      <c r="Y40" s="646"/>
      <c r="Z40" s="646"/>
    </row>
    <row r="41" spans="2:26" s="647" customFormat="1">
      <c r="B41" s="1196">
        <v>20</v>
      </c>
      <c r="C41" s="784" t="s">
        <v>96</v>
      </c>
      <c r="D41" s="784" t="s">
        <v>67</v>
      </c>
      <c r="E41" s="792">
        <v>36</v>
      </c>
      <c r="F41" s="786">
        <v>2231</v>
      </c>
      <c r="G41" s="787">
        <v>781</v>
      </c>
      <c r="H41" s="787">
        <v>65</v>
      </c>
      <c r="I41" s="787">
        <v>644</v>
      </c>
      <c r="J41" s="787">
        <v>435</v>
      </c>
      <c r="K41" s="1189" t="s">
        <v>489</v>
      </c>
      <c r="L41" s="1100"/>
      <c r="M41" s="646"/>
      <c r="N41" s="646"/>
      <c r="O41" s="646"/>
      <c r="P41" s="646"/>
      <c r="Q41" s="646"/>
      <c r="R41" s="646"/>
      <c r="S41" s="646"/>
      <c r="T41" s="646"/>
      <c r="U41" s="646"/>
      <c r="V41" s="646"/>
      <c r="W41" s="646"/>
      <c r="X41" s="646"/>
      <c r="Y41" s="646"/>
      <c r="Z41" s="646"/>
    </row>
    <row r="42" spans="2:26" s="647" customFormat="1">
      <c r="B42" s="1196">
        <v>21</v>
      </c>
      <c r="C42" s="773" t="s">
        <v>417</v>
      </c>
      <c r="D42" s="773" t="s">
        <v>418</v>
      </c>
      <c r="E42" s="774">
        <v>24</v>
      </c>
      <c r="F42" s="775">
        <v>1072</v>
      </c>
      <c r="G42" s="776" t="s">
        <v>550</v>
      </c>
      <c r="H42" s="776">
        <v>64</v>
      </c>
      <c r="I42" s="776">
        <v>521</v>
      </c>
      <c r="J42" s="776">
        <v>928</v>
      </c>
      <c r="K42" s="1103" t="s">
        <v>235</v>
      </c>
      <c r="L42" s="1100"/>
      <c r="M42" s="646"/>
      <c r="N42" s="646"/>
      <c r="O42" s="646"/>
      <c r="P42" s="646"/>
      <c r="Q42" s="646"/>
      <c r="R42" s="646"/>
      <c r="S42" s="646"/>
      <c r="T42" s="646"/>
      <c r="U42" s="646"/>
      <c r="V42" s="646"/>
      <c r="W42" s="646"/>
      <c r="X42" s="646"/>
      <c r="Y42" s="646"/>
      <c r="Z42" s="646"/>
    </row>
    <row r="43" spans="2:26" s="647" customFormat="1">
      <c r="B43" s="1196">
        <v>22</v>
      </c>
      <c r="C43" s="773" t="s">
        <v>376</v>
      </c>
      <c r="D43" s="773" t="s">
        <v>89</v>
      </c>
      <c r="E43" s="774">
        <v>24</v>
      </c>
      <c r="F43" s="775">
        <v>1203</v>
      </c>
      <c r="G43" s="776" t="s">
        <v>551</v>
      </c>
      <c r="H43" s="776">
        <v>56</v>
      </c>
      <c r="I43" s="776">
        <v>340</v>
      </c>
      <c r="J43" s="776">
        <v>600</v>
      </c>
      <c r="K43" s="1197" t="s">
        <v>68</v>
      </c>
      <c r="L43" s="1100"/>
      <c r="M43" s="646"/>
      <c r="N43" s="646"/>
      <c r="O43" s="646"/>
      <c r="P43" s="646"/>
      <c r="Q43" s="646"/>
      <c r="R43" s="646"/>
      <c r="S43" s="646"/>
      <c r="T43" s="646"/>
      <c r="U43" s="646"/>
      <c r="V43" s="646"/>
      <c r="W43" s="646"/>
      <c r="X43" s="646"/>
      <c r="Y43" s="646"/>
      <c r="Z43" s="646"/>
    </row>
    <row r="44" spans="2:26" s="647" customFormat="1">
      <c r="B44" s="1196">
        <v>23</v>
      </c>
      <c r="C44" s="773" t="s">
        <v>379</v>
      </c>
      <c r="D44" s="773" t="s">
        <v>380</v>
      </c>
      <c r="E44" s="774">
        <v>20</v>
      </c>
      <c r="F44" s="775">
        <v>758</v>
      </c>
      <c r="G44" s="776" t="s">
        <v>552</v>
      </c>
      <c r="H44" s="776">
        <v>63</v>
      </c>
      <c r="I44" s="776">
        <v>2273</v>
      </c>
      <c r="J44" s="776">
        <v>762</v>
      </c>
      <c r="K44" s="1197" t="s">
        <v>506</v>
      </c>
      <c r="L44" s="1100"/>
      <c r="M44" s="646"/>
      <c r="N44" s="646"/>
      <c r="O44" s="646"/>
      <c r="P44" s="646"/>
      <c r="Q44" s="646"/>
      <c r="R44" s="646"/>
      <c r="S44" s="646"/>
      <c r="T44" s="646"/>
      <c r="U44" s="646"/>
      <c r="V44" s="646"/>
      <c r="W44" s="646"/>
      <c r="X44" s="646"/>
      <c r="Y44" s="646"/>
      <c r="Z44" s="646"/>
    </row>
    <row r="45" spans="2:26" s="647" customFormat="1">
      <c r="B45" s="1198">
        <v>24</v>
      </c>
      <c r="C45" s="1199" t="s">
        <v>351</v>
      </c>
      <c r="D45" s="1199" t="s">
        <v>352</v>
      </c>
      <c r="E45" s="1200">
        <v>24</v>
      </c>
      <c r="F45" s="1201">
        <v>750</v>
      </c>
      <c r="G45" s="1202" t="s">
        <v>553</v>
      </c>
      <c r="H45" s="1202">
        <v>60</v>
      </c>
      <c r="I45" s="1202" t="s">
        <v>164</v>
      </c>
      <c r="J45" s="1202">
        <v>1000</v>
      </c>
      <c r="K45" s="1107" t="s">
        <v>235</v>
      </c>
      <c r="L45" s="1100"/>
      <c r="M45" s="646"/>
      <c r="N45" s="646"/>
      <c r="O45" s="646"/>
      <c r="P45" s="646"/>
      <c r="Q45" s="646"/>
      <c r="R45" s="646"/>
      <c r="S45" s="646"/>
      <c r="T45" s="646"/>
      <c r="U45" s="646"/>
      <c r="V45" s="646"/>
      <c r="W45" s="646"/>
      <c r="X45" s="646"/>
      <c r="Y45" s="646"/>
      <c r="Z45" s="646"/>
    </row>
    <row r="46" spans="2:26" ht="18.75" customHeight="1">
      <c r="B46" s="839"/>
      <c r="C46" s="1160"/>
      <c r="D46" s="1161"/>
      <c r="E46" s="1161"/>
      <c r="F46" s="224">
        <f>SUM(F22:F45)</f>
        <v>32795</v>
      </c>
      <c r="G46" s="224">
        <f>SUM(G22:G45)</f>
        <v>13829</v>
      </c>
      <c r="H46" s="840"/>
      <c r="I46" s="1203"/>
      <c r="J46" s="840"/>
      <c r="K46" s="839"/>
      <c r="L46" s="621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</row>
    <row r="47" spans="2:26" ht="18" customHeight="1">
      <c r="B47" s="839"/>
      <c r="C47" s="1343"/>
      <c r="D47" s="1343"/>
      <c r="E47" s="1343"/>
      <c r="F47" s="842"/>
      <c r="G47" s="208">
        <f>ROUNDUP(G46,-1)</f>
        <v>13830</v>
      </c>
      <c r="H47" s="842"/>
      <c r="I47" s="1162"/>
      <c r="J47" s="839"/>
      <c r="K47" s="839"/>
      <c r="L47" s="621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</row>
    <row r="48" spans="2:26" ht="18.75" customHeight="1">
      <c r="B48" s="839"/>
      <c r="C48" s="839"/>
      <c r="D48" s="842"/>
      <c r="E48" s="842"/>
      <c r="F48" s="842"/>
      <c r="G48"/>
      <c r="H48" s="842"/>
      <c r="I48" s="842"/>
      <c r="J48" s="839"/>
      <c r="K48" s="83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</row>
    <row r="49" spans="2:26" ht="15" customHeight="1">
      <c r="B49" s="178"/>
      <c r="C49" s="178"/>
      <c r="D49" s="178"/>
      <c r="E49" s="178"/>
      <c r="F49" s="178"/>
      <c r="G49" s="178"/>
      <c r="H49" s="178"/>
      <c r="I49" s="178"/>
      <c r="J49" s="178"/>
      <c r="K49" s="115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</row>
    <row r="50" spans="2:26">
      <c r="B50" s="178"/>
      <c r="C50" s="178"/>
      <c r="D50" s="178"/>
      <c r="E50" s="178"/>
      <c r="F50" s="178"/>
      <c r="G50" s="178"/>
      <c r="H50" s="178"/>
      <c r="I50" s="178"/>
      <c r="J50" s="178"/>
      <c r="K50" s="1159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</row>
    <row r="51" spans="2:26" ht="25.9" customHeight="1">
      <c r="B51" s="1375" t="s">
        <v>554</v>
      </c>
      <c r="C51" s="1375"/>
      <c r="D51" s="1375"/>
      <c r="E51" s="1375"/>
      <c r="F51" s="1375"/>
      <c r="G51" s="1375"/>
      <c r="H51" s="1375"/>
      <c r="I51" s="1375"/>
      <c r="J51" s="1375"/>
      <c r="K51" s="1375"/>
      <c r="L51" s="866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</row>
    <row r="52" spans="2:26" ht="39.6">
      <c r="B52" s="1154" t="s">
        <v>156</v>
      </c>
      <c r="C52" s="1154" t="s">
        <v>31</v>
      </c>
      <c r="D52" s="1155" t="s">
        <v>32</v>
      </c>
      <c r="E52" s="1155" t="s">
        <v>33</v>
      </c>
      <c r="F52" s="1155" t="s">
        <v>34</v>
      </c>
      <c r="G52" s="1155" t="s">
        <v>35</v>
      </c>
      <c r="H52" s="1155" t="s">
        <v>37</v>
      </c>
      <c r="I52" s="1156" t="s">
        <v>38</v>
      </c>
      <c r="J52" s="1156" t="s">
        <v>39</v>
      </c>
      <c r="K52" s="1157" t="s">
        <v>40</v>
      </c>
      <c r="L52" s="579"/>
      <c r="M52" s="621"/>
      <c r="N52" s="621"/>
      <c r="O52" s="621"/>
      <c r="P52" s="621"/>
      <c r="Q52" s="621"/>
      <c r="R52" s="579"/>
      <c r="S52" s="579"/>
      <c r="T52" s="579"/>
      <c r="U52" s="579"/>
      <c r="V52" s="579"/>
      <c r="W52" s="579"/>
      <c r="X52" s="579"/>
      <c r="Y52" s="579"/>
      <c r="Z52" s="579"/>
    </row>
    <row r="53" spans="2:26">
      <c r="B53" s="263">
        <v>1</v>
      </c>
      <c r="C53" s="253" t="s">
        <v>98</v>
      </c>
      <c r="D53" s="254" t="s">
        <v>99</v>
      </c>
      <c r="E53" s="255">
        <v>36</v>
      </c>
      <c r="F53" s="197">
        <v>1717</v>
      </c>
      <c r="G53" s="197">
        <v>996</v>
      </c>
      <c r="H53" s="197">
        <v>42</v>
      </c>
      <c r="I53" s="255">
        <v>533</v>
      </c>
      <c r="J53" s="255">
        <v>300</v>
      </c>
      <c r="K53" s="1130"/>
      <c r="L53" s="1134"/>
      <c r="M53" s="621"/>
      <c r="O53" s="621"/>
      <c r="P53" s="621"/>
      <c r="Q53" s="621"/>
      <c r="R53" s="621"/>
      <c r="S53" s="621"/>
      <c r="T53" s="621"/>
      <c r="U53" s="621"/>
      <c r="V53" s="621"/>
      <c r="W53" s="621"/>
      <c r="X53" s="621"/>
      <c r="Y53" s="621"/>
      <c r="Z53" s="621"/>
    </row>
    <row r="54" spans="2:26" ht="18.75" customHeight="1">
      <c r="B54" s="263">
        <v>2</v>
      </c>
      <c r="C54" s="253" t="s">
        <v>100</v>
      </c>
      <c r="D54" s="254" t="s">
        <v>101</v>
      </c>
      <c r="E54" s="255">
        <v>36</v>
      </c>
      <c r="F54" s="197">
        <v>814</v>
      </c>
      <c r="G54" s="197">
        <v>812</v>
      </c>
      <c r="H54" s="197">
        <v>0</v>
      </c>
      <c r="I54" s="255">
        <v>379</v>
      </c>
      <c r="J54" s="255">
        <v>181</v>
      </c>
      <c r="K54" s="1130"/>
      <c r="L54" s="1134"/>
      <c r="M54" s="621"/>
      <c r="O54" s="621"/>
      <c r="P54" s="621"/>
      <c r="Q54" s="621"/>
      <c r="R54" s="621"/>
      <c r="S54" s="621"/>
      <c r="T54" s="621"/>
      <c r="U54" s="621"/>
      <c r="V54" s="621"/>
      <c r="W54" s="621"/>
      <c r="X54" s="621"/>
      <c r="Y54" s="621"/>
      <c r="Z54" s="621"/>
    </row>
    <row r="55" spans="2:26" ht="15" customHeight="1">
      <c r="B55" s="210">
        <v>3</v>
      </c>
      <c r="C55" s="216" t="s">
        <v>104</v>
      </c>
      <c r="D55" s="192" t="s">
        <v>99</v>
      </c>
      <c r="E55" s="193">
        <v>24</v>
      </c>
      <c r="F55" s="194">
        <v>857</v>
      </c>
      <c r="G55" s="194">
        <v>317</v>
      </c>
      <c r="H55" s="194">
        <v>63</v>
      </c>
      <c r="I55" s="193">
        <v>362</v>
      </c>
      <c r="J55" s="193">
        <v>252</v>
      </c>
      <c r="K55" s="846"/>
      <c r="L55" s="1134"/>
      <c r="M55" s="621"/>
      <c r="N55" s="621"/>
      <c r="O55" s="621"/>
      <c r="P55" s="621"/>
      <c r="Q55" s="621"/>
      <c r="R55" s="621"/>
      <c r="S55" s="621"/>
      <c r="T55" s="621"/>
      <c r="U55" s="621"/>
      <c r="V55" s="621"/>
      <c r="W55" s="621"/>
      <c r="X55" s="621"/>
      <c r="Y55" s="621"/>
      <c r="Z55" s="621"/>
    </row>
    <row r="56" spans="2:26">
      <c r="B56" s="222">
        <v>4</v>
      </c>
      <c r="C56" s="218" t="s">
        <v>106</v>
      </c>
      <c r="D56" s="219" t="s">
        <v>103</v>
      </c>
      <c r="E56" s="220">
        <v>28</v>
      </c>
      <c r="F56" s="221">
        <v>764</v>
      </c>
      <c r="G56" s="221">
        <v>565</v>
      </c>
      <c r="H56" s="221">
        <v>26</v>
      </c>
      <c r="I56" s="220">
        <v>991</v>
      </c>
      <c r="J56" s="220">
        <v>348</v>
      </c>
      <c r="K56" s="782" t="s">
        <v>535</v>
      </c>
      <c r="L56" s="1134"/>
      <c r="M56" s="621"/>
      <c r="N56" s="621"/>
      <c r="O56" s="621"/>
      <c r="P56" s="621"/>
      <c r="Q56" s="621"/>
      <c r="R56" s="621"/>
      <c r="S56" s="621"/>
      <c r="T56" s="621"/>
      <c r="U56" s="621"/>
      <c r="V56" s="621"/>
      <c r="W56" s="621"/>
      <c r="X56" s="621"/>
      <c r="Y56" s="621"/>
      <c r="Z56" s="621"/>
    </row>
    <row r="57" spans="2:26">
      <c r="B57" s="210">
        <v>5</v>
      </c>
      <c r="C57" s="216" t="s">
        <v>109</v>
      </c>
      <c r="D57" s="192" t="s">
        <v>110</v>
      </c>
      <c r="E57" s="193">
        <v>28</v>
      </c>
      <c r="F57" s="194">
        <v>1209</v>
      </c>
      <c r="G57" s="194">
        <v>568</v>
      </c>
      <c r="H57" s="194">
        <v>53</v>
      </c>
      <c r="I57" s="193">
        <v>433</v>
      </c>
      <c r="J57" s="193">
        <v>220</v>
      </c>
      <c r="K57" s="846"/>
      <c r="L57" s="1134"/>
      <c r="M57" s="621"/>
      <c r="N57" s="621"/>
      <c r="O57" s="621"/>
      <c r="P57" s="621"/>
      <c r="Q57" s="621"/>
      <c r="R57" s="621"/>
      <c r="S57" s="621"/>
      <c r="T57" s="621"/>
      <c r="U57" s="621"/>
      <c r="V57" s="621"/>
      <c r="W57" s="621"/>
      <c r="X57" s="621"/>
      <c r="Y57" s="621"/>
      <c r="Z57" s="621"/>
    </row>
    <row r="58" spans="2:26" ht="15" customHeight="1">
      <c r="B58" s="210">
        <v>6</v>
      </c>
      <c r="C58" s="216" t="s">
        <v>111</v>
      </c>
      <c r="D58" s="192" t="s">
        <v>99</v>
      </c>
      <c r="E58" s="193">
        <v>36</v>
      </c>
      <c r="F58" s="194">
        <v>2807</v>
      </c>
      <c r="G58" s="194">
        <v>1263</v>
      </c>
      <c r="H58" s="194">
        <v>55</v>
      </c>
      <c r="I58" s="193">
        <v>415</v>
      </c>
      <c r="J58" s="193">
        <v>348</v>
      </c>
      <c r="K58" s="846"/>
      <c r="L58" s="1134"/>
      <c r="M58" s="621"/>
      <c r="N58" s="621"/>
      <c r="O58" s="621"/>
      <c r="P58" s="621"/>
      <c r="Q58" s="621"/>
      <c r="R58" s="621"/>
      <c r="S58" s="621"/>
      <c r="T58" s="621"/>
      <c r="U58" s="621"/>
      <c r="V58" s="621"/>
      <c r="W58" s="621"/>
      <c r="X58" s="621"/>
      <c r="Y58" s="621"/>
      <c r="Z58" s="621"/>
    </row>
    <row r="59" spans="2:26">
      <c r="B59" s="210">
        <v>7</v>
      </c>
      <c r="C59" s="253" t="s">
        <v>112</v>
      </c>
      <c r="D59" s="254" t="s">
        <v>103</v>
      </c>
      <c r="E59" s="255">
        <v>56</v>
      </c>
      <c r="F59" s="197">
        <v>6056</v>
      </c>
      <c r="G59" s="197">
        <v>5251</v>
      </c>
      <c r="H59" s="197">
        <v>13</v>
      </c>
      <c r="I59" s="255">
        <v>421</v>
      </c>
      <c r="J59" s="255">
        <v>580</v>
      </c>
      <c r="K59" s="1140"/>
      <c r="L59" s="1134"/>
      <c r="M59" s="871"/>
      <c r="N59" s="871"/>
      <c r="O59" s="871"/>
      <c r="P59" s="871"/>
      <c r="Q59" s="871"/>
      <c r="R59" s="621"/>
      <c r="S59" s="621"/>
      <c r="T59" s="621"/>
      <c r="U59" s="621"/>
      <c r="V59" s="621"/>
      <c r="W59" s="621"/>
      <c r="X59" s="621"/>
      <c r="Y59" s="621"/>
      <c r="Z59" s="621"/>
    </row>
    <row r="60" spans="2:26">
      <c r="B60" s="263">
        <v>8</v>
      </c>
      <c r="C60" s="216" t="s">
        <v>113</v>
      </c>
      <c r="D60" s="192" t="s">
        <v>103</v>
      </c>
      <c r="E60" s="193">
        <v>36</v>
      </c>
      <c r="F60" s="194">
        <v>1960</v>
      </c>
      <c r="G60" s="194">
        <v>1647</v>
      </c>
      <c r="H60" s="194">
        <v>16</v>
      </c>
      <c r="I60" s="193">
        <v>511</v>
      </c>
      <c r="J60" s="193">
        <v>363</v>
      </c>
      <c r="K60" s="846"/>
      <c r="L60" s="1134"/>
      <c r="M60" s="872"/>
      <c r="O60" s="873"/>
      <c r="P60" s="873"/>
      <c r="Q60" s="873"/>
      <c r="R60" s="871"/>
      <c r="S60" s="871"/>
      <c r="T60" s="871"/>
      <c r="U60" s="871"/>
      <c r="V60" s="871"/>
      <c r="W60" s="871"/>
      <c r="X60" s="871"/>
      <c r="Y60" s="621"/>
      <c r="Z60" s="621"/>
    </row>
    <row r="61" spans="2:26">
      <c r="B61" s="263">
        <v>9</v>
      </c>
      <c r="C61" s="216" t="s">
        <v>114</v>
      </c>
      <c r="D61" s="192" t="s">
        <v>99</v>
      </c>
      <c r="E61" s="193">
        <v>20</v>
      </c>
      <c r="F61" s="194">
        <v>848</v>
      </c>
      <c r="G61" s="194">
        <v>756</v>
      </c>
      <c r="H61" s="194">
        <v>11</v>
      </c>
      <c r="I61" s="193">
        <v>359</v>
      </c>
      <c r="J61" s="193">
        <v>560</v>
      </c>
      <c r="K61" s="846"/>
      <c r="L61" s="1134"/>
      <c r="M61" s="872"/>
      <c r="O61" s="872"/>
      <c r="P61" s="872"/>
      <c r="Q61" s="872"/>
      <c r="R61" s="873"/>
      <c r="S61" s="873"/>
      <c r="T61" s="873"/>
      <c r="U61" s="873"/>
      <c r="V61" s="873"/>
      <c r="W61" s="873"/>
      <c r="X61" s="873"/>
      <c r="Y61" s="870"/>
      <c r="Z61" s="621"/>
    </row>
    <row r="62" spans="2:26">
      <c r="B62" s="210">
        <v>10</v>
      </c>
      <c r="C62" s="216" t="s">
        <v>115</v>
      </c>
      <c r="D62" s="192" t="s">
        <v>105</v>
      </c>
      <c r="E62" s="193">
        <v>40</v>
      </c>
      <c r="F62" s="194">
        <v>2319</v>
      </c>
      <c r="G62" s="194">
        <v>1320</v>
      </c>
      <c r="H62" s="194">
        <v>43</v>
      </c>
      <c r="I62" s="193">
        <v>515</v>
      </c>
      <c r="J62" s="193">
        <v>300</v>
      </c>
      <c r="K62" s="846"/>
      <c r="L62" s="1134"/>
      <c r="M62" s="621"/>
      <c r="N62" s="621"/>
      <c r="O62" s="621"/>
      <c r="P62" s="621"/>
      <c r="Q62" s="621"/>
      <c r="R62" s="872"/>
      <c r="S62" s="872"/>
      <c r="T62" s="872"/>
      <c r="U62" s="872"/>
      <c r="V62" s="872"/>
      <c r="W62" s="872"/>
      <c r="X62" s="872"/>
      <c r="Y62" s="621"/>
      <c r="Z62" s="621"/>
    </row>
    <row r="63" spans="2:26">
      <c r="B63" s="210">
        <v>11</v>
      </c>
      <c r="C63" s="253" t="s">
        <v>116</v>
      </c>
      <c r="D63" s="254" t="s">
        <v>117</v>
      </c>
      <c r="E63" s="255">
        <v>24</v>
      </c>
      <c r="F63" s="197">
        <v>1146</v>
      </c>
      <c r="G63" s="197">
        <v>550</v>
      </c>
      <c r="H63" s="197">
        <v>52</v>
      </c>
      <c r="I63" s="255">
        <v>633</v>
      </c>
      <c r="J63" s="255">
        <v>261</v>
      </c>
      <c r="K63" s="990"/>
      <c r="L63" s="1134"/>
      <c r="M63" s="1152"/>
      <c r="N63" s="621"/>
      <c r="O63" s="621"/>
      <c r="P63" s="621"/>
      <c r="Q63" s="621"/>
      <c r="R63" s="621"/>
      <c r="S63" s="621"/>
      <c r="T63" s="621"/>
      <c r="U63" s="621"/>
      <c r="V63" s="621"/>
      <c r="W63" s="621"/>
      <c r="X63" s="621"/>
      <c r="Y63" s="621"/>
      <c r="Z63" s="621"/>
    </row>
    <row r="64" spans="2:26">
      <c r="B64" s="210">
        <v>12</v>
      </c>
      <c r="C64" s="253" t="s">
        <v>119</v>
      </c>
      <c r="D64" s="254" t="s">
        <v>103</v>
      </c>
      <c r="E64" s="255">
        <v>28</v>
      </c>
      <c r="F64" s="197">
        <v>745</v>
      </c>
      <c r="G64" s="197">
        <v>454</v>
      </c>
      <c r="H64" s="197">
        <v>39</v>
      </c>
      <c r="I64" s="255">
        <v>355</v>
      </c>
      <c r="J64" s="255">
        <v>203</v>
      </c>
      <c r="K64" s="779"/>
      <c r="L64" s="1134"/>
      <c r="M64" s="621"/>
      <c r="N64" s="621"/>
      <c r="O64" s="621"/>
      <c r="P64" s="621"/>
      <c r="Q64" s="621"/>
      <c r="R64" s="621"/>
      <c r="S64" s="621"/>
      <c r="T64" s="621"/>
      <c r="U64" s="621"/>
      <c r="V64" s="621"/>
      <c r="W64" s="621"/>
      <c r="X64" s="621"/>
      <c r="Y64" s="621"/>
      <c r="Z64" s="621"/>
    </row>
    <row r="65" spans="2:26">
      <c r="B65" s="263">
        <v>13</v>
      </c>
      <c r="C65" s="216" t="s">
        <v>120</v>
      </c>
      <c r="D65" s="192" t="s">
        <v>101</v>
      </c>
      <c r="E65" s="193">
        <v>20</v>
      </c>
      <c r="F65" s="194">
        <v>400</v>
      </c>
      <c r="G65" s="194">
        <v>188</v>
      </c>
      <c r="H65" s="194">
        <v>53</v>
      </c>
      <c r="I65" s="193">
        <v>527</v>
      </c>
      <c r="J65" s="193">
        <v>104</v>
      </c>
      <c r="K65" s="846"/>
      <c r="L65" s="1135"/>
      <c r="M65" s="621"/>
      <c r="N65" s="621"/>
      <c r="O65" s="621"/>
      <c r="P65" s="621"/>
      <c r="Q65" s="621"/>
      <c r="R65" s="621"/>
      <c r="S65" s="621"/>
      <c r="T65" s="621"/>
      <c r="U65" s="621"/>
      <c r="V65" s="621"/>
      <c r="W65" s="621"/>
      <c r="X65" s="621"/>
      <c r="Y65" s="621"/>
      <c r="Z65" s="621"/>
    </row>
    <row r="66" spans="2:26">
      <c r="B66" s="222">
        <v>14</v>
      </c>
      <c r="C66" s="218" t="s">
        <v>121</v>
      </c>
      <c r="D66" s="219" t="s">
        <v>105</v>
      </c>
      <c r="E66" s="220">
        <v>24</v>
      </c>
      <c r="F66" s="221">
        <v>233</v>
      </c>
      <c r="G66" s="221">
        <v>192</v>
      </c>
      <c r="H66" s="221">
        <v>18</v>
      </c>
      <c r="I66" s="220">
        <v>292</v>
      </c>
      <c r="J66" s="220">
        <v>130</v>
      </c>
      <c r="K66" s="848" t="s">
        <v>536</v>
      </c>
      <c r="L66" s="1134"/>
      <c r="M66" s="1153"/>
      <c r="N66" s="621"/>
      <c r="O66" s="621"/>
      <c r="P66" s="621"/>
      <c r="Q66" s="621"/>
      <c r="R66" s="621"/>
      <c r="S66" s="621"/>
      <c r="T66" s="621"/>
      <c r="U66" s="621"/>
      <c r="V66" s="621"/>
      <c r="W66" s="621"/>
      <c r="X66" s="621"/>
      <c r="Y66" s="621"/>
      <c r="Z66" s="621"/>
    </row>
    <row r="67" spans="2:26">
      <c r="B67" s="263">
        <v>15</v>
      </c>
      <c r="C67" s="253" t="s">
        <v>122</v>
      </c>
      <c r="D67" s="254" t="s">
        <v>110</v>
      </c>
      <c r="E67" s="255">
        <v>24</v>
      </c>
      <c r="F67" s="197">
        <v>1144</v>
      </c>
      <c r="G67" s="197">
        <v>1036</v>
      </c>
      <c r="H67" s="197">
        <v>9</v>
      </c>
      <c r="I67" s="255">
        <v>583</v>
      </c>
      <c r="J67" s="255">
        <v>530</v>
      </c>
      <c r="K67" s="779"/>
      <c r="L67" s="1134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</row>
    <row r="68" spans="2:26">
      <c r="B68" s="263">
        <v>16</v>
      </c>
      <c r="C68" s="253" t="s">
        <v>123</v>
      </c>
      <c r="D68" s="254" t="s">
        <v>124</v>
      </c>
      <c r="E68" s="255">
        <v>24</v>
      </c>
      <c r="F68" s="197">
        <v>948</v>
      </c>
      <c r="G68" s="197">
        <v>313</v>
      </c>
      <c r="H68" s="197">
        <v>67</v>
      </c>
      <c r="I68" s="255">
        <v>975</v>
      </c>
      <c r="J68" s="255">
        <v>304</v>
      </c>
      <c r="K68" s="779"/>
      <c r="L68" s="1134"/>
      <c r="M68" s="621"/>
      <c r="N68" s="621"/>
      <c r="O68" s="621"/>
      <c r="P68" s="621"/>
      <c r="Q68" s="621"/>
      <c r="R68" s="621"/>
      <c r="S68" s="621"/>
      <c r="T68" s="621"/>
      <c r="U68" s="621"/>
      <c r="V68" s="621"/>
      <c r="W68" s="621"/>
      <c r="X68" s="621"/>
      <c r="Y68" s="621"/>
      <c r="Z68" s="621"/>
    </row>
    <row r="69" spans="2:26">
      <c r="B69" s="222">
        <v>17</v>
      </c>
      <c r="C69" s="218" t="s">
        <v>127</v>
      </c>
      <c r="D69" s="219" t="s">
        <v>101</v>
      </c>
      <c r="E69" s="220">
        <v>36</v>
      </c>
      <c r="F69" s="221">
        <v>3083</v>
      </c>
      <c r="G69" s="221">
        <v>894</v>
      </c>
      <c r="H69" s="221">
        <v>71</v>
      </c>
      <c r="I69" s="220">
        <v>360</v>
      </c>
      <c r="J69" s="220">
        <v>220</v>
      </c>
      <c r="K69" s="848" t="s">
        <v>235</v>
      </c>
      <c r="L69" s="1134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</row>
    <row r="70" spans="2:26" ht="26.45">
      <c r="B70" s="210">
        <v>18</v>
      </c>
      <c r="C70" s="253" t="s">
        <v>132</v>
      </c>
      <c r="D70" s="254" t="s">
        <v>133</v>
      </c>
      <c r="E70" s="255">
        <v>24</v>
      </c>
      <c r="F70" s="197">
        <v>530</v>
      </c>
      <c r="G70" s="197">
        <v>297</v>
      </c>
      <c r="H70" s="197">
        <v>44</v>
      </c>
      <c r="I70" s="255">
        <v>299</v>
      </c>
      <c r="J70" s="255">
        <v>145</v>
      </c>
      <c r="K70" s="779"/>
      <c r="L70" s="1134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</row>
    <row r="71" spans="2:26">
      <c r="B71" s="210">
        <v>19</v>
      </c>
      <c r="C71" s="216" t="s">
        <v>134</v>
      </c>
      <c r="D71" s="192" t="s">
        <v>135</v>
      </c>
      <c r="E71" s="193">
        <v>20</v>
      </c>
      <c r="F71" s="194">
        <v>410</v>
      </c>
      <c r="G71" s="194">
        <v>197</v>
      </c>
      <c r="H71" s="194">
        <v>52</v>
      </c>
      <c r="I71" s="193">
        <v>1272</v>
      </c>
      <c r="J71" s="193">
        <v>493</v>
      </c>
      <c r="K71" s="846"/>
      <c r="L71" s="1134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</row>
    <row r="72" spans="2:26">
      <c r="B72" s="210">
        <v>20</v>
      </c>
      <c r="C72" s="216" t="s">
        <v>136</v>
      </c>
      <c r="D72" s="192" t="s">
        <v>105</v>
      </c>
      <c r="E72" s="193">
        <v>40</v>
      </c>
      <c r="F72" s="194">
        <v>2484</v>
      </c>
      <c r="G72" s="194">
        <v>1195</v>
      </c>
      <c r="H72" s="194">
        <v>52</v>
      </c>
      <c r="I72" s="193">
        <v>329</v>
      </c>
      <c r="J72" s="193">
        <v>340</v>
      </c>
      <c r="K72" s="848"/>
      <c r="L72" s="1134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</row>
    <row r="73" spans="2:26">
      <c r="B73" s="210">
        <v>21</v>
      </c>
      <c r="C73" s="253" t="s">
        <v>137</v>
      </c>
      <c r="D73" s="254" t="s">
        <v>110</v>
      </c>
      <c r="E73" s="255">
        <v>40</v>
      </c>
      <c r="F73" s="197">
        <v>2664</v>
      </c>
      <c r="G73" s="197">
        <v>1039</v>
      </c>
      <c r="H73" s="197">
        <v>61</v>
      </c>
      <c r="I73" s="197">
        <v>347</v>
      </c>
      <c r="J73" s="197">
        <v>260</v>
      </c>
      <c r="K73" s="779"/>
      <c r="L73" s="1134"/>
      <c r="M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</row>
    <row r="74" spans="2:26" ht="21" customHeight="1">
      <c r="B74" s="222">
        <v>22</v>
      </c>
      <c r="C74" s="218" t="s">
        <v>107</v>
      </c>
      <c r="D74" s="219" t="s">
        <v>103</v>
      </c>
      <c r="E74" s="220">
        <v>28</v>
      </c>
      <c r="F74" s="221">
        <v>880</v>
      </c>
      <c r="G74" s="221" t="s">
        <v>555</v>
      </c>
      <c r="H74" s="221">
        <v>70</v>
      </c>
      <c r="I74" s="220">
        <v>292</v>
      </c>
      <c r="J74" s="220">
        <v>140</v>
      </c>
      <c r="K74" s="847" t="s">
        <v>260</v>
      </c>
      <c r="L74" s="1134"/>
      <c r="M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</row>
    <row r="75" spans="2:26" ht="18.75" customHeight="1">
      <c r="B75" s="222">
        <v>23</v>
      </c>
      <c r="C75" s="218" t="s">
        <v>128</v>
      </c>
      <c r="D75" s="219" t="s">
        <v>105</v>
      </c>
      <c r="E75" s="220">
        <v>24</v>
      </c>
      <c r="F75" s="221">
        <v>743</v>
      </c>
      <c r="G75" s="221" t="s">
        <v>556</v>
      </c>
      <c r="H75" s="221">
        <v>52</v>
      </c>
      <c r="I75" s="220">
        <v>303</v>
      </c>
      <c r="J75" s="220">
        <v>190</v>
      </c>
      <c r="K75" s="847" t="s">
        <v>260</v>
      </c>
      <c r="L75" s="1134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</row>
    <row r="76" spans="2:26" ht="18.75" customHeight="1">
      <c r="B76" s="222">
        <v>24</v>
      </c>
      <c r="C76" s="218" t="s">
        <v>118</v>
      </c>
      <c r="D76" s="219" t="s">
        <v>99</v>
      </c>
      <c r="E76" s="220">
        <v>24</v>
      </c>
      <c r="F76" s="849">
        <v>797</v>
      </c>
      <c r="G76" s="849">
        <v>390</v>
      </c>
      <c r="H76" s="221">
        <v>51</v>
      </c>
      <c r="I76" s="220">
        <v>450</v>
      </c>
      <c r="J76" s="220">
        <v>315</v>
      </c>
      <c r="K76" s="847" t="s">
        <v>260</v>
      </c>
      <c r="L76" s="1134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</row>
    <row r="77" spans="2:26" ht="18.75" customHeight="1">
      <c r="B77" s="222">
        <v>25</v>
      </c>
      <c r="C77" s="218" t="s">
        <v>129</v>
      </c>
      <c r="D77" s="219" t="s">
        <v>99</v>
      </c>
      <c r="E77" s="220">
        <v>20</v>
      </c>
      <c r="F77" s="221">
        <v>700</v>
      </c>
      <c r="G77" s="221">
        <v>427</v>
      </c>
      <c r="H77" s="221">
        <v>39</v>
      </c>
      <c r="I77" s="220">
        <v>345</v>
      </c>
      <c r="J77" s="220">
        <v>100</v>
      </c>
      <c r="K77" s="848" t="s">
        <v>68</v>
      </c>
      <c r="L77" s="1134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</row>
    <row r="78" spans="2:26" ht="20.45" customHeight="1">
      <c r="B78" s="222">
        <v>26</v>
      </c>
      <c r="C78" s="218" t="s">
        <v>130</v>
      </c>
      <c r="D78" s="219" t="s">
        <v>105</v>
      </c>
      <c r="E78" s="220">
        <v>16</v>
      </c>
      <c r="F78" s="221">
        <v>791</v>
      </c>
      <c r="G78" s="220">
        <v>340</v>
      </c>
      <c r="H78" s="221">
        <v>57</v>
      </c>
      <c r="I78" s="220">
        <v>309</v>
      </c>
      <c r="J78" s="220">
        <v>182</v>
      </c>
      <c r="K78" s="848" t="s">
        <v>68</v>
      </c>
      <c r="L78" s="1135"/>
      <c r="M78" s="579"/>
      <c r="N78" s="579"/>
      <c r="O78" s="579"/>
      <c r="P78" s="579"/>
      <c r="Q78" s="579"/>
      <c r="R78" s="621"/>
      <c r="S78" s="621"/>
      <c r="T78" s="621"/>
      <c r="U78" s="621"/>
      <c r="V78" s="621"/>
      <c r="W78" s="621"/>
      <c r="X78" s="621"/>
      <c r="Y78" s="621"/>
      <c r="Z78" s="621"/>
    </row>
    <row r="79" spans="2:26" ht="21" customHeight="1">
      <c r="B79" s="222">
        <v>27</v>
      </c>
      <c r="C79" s="218" t="s">
        <v>131</v>
      </c>
      <c r="D79" s="219" t="s">
        <v>110</v>
      </c>
      <c r="E79" s="220">
        <v>24</v>
      </c>
      <c r="F79" s="221">
        <v>878</v>
      </c>
      <c r="G79" s="220">
        <v>430</v>
      </c>
      <c r="H79" s="221">
        <v>51</v>
      </c>
      <c r="I79" s="220">
        <v>486</v>
      </c>
      <c r="J79" s="220">
        <v>377</v>
      </c>
      <c r="K79" s="848" t="s">
        <v>68</v>
      </c>
      <c r="L79" s="1135"/>
      <c r="M79" s="579"/>
      <c r="N79" s="579"/>
      <c r="O79" s="579"/>
      <c r="P79" s="579"/>
      <c r="Q79" s="579"/>
      <c r="R79" s="621"/>
      <c r="S79" s="621"/>
      <c r="T79" s="621"/>
      <c r="U79" s="621"/>
      <c r="V79" s="621"/>
      <c r="W79" s="621"/>
      <c r="X79" s="621"/>
      <c r="Y79" s="621"/>
      <c r="Z79" s="621"/>
    </row>
    <row r="80" spans="2:26" ht="21" customHeight="1">
      <c r="B80"/>
      <c r="C80" s="1158"/>
      <c r="D80" s="1158"/>
      <c r="E80" s="1158"/>
      <c r="F80" s="850">
        <f>SUM(F53:F73)</f>
        <v>33138</v>
      </c>
      <c r="G80" s="850">
        <f>SUM(G53:G73)</f>
        <v>19850</v>
      </c>
      <c r="H80" s="225"/>
      <c r="I80" s="408"/>
      <c r="J80" s="225"/>
      <c r="K80"/>
      <c r="L80" s="1135"/>
      <c r="M80" s="579"/>
      <c r="N80" s="579"/>
      <c r="O80" s="579"/>
      <c r="P80" s="579"/>
      <c r="Q80" s="579"/>
      <c r="R80" s="621"/>
      <c r="S80" s="621"/>
      <c r="T80" s="621"/>
      <c r="U80" s="621"/>
      <c r="V80" s="621"/>
      <c r="W80" s="621"/>
      <c r="X80" s="621"/>
      <c r="Y80" s="621"/>
      <c r="Z80" s="621"/>
    </row>
    <row r="81" spans="2:26" ht="21" customHeight="1">
      <c r="B81"/>
      <c r="C81"/>
      <c r="D81"/>
      <c r="E81"/>
      <c r="F81" s="1"/>
      <c r="G81" s="852">
        <f>ROUNDUP(G80,-1)</f>
        <v>19850</v>
      </c>
      <c r="H81" s="1"/>
      <c r="I81"/>
      <c r="J81" s="621"/>
      <c r="K81" s="579"/>
      <c r="L81" s="1135"/>
      <c r="M81" s="579"/>
      <c r="N81" s="579"/>
      <c r="O81" s="579"/>
      <c r="P81" s="579"/>
      <c r="Q81" s="579"/>
      <c r="R81" s="621"/>
      <c r="S81" s="621"/>
      <c r="T81" s="621"/>
      <c r="U81" s="621"/>
      <c r="V81" s="621"/>
      <c r="W81" s="621"/>
      <c r="X81" s="621"/>
      <c r="Y81" s="621"/>
      <c r="Z81" s="621"/>
    </row>
    <row r="82" spans="2:26" ht="21.75" customHeight="1">
      <c r="B82"/>
      <c r="C82"/>
      <c r="D82" s="1"/>
      <c r="E82" s="1"/>
      <c r="F82" s="1"/>
      <c r="G82" s="1"/>
      <c r="H82" s="1"/>
      <c r="I82" s="1"/>
      <c r="J82" s="1"/>
      <c r="K82"/>
      <c r="L82" s="579"/>
      <c r="M82" s="579"/>
      <c r="N82" s="595">
        <v>8000</v>
      </c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</row>
    <row r="83" spans="2:26" ht="21" customHeight="1">
      <c r="B83"/>
      <c r="C83" s="1252" t="s">
        <v>384</v>
      </c>
      <c r="D83" s="1291"/>
      <c r="E83" s="1291"/>
      <c r="F83" s="1291"/>
      <c r="G83" s="1291"/>
      <c r="H83" s="1291"/>
      <c r="I83" s="1291"/>
      <c r="J83" s="1291"/>
      <c r="K83" s="1292"/>
      <c r="L83" s="579"/>
      <c r="M83" s="579"/>
      <c r="N83" s="595">
        <v>3580</v>
      </c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</row>
    <row r="84" spans="2:26" ht="39.6">
      <c r="B84" s="179" t="s">
        <v>156</v>
      </c>
      <c r="C84" s="803" t="s">
        <v>31</v>
      </c>
      <c r="D84" s="804" t="s">
        <v>32</v>
      </c>
      <c r="E84" s="804" t="s">
        <v>33</v>
      </c>
      <c r="F84" s="795" t="s">
        <v>34</v>
      </c>
      <c r="G84" s="795" t="s">
        <v>35</v>
      </c>
      <c r="H84" s="804" t="s">
        <v>37</v>
      </c>
      <c r="I84" s="806" t="s">
        <v>38</v>
      </c>
      <c r="J84" s="806" t="s">
        <v>39</v>
      </c>
      <c r="K84" s="226" t="s">
        <v>40</v>
      </c>
      <c r="L84" s="579"/>
      <c r="M84" s="579"/>
      <c r="N84" s="595">
        <v>13830</v>
      </c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</row>
    <row r="85" spans="2:26" ht="18.95" customHeight="1">
      <c r="B85" s="766">
        <v>1</v>
      </c>
      <c r="C85" s="767" t="s">
        <v>139</v>
      </c>
      <c r="D85" s="768" t="s">
        <v>140</v>
      </c>
      <c r="E85" s="769">
        <v>20</v>
      </c>
      <c r="F85" s="770">
        <v>406</v>
      </c>
      <c r="G85" s="770">
        <v>130</v>
      </c>
      <c r="H85" s="769">
        <v>68</v>
      </c>
      <c r="I85" s="771">
        <v>308</v>
      </c>
      <c r="J85" s="769">
        <v>180</v>
      </c>
      <c r="K85" s="294" t="s">
        <v>489</v>
      </c>
      <c r="L85" s="579"/>
      <c r="M85" s="579"/>
      <c r="N85" s="595">
        <v>19850</v>
      </c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</row>
    <row r="86" spans="2:26">
      <c r="B86" s="853">
        <v>2</v>
      </c>
      <c r="C86" s="229" t="s">
        <v>142</v>
      </c>
      <c r="D86" s="230" t="s">
        <v>143</v>
      </c>
      <c r="E86" s="193">
        <v>24</v>
      </c>
      <c r="F86" s="188">
        <v>432</v>
      </c>
      <c r="G86" s="188">
        <v>417</v>
      </c>
      <c r="H86" s="193">
        <v>4</v>
      </c>
      <c r="I86" s="432">
        <v>609</v>
      </c>
      <c r="J86" s="187">
        <v>270</v>
      </c>
      <c r="K86" s="238" t="s">
        <v>489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</row>
    <row r="87" spans="2:26">
      <c r="B87" s="1141">
        <v>3</v>
      </c>
      <c r="C87" s="334" t="s">
        <v>144</v>
      </c>
      <c r="D87" s="335" t="s">
        <v>140</v>
      </c>
      <c r="E87" s="220">
        <v>28</v>
      </c>
      <c r="F87" s="221">
        <v>1391</v>
      </c>
      <c r="G87" s="221">
        <v>1043</v>
      </c>
      <c r="H87" s="220">
        <v>25</v>
      </c>
      <c r="I87" s="336">
        <v>1028</v>
      </c>
      <c r="J87" s="284">
        <v>990</v>
      </c>
      <c r="K87" s="237" t="s">
        <v>511</v>
      </c>
      <c r="L87" s="1034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</row>
    <row r="88" spans="2:26">
      <c r="B88" s="702">
        <v>4</v>
      </c>
      <c r="C88" s="703" t="s">
        <v>145</v>
      </c>
      <c r="D88" s="704" t="s">
        <v>146</v>
      </c>
      <c r="E88" s="705">
        <v>40</v>
      </c>
      <c r="F88" s="706">
        <v>2208</v>
      </c>
      <c r="G88" s="706">
        <v>1987</v>
      </c>
      <c r="H88" s="407">
        <v>10</v>
      </c>
      <c r="I88" s="707">
        <v>388</v>
      </c>
      <c r="J88" s="708">
        <v>420</v>
      </c>
      <c r="K88" s="203" t="s">
        <v>489</v>
      </c>
      <c r="L88" s="1034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</row>
    <row r="89" spans="2:26">
      <c r="B89"/>
      <c r="C89" s="696"/>
      <c r="D89" s="697"/>
      <c r="E89" s="697"/>
      <c r="F89" s="850">
        <v>4893.8756749777749</v>
      </c>
      <c r="G89" s="851">
        <f>SUM(G85:G88)</f>
        <v>3577</v>
      </c>
      <c r="H89" s="1"/>
      <c r="I89" s="1"/>
      <c r="J89" s="1"/>
      <c r="K89"/>
      <c r="L89" s="1034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</row>
    <row r="90" spans="2:26">
      <c r="B90"/>
      <c r="C90" s="1342"/>
      <c r="D90" s="1342"/>
      <c r="E90" s="1342"/>
      <c r="F90" s="1"/>
      <c r="G90" s="852">
        <f>ROUNDUP(G89,-1)</f>
        <v>3580</v>
      </c>
      <c r="H90" s="1"/>
      <c r="I90"/>
      <c r="J90" s="1"/>
      <c r="K90"/>
      <c r="L90" s="1034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</row>
    <row r="91" spans="2:26">
      <c r="B91" s="579"/>
      <c r="C91" s="579"/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</row>
    <row r="92" spans="2:26" ht="19.5" customHeight="1"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</row>
    <row r="93" spans="2:26" ht="19.5" customHeight="1">
      <c r="B93" s="579"/>
      <c r="C93" s="579"/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</row>
    <row r="94" spans="2:26">
      <c r="B94" s="579"/>
      <c r="C94" s="579"/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</row>
    <row r="95" spans="2:26">
      <c r="B95" s="579"/>
      <c r="C95" s="579"/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</row>
    <row r="96" spans="2:26">
      <c r="B96" s="579"/>
      <c r="C96" s="579"/>
      <c r="D96" s="579"/>
      <c r="E96" s="579"/>
      <c r="F96" s="579"/>
      <c r="G96" s="660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</row>
    <row r="97" spans="2:26">
      <c r="B97" s="579"/>
      <c r="C97" s="579"/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</row>
    <row r="98" spans="2:26">
      <c r="B98" s="579"/>
      <c r="C98" s="579"/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</row>
    <row r="99" spans="2:26">
      <c r="B99" s="579"/>
      <c r="C99" s="579"/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</row>
    <row r="100" spans="2:26">
      <c r="B100" s="579"/>
      <c r="C100" s="579"/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</row>
    <row r="101" spans="2:26">
      <c r="B101" s="579"/>
      <c r="C101" s="579"/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</row>
    <row r="102" spans="2:26">
      <c r="B102" s="579"/>
      <c r="C102" s="579"/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</row>
    <row r="103" spans="2:26">
      <c r="B103" s="579"/>
      <c r="C103" s="579"/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</row>
    <row r="104" spans="2:26">
      <c r="B104" s="579"/>
      <c r="C104" s="579"/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</row>
    <row r="105" spans="2:26">
      <c r="B105" s="579"/>
      <c r="C105" s="579"/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</row>
    <row r="106" spans="2:26">
      <c r="B106" s="579"/>
      <c r="C106" s="579"/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</row>
    <row r="107" spans="2:26">
      <c r="B107" s="579"/>
      <c r="C107" s="579"/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</row>
    <row r="108" spans="2:26">
      <c r="B108" s="579"/>
      <c r="C108" s="579"/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</row>
    <row r="109" spans="2:26">
      <c r="B109" s="579"/>
      <c r="C109" s="579"/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</row>
    <row r="110" spans="2:26"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</row>
    <row r="111" spans="2:26"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</row>
    <row r="112" spans="2:26">
      <c r="B112" s="579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</row>
    <row r="113" spans="2:26">
      <c r="B113" s="579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</row>
    <row r="114" spans="2:26">
      <c r="B114" s="579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</row>
    <row r="115" spans="2:26">
      <c r="B115" s="579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</row>
    <row r="116" spans="2:26">
      <c r="B116" s="579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</row>
    <row r="117" spans="2:26">
      <c r="B117" s="579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</row>
    <row r="118" spans="2:26">
      <c r="B118" s="579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</row>
    <row r="119" spans="2:26">
      <c r="B119" s="579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</row>
    <row r="120" spans="2:26">
      <c r="B120" s="579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</row>
    <row r="121" spans="2:26">
      <c r="B121" s="579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</row>
    <row r="122" spans="2:26"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</row>
    <row r="123" spans="2:26">
      <c r="B123" s="579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</row>
    <row r="124" spans="2:26">
      <c r="B124" s="579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</row>
    <row r="125" spans="2:26">
      <c r="B125" s="579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</row>
    <row r="126" spans="2:26">
      <c r="B126" s="579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</row>
    <row r="127" spans="2:26"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</row>
    <row r="128" spans="2:26">
      <c r="B128" s="579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</row>
    <row r="129" spans="2:26">
      <c r="B129" s="579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</row>
    <row r="130" spans="2:26">
      <c r="B130" s="579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</row>
    <row r="131" spans="2:26">
      <c r="B131" s="579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</row>
    <row r="132" spans="2:26">
      <c r="B132" s="579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</row>
    <row r="133" spans="2:26">
      <c r="B133" s="579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</row>
    <row r="134" spans="2:26">
      <c r="B134" s="579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</row>
    <row r="135" spans="2:26">
      <c r="B135" s="579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</row>
    <row r="136" spans="2:26">
      <c r="B136" s="579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</row>
    <row r="137" spans="2:26">
      <c r="B137" s="579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</row>
    <row r="138" spans="2:26"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</row>
    <row r="139" spans="2:26">
      <c r="B139" s="579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</row>
    <row r="140" spans="2:26">
      <c r="B140" s="579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</row>
    <row r="141" spans="2:26">
      <c r="B141" s="579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</row>
    <row r="142" spans="2:26">
      <c r="B142" s="579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</row>
    <row r="143" spans="2:26">
      <c r="B143" s="579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</row>
    <row r="144" spans="2:26">
      <c r="B144" s="579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</row>
    <row r="145" spans="2:26">
      <c r="B145" s="579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</row>
    <row r="146" spans="2:26">
      <c r="B146" s="579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</row>
    <row r="147" spans="2:26">
      <c r="B147" s="579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</row>
    <row r="148" spans="2:26">
      <c r="B148" s="579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</row>
    <row r="149" spans="2:26">
      <c r="B149" s="579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</row>
    <row r="150" spans="2:26">
      <c r="B150" s="579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</row>
    <row r="151" spans="2:26">
      <c r="B151" s="579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</row>
    <row r="152" spans="2:26">
      <c r="B152" s="579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</row>
    <row r="153" spans="2:26">
      <c r="B153" s="579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</row>
    <row r="154" spans="2:26">
      <c r="B154" s="579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</row>
    <row r="155" spans="2:26">
      <c r="B155" s="579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</row>
    <row r="156" spans="2:26">
      <c r="B156" s="579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</row>
    <row r="157" spans="2:26">
      <c r="B157" s="579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</row>
    <row r="158" spans="2:26">
      <c r="B158" s="579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</row>
    <row r="159" spans="2:26">
      <c r="B159" s="579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</row>
    <row r="160" spans="2:26">
      <c r="B160" s="579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</row>
    <row r="161" spans="2:26">
      <c r="B161" s="579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</row>
    <row r="162" spans="2:26">
      <c r="B162" s="579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</row>
    <row r="163" spans="2:26">
      <c r="B163" s="579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</row>
    <row r="164" spans="2:26">
      <c r="B164" s="579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</row>
    <row r="165" spans="2:26">
      <c r="B165" s="579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</row>
    <row r="166" spans="2:26">
      <c r="B166" s="579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</row>
    <row r="167" spans="2:26">
      <c r="B167" s="579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</row>
    <row r="168" spans="2:26">
      <c r="B168" s="579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</row>
    <row r="169" spans="2:26">
      <c r="B169" s="579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</row>
    <row r="170" spans="2:26">
      <c r="B170" s="579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</row>
    <row r="171" spans="2:26">
      <c r="B171" s="579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</row>
    <row r="172" spans="2:26">
      <c r="B172" s="579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</row>
    <row r="173" spans="2:26">
      <c r="B173" s="579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</row>
    <row r="174" spans="2:26">
      <c r="B174" s="579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</row>
    <row r="175" spans="2:26">
      <c r="B175" s="579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</row>
    <row r="176" spans="2:26">
      <c r="B176" s="579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</row>
    <row r="177" spans="2:26">
      <c r="B177" s="579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</row>
    <row r="178" spans="2:26">
      <c r="B178" s="579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</row>
    <row r="179" spans="2:26">
      <c r="B179" s="579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</row>
    <row r="180" spans="2:26">
      <c r="B180" s="579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</row>
    <row r="181" spans="2:26">
      <c r="B181" s="579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</row>
    <row r="182" spans="2:26">
      <c r="B182" s="579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</row>
    <row r="183" spans="2:26">
      <c r="B183" s="579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</row>
    <row r="184" spans="2:26">
      <c r="B184" s="579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</row>
    <row r="185" spans="2:26">
      <c r="B185" s="579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</row>
    <row r="186" spans="2:26">
      <c r="B186" s="579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</row>
    <row r="187" spans="2:26">
      <c r="B187" s="579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</row>
    <row r="188" spans="2:26">
      <c r="B188" s="579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</row>
    <row r="189" spans="2:26"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</row>
    <row r="190" spans="2:26">
      <c r="B190" s="579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</row>
    <row r="191" spans="2:26">
      <c r="B191" s="579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</row>
    <row r="192" spans="2:26">
      <c r="B192" s="579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</row>
    <row r="193" spans="2:26">
      <c r="B193" s="579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</row>
    <row r="194" spans="2:26">
      <c r="B194" s="579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</row>
    <row r="195" spans="2:26">
      <c r="B195" s="579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</row>
    <row r="196" spans="2:26">
      <c r="B196" s="579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</row>
    <row r="197" spans="2:26">
      <c r="B197" s="579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</row>
    <row r="198" spans="2:26">
      <c r="B198" s="579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</row>
    <row r="199" spans="2:26">
      <c r="B199" s="579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</row>
    <row r="200" spans="2:26">
      <c r="B200" s="579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</row>
    <row r="201" spans="2:26">
      <c r="B201" s="579"/>
      <c r="C201" s="579"/>
      <c r="D201" s="579"/>
      <c r="E201" s="579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</row>
    <row r="202" spans="2:26">
      <c r="B202" s="579"/>
      <c r="C202" s="579"/>
      <c r="D202" s="579"/>
      <c r="E202" s="579"/>
      <c r="F202" s="579"/>
      <c r="G202" s="579"/>
      <c r="H202" s="579"/>
      <c r="I202" s="579"/>
      <c r="J202" s="579"/>
      <c r="K202" s="579"/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</row>
    <row r="203" spans="2:26">
      <c r="B203" s="579"/>
      <c r="C203" s="579"/>
      <c r="D203" s="579"/>
      <c r="E203" s="579"/>
      <c r="F203" s="579"/>
      <c r="G203" s="579"/>
      <c r="H203" s="579"/>
      <c r="I203" s="579"/>
      <c r="J203" s="579"/>
      <c r="K203" s="579"/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</row>
    <row r="204" spans="2:26">
      <c r="B204" s="579"/>
      <c r="C204" s="579"/>
      <c r="D204" s="579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</row>
    <row r="205" spans="2:26">
      <c r="B205" s="579"/>
      <c r="C205" s="579"/>
      <c r="D205" s="579"/>
      <c r="E205" s="579"/>
      <c r="F205" s="579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</row>
    <row r="206" spans="2:26">
      <c r="B206" s="579"/>
      <c r="C206" s="579"/>
      <c r="D206" s="579"/>
      <c r="E206" s="579"/>
      <c r="F206" s="579"/>
      <c r="G206" s="579"/>
      <c r="H206" s="579"/>
      <c r="I206" s="579"/>
      <c r="J206" s="579"/>
      <c r="K206" s="579"/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</row>
    <row r="207" spans="2:26">
      <c r="B207" s="579"/>
      <c r="C207" s="579"/>
      <c r="D207" s="579"/>
      <c r="E207" s="579"/>
      <c r="F207" s="579"/>
      <c r="G207" s="579"/>
      <c r="H207" s="579"/>
      <c r="I207" s="579"/>
      <c r="J207" s="579"/>
      <c r="K207" s="579"/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</row>
    <row r="208" spans="2:26">
      <c r="B208" s="579"/>
      <c r="C208" s="579"/>
      <c r="D208" s="579"/>
      <c r="E208" s="579"/>
      <c r="F208" s="579"/>
      <c r="G208" s="579"/>
      <c r="H208" s="579"/>
      <c r="I208" s="579"/>
      <c r="J208" s="579"/>
      <c r="K208" s="579"/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</row>
    <row r="209" spans="2:26">
      <c r="B209" s="579"/>
      <c r="C209" s="579"/>
      <c r="D209" s="579"/>
      <c r="E209" s="579"/>
      <c r="F209" s="579"/>
      <c r="G209" s="579"/>
      <c r="H209" s="579"/>
      <c r="I209" s="579"/>
      <c r="J209" s="579"/>
      <c r="K209" s="579"/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</row>
    <row r="210" spans="2:26">
      <c r="B210" s="579"/>
      <c r="C210" s="579"/>
      <c r="D210" s="579"/>
      <c r="E210" s="579"/>
      <c r="F210" s="579"/>
      <c r="G210" s="579"/>
      <c r="H210" s="579"/>
      <c r="I210" s="579"/>
      <c r="J210" s="579"/>
      <c r="K210" s="579"/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</row>
    <row r="211" spans="2:26">
      <c r="B211" s="579"/>
      <c r="C211" s="579"/>
      <c r="D211" s="579"/>
      <c r="E211" s="579"/>
      <c r="F211" s="579"/>
      <c r="G211" s="579"/>
      <c r="H211" s="579"/>
      <c r="I211" s="579"/>
      <c r="J211" s="579"/>
      <c r="K211" s="579"/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</row>
    <row r="212" spans="2:26">
      <c r="B212" s="579"/>
      <c r="C212" s="579"/>
      <c r="D212" s="579"/>
      <c r="E212" s="579"/>
      <c r="F212" s="579"/>
      <c r="G212" s="579"/>
      <c r="H212" s="579"/>
      <c r="I212" s="579"/>
      <c r="J212" s="579"/>
      <c r="K212" s="579"/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</row>
    <row r="213" spans="2:26">
      <c r="B213" s="579"/>
      <c r="C213" s="579"/>
      <c r="D213" s="579"/>
      <c r="E213" s="579"/>
      <c r="F213" s="579"/>
      <c r="G213" s="579"/>
      <c r="H213" s="579"/>
      <c r="I213" s="579"/>
      <c r="J213" s="579"/>
      <c r="K213" s="579"/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</row>
    <row r="214" spans="2:26">
      <c r="B214" s="579"/>
      <c r="C214" s="579"/>
      <c r="D214" s="579"/>
      <c r="E214" s="579"/>
      <c r="F214" s="579"/>
      <c r="G214" s="579"/>
      <c r="H214" s="579"/>
      <c r="I214" s="579"/>
      <c r="J214" s="579"/>
      <c r="K214" s="579"/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</row>
    <row r="215" spans="2:26">
      <c r="B215" s="579"/>
      <c r="C215" s="579"/>
      <c r="D215" s="579"/>
      <c r="E215" s="579"/>
      <c r="F215" s="579"/>
      <c r="G215" s="579"/>
      <c r="H215" s="579"/>
      <c r="I215" s="579"/>
      <c r="J215" s="579"/>
      <c r="K215" s="579"/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</row>
    <row r="216" spans="2:26">
      <c r="B216" s="579"/>
      <c r="C216" s="579"/>
      <c r="D216" s="579"/>
      <c r="E216" s="579"/>
      <c r="F216" s="579"/>
      <c r="G216" s="579"/>
      <c r="H216" s="579"/>
      <c r="I216" s="579"/>
      <c r="J216" s="579"/>
      <c r="K216" s="579"/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</row>
    <row r="217" spans="2:26">
      <c r="B217" s="579"/>
      <c r="C217" s="579"/>
      <c r="D217" s="579"/>
      <c r="E217" s="579"/>
      <c r="F217" s="579"/>
      <c r="G217" s="579"/>
      <c r="H217" s="579"/>
      <c r="I217" s="579"/>
      <c r="J217" s="579"/>
      <c r="K217" s="579"/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</row>
    <row r="218" spans="2:26">
      <c r="B218" s="579"/>
      <c r="C218" s="579"/>
      <c r="D218" s="579"/>
      <c r="E218" s="579"/>
      <c r="F218" s="579"/>
      <c r="G218" s="579"/>
      <c r="H218" s="579"/>
      <c r="I218" s="579"/>
      <c r="J218" s="579"/>
      <c r="K218" s="579"/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</row>
    <row r="219" spans="2:26">
      <c r="B219" s="579"/>
      <c r="C219" s="579"/>
      <c r="D219" s="579"/>
      <c r="E219" s="579"/>
      <c r="F219" s="579"/>
      <c r="G219" s="579"/>
      <c r="H219" s="579"/>
      <c r="I219" s="579"/>
      <c r="J219" s="579"/>
      <c r="K219" s="579"/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</row>
    <row r="220" spans="2:26">
      <c r="B220" s="579"/>
      <c r="C220" s="579"/>
      <c r="D220" s="579"/>
      <c r="E220" s="579"/>
      <c r="F220" s="579"/>
      <c r="G220" s="579"/>
      <c r="H220" s="579"/>
      <c r="I220" s="579"/>
      <c r="J220" s="579"/>
      <c r="K220" s="579"/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</row>
    <row r="221" spans="2:26">
      <c r="B221" s="579"/>
      <c r="C221" s="579"/>
      <c r="D221" s="579"/>
      <c r="E221" s="579"/>
      <c r="F221" s="579"/>
      <c r="G221" s="579"/>
      <c r="H221" s="579"/>
      <c r="I221" s="579"/>
      <c r="J221" s="579"/>
      <c r="K221" s="579"/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</row>
    <row r="222" spans="2:26">
      <c r="B222" s="579"/>
      <c r="C222" s="579"/>
      <c r="D222" s="579"/>
      <c r="E222" s="579"/>
      <c r="F222" s="579"/>
      <c r="G222" s="579"/>
      <c r="H222" s="579"/>
      <c r="I222" s="579"/>
      <c r="J222" s="579"/>
      <c r="K222" s="579"/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</row>
    <row r="223" spans="2:26">
      <c r="B223" s="579"/>
      <c r="C223" s="579"/>
      <c r="D223" s="579"/>
      <c r="E223" s="579"/>
      <c r="F223" s="579"/>
      <c r="G223" s="579"/>
      <c r="H223" s="579"/>
      <c r="I223" s="579"/>
      <c r="J223" s="579"/>
      <c r="K223" s="579"/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</row>
    <row r="224" spans="2:26">
      <c r="B224" s="579"/>
      <c r="C224" s="579"/>
      <c r="D224" s="579"/>
      <c r="E224" s="579"/>
      <c r="F224" s="579"/>
      <c r="G224" s="579"/>
      <c r="H224" s="579"/>
      <c r="I224" s="579"/>
      <c r="J224" s="579"/>
      <c r="K224" s="579"/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</row>
    <row r="225" spans="2:26">
      <c r="B225" s="579"/>
      <c r="C225" s="579"/>
      <c r="D225" s="579"/>
      <c r="E225" s="579"/>
      <c r="F225" s="579"/>
      <c r="G225" s="579"/>
      <c r="H225" s="579"/>
      <c r="I225" s="579"/>
      <c r="J225" s="579"/>
      <c r="K225" s="579"/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</row>
    <row r="226" spans="2:26">
      <c r="B226" s="579"/>
      <c r="C226" s="579"/>
      <c r="D226" s="579"/>
      <c r="E226" s="579"/>
      <c r="F226" s="579"/>
      <c r="G226" s="579"/>
      <c r="H226" s="579"/>
      <c r="I226" s="579"/>
      <c r="J226" s="579"/>
      <c r="K226" s="579"/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</row>
    <row r="227" spans="2:26">
      <c r="B227" s="579"/>
      <c r="C227" s="579"/>
      <c r="D227" s="579"/>
      <c r="E227" s="579"/>
      <c r="F227" s="579"/>
      <c r="G227" s="579"/>
      <c r="H227" s="579"/>
      <c r="I227" s="579"/>
      <c r="J227" s="579"/>
      <c r="K227" s="579"/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</row>
    <row r="228" spans="2:26">
      <c r="B228" s="579"/>
      <c r="C228" s="579"/>
      <c r="D228" s="579"/>
      <c r="E228" s="579"/>
      <c r="F228" s="579"/>
      <c r="G228" s="579"/>
      <c r="H228" s="579"/>
      <c r="I228" s="579"/>
      <c r="J228" s="579"/>
      <c r="K228" s="579"/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</row>
    <row r="229" spans="2:26">
      <c r="B229" s="579"/>
      <c r="C229" s="579"/>
      <c r="D229" s="579"/>
      <c r="E229" s="579"/>
      <c r="F229" s="579"/>
      <c r="G229" s="579"/>
      <c r="H229" s="579"/>
      <c r="I229" s="579"/>
      <c r="J229" s="579"/>
      <c r="K229" s="579"/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</row>
    <row r="230" spans="2:26">
      <c r="B230" s="579"/>
      <c r="C230" s="579"/>
      <c r="D230" s="579"/>
      <c r="E230" s="579"/>
      <c r="F230" s="579"/>
      <c r="G230" s="579"/>
      <c r="H230" s="579"/>
      <c r="I230" s="579"/>
      <c r="J230" s="579"/>
      <c r="K230" s="579"/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</row>
    <row r="231" spans="2:26">
      <c r="B231" s="579"/>
      <c r="C231" s="579"/>
      <c r="D231" s="579"/>
      <c r="E231" s="579"/>
      <c r="F231" s="579"/>
      <c r="G231" s="579"/>
      <c r="H231" s="579"/>
      <c r="I231" s="579"/>
      <c r="J231" s="579"/>
      <c r="K231" s="579"/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</row>
    <row r="232" spans="2:26">
      <c r="B232" s="579"/>
      <c r="C232" s="579"/>
      <c r="D232" s="579"/>
      <c r="E232" s="579"/>
      <c r="F232" s="579"/>
      <c r="G232" s="579"/>
      <c r="H232" s="579"/>
      <c r="I232" s="579"/>
      <c r="J232" s="579"/>
      <c r="K232" s="579"/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</row>
    <row r="233" spans="2:26">
      <c r="B233" s="579"/>
      <c r="C233" s="579"/>
      <c r="D233" s="579"/>
      <c r="E233" s="579"/>
      <c r="F233" s="579"/>
      <c r="G233" s="579"/>
      <c r="H233" s="579"/>
      <c r="I233" s="579"/>
      <c r="J233" s="579"/>
      <c r="K233" s="579"/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</row>
    <row r="234" spans="2:26">
      <c r="B234" s="579"/>
      <c r="C234" s="579"/>
      <c r="D234" s="579"/>
      <c r="E234" s="579"/>
      <c r="F234" s="579"/>
      <c r="G234" s="579"/>
      <c r="H234" s="579"/>
      <c r="I234" s="579"/>
      <c r="J234" s="579"/>
      <c r="K234" s="579"/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</row>
    <row r="235" spans="2:26">
      <c r="B235" s="579"/>
      <c r="C235" s="579"/>
      <c r="D235" s="579"/>
      <c r="E235" s="579"/>
      <c r="F235" s="579"/>
      <c r="G235" s="579"/>
      <c r="H235" s="579"/>
      <c r="I235" s="579"/>
      <c r="J235" s="579"/>
      <c r="K235" s="579"/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</row>
    <row r="236" spans="2:26">
      <c r="B236" s="579"/>
      <c r="C236" s="579"/>
      <c r="D236" s="579"/>
      <c r="E236" s="579"/>
      <c r="F236" s="579"/>
      <c r="G236" s="579"/>
      <c r="H236" s="579"/>
      <c r="I236" s="579"/>
      <c r="J236" s="579"/>
      <c r="K236" s="579"/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</row>
    <row r="237" spans="2:26">
      <c r="B237" s="579"/>
      <c r="C237" s="579"/>
      <c r="D237" s="579"/>
      <c r="E237" s="579"/>
      <c r="F237" s="579"/>
      <c r="G237" s="579"/>
      <c r="H237" s="579"/>
      <c r="I237" s="579"/>
      <c r="J237" s="579"/>
      <c r="K237" s="579"/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</row>
    <row r="238" spans="2:26">
      <c r="B238" s="579"/>
      <c r="C238" s="579"/>
      <c r="D238" s="579"/>
      <c r="E238" s="579"/>
      <c r="F238" s="579"/>
      <c r="G238" s="579"/>
      <c r="H238" s="579"/>
      <c r="I238" s="579"/>
      <c r="J238" s="579"/>
      <c r="K238" s="579"/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</row>
    <row r="239" spans="2:26">
      <c r="B239" s="579"/>
      <c r="C239" s="579"/>
      <c r="D239" s="579"/>
      <c r="E239" s="579"/>
      <c r="F239" s="579"/>
      <c r="G239" s="579"/>
      <c r="H239" s="579"/>
      <c r="I239" s="579"/>
      <c r="J239" s="579"/>
      <c r="K239" s="579"/>
      <c r="L239" s="579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</row>
    <row r="240" spans="2:26">
      <c r="B240" s="579"/>
      <c r="C240" s="579"/>
      <c r="D240" s="579"/>
      <c r="E240" s="579"/>
      <c r="F240" s="579"/>
      <c r="G240" s="579"/>
      <c r="H240" s="579"/>
      <c r="I240" s="579"/>
      <c r="J240" s="579"/>
      <c r="K240" s="579"/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</row>
    <row r="241" spans="2:26">
      <c r="B241" s="579"/>
      <c r="C241" s="579"/>
      <c r="D241" s="579"/>
      <c r="E241" s="579"/>
      <c r="F241" s="579"/>
      <c r="G241" s="579"/>
      <c r="H241" s="579"/>
      <c r="I241" s="579"/>
      <c r="J241" s="579"/>
      <c r="K241" s="579"/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</row>
    <row r="242" spans="2:26">
      <c r="B242" s="579"/>
      <c r="C242" s="579"/>
      <c r="D242" s="579"/>
      <c r="E242" s="579"/>
      <c r="F242" s="579"/>
      <c r="G242" s="579"/>
      <c r="H242" s="579"/>
      <c r="I242" s="579"/>
      <c r="J242" s="579"/>
      <c r="K242" s="579"/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</row>
    <row r="243" spans="2:26">
      <c r="B243" s="579"/>
      <c r="C243" s="579"/>
      <c r="D243" s="579"/>
      <c r="E243" s="579"/>
      <c r="F243" s="579"/>
      <c r="G243" s="579"/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</row>
    <row r="244" spans="2:26">
      <c r="B244" s="579"/>
      <c r="C244" s="579"/>
      <c r="D244" s="579"/>
      <c r="E244" s="579"/>
      <c r="F244" s="579"/>
      <c r="G244" s="579"/>
      <c r="H244" s="579"/>
      <c r="I244" s="579"/>
      <c r="J244" s="579"/>
      <c r="K244" s="579"/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</row>
    <row r="245" spans="2:26">
      <c r="B245" s="579"/>
      <c r="C245" s="579"/>
      <c r="D245" s="579"/>
      <c r="E245" s="579"/>
      <c r="F245" s="579"/>
      <c r="G245" s="579"/>
      <c r="H245" s="579"/>
      <c r="I245" s="579"/>
      <c r="J245" s="579"/>
      <c r="K245" s="579"/>
      <c r="L245" s="579"/>
      <c r="M245" s="579"/>
      <c r="N245" s="579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</row>
    <row r="246" spans="2:26">
      <c r="B246" s="579"/>
      <c r="C246" s="579"/>
      <c r="D246" s="579"/>
      <c r="E246" s="579"/>
      <c r="F246" s="579"/>
      <c r="G246" s="579"/>
      <c r="H246" s="579"/>
      <c r="I246" s="579"/>
      <c r="J246" s="579"/>
      <c r="K246" s="579"/>
      <c r="L246" s="579"/>
      <c r="M246" s="579"/>
      <c r="N246" s="579"/>
      <c r="O246" s="579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</row>
    <row r="247" spans="2:26">
      <c r="B247" s="579"/>
      <c r="C247" s="579"/>
      <c r="D247" s="579"/>
      <c r="E247" s="579"/>
      <c r="F247" s="579"/>
      <c r="G247" s="579"/>
      <c r="H247" s="579"/>
      <c r="I247" s="579"/>
      <c r="J247" s="579"/>
      <c r="K247" s="579"/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</row>
    <row r="248" spans="2:26">
      <c r="B248" s="579"/>
      <c r="C248" s="579"/>
      <c r="D248" s="579"/>
      <c r="E248" s="579"/>
      <c r="F248" s="579"/>
      <c r="G248" s="579"/>
      <c r="H248" s="579"/>
      <c r="I248" s="579"/>
      <c r="J248" s="579"/>
      <c r="K248" s="579"/>
      <c r="L248" s="579"/>
      <c r="M248" s="579"/>
      <c r="N248" s="579"/>
      <c r="O248" s="579"/>
      <c r="P248" s="579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</row>
    <row r="249" spans="2:26">
      <c r="B249" s="579"/>
      <c r="C249" s="579"/>
      <c r="D249" s="579"/>
      <c r="E249" s="579"/>
      <c r="F249" s="579"/>
      <c r="G249" s="579"/>
      <c r="H249" s="579"/>
      <c r="I249" s="579"/>
      <c r="J249" s="579"/>
      <c r="K249" s="579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</row>
    <row r="250" spans="2:26">
      <c r="B250" s="579"/>
      <c r="C250" s="579"/>
      <c r="D250" s="579"/>
      <c r="E250" s="579"/>
      <c r="F250" s="579"/>
      <c r="G250" s="579"/>
      <c r="H250" s="579"/>
      <c r="I250" s="579"/>
      <c r="J250" s="579"/>
      <c r="K250" s="579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</row>
    <row r="251" spans="2:26">
      <c r="B251" s="579"/>
      <c r="C251" s="579"/>
      <c r="D251" s="579"/>
      <c r="E251" s="579"/>
      <c r="F251" s="579"/>
      <c r="G251" s="579"/>
      <c r="H251" s="579"/>
      <c r="I251" s="579"/>
      <c r="J251" s="579"/>
      <c r="K251" s="579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</row>
    <row r="252" spans="2:26">
      <c r="B252" s="579"/>
      <c r="C252" s="579"/>
      <c r="D252" s="579"/>
      <c r="E252" s="579"/>
      <c r="F252" s="579"/>
      <c r="G252" s="579"/>
      <c r="H252" s="579"/>
      <c r="I252" s="579"/>
      <c r="J252" s="579"/>
      <c r="K252" s="579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</row>
    <row r="253" spans="2:26">
      <c r="B253" s="579"/>
      <c r="C253" s="579"/>
      <c r="D253" s="579"/>
      <c r="E253" s="579"/>
      <c r="F253" s="579"/>
      <c r="G253" s="579"/>
      <c r="H253" s="579"/>
      <c r="I253" s="579"/>
      <c r="J253" s="579"/>
      <c r="K253" s="579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</row>
    <row r="254" spans="2:26">
      <c r="B254" s="579"/>
      <c r="C254" s="579"/>
      <c r="D254" s="579"/>
      <c r="E254" s="579"/>
      <c r="F254" s="579"/>
      <c r="G254" s="579"/>
      <c r="H254" s="579"/>
      <c r="I254" s="579"/>
      <c r="J254" s="579"/>
      <c r="K254" s="579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</row>
    <row r="255" spans="2:26">
      <c r="B255" s="579"/>
      <c r="C255" s="579"/>
      <c r="D255" s="579"/>
      <c r="E255" s="579"/>
      <c r="F255" s="579"/>
      <c r="G255" s="579"/>
      <c r="H255" s="579"/>
      <c r="I255" s="579"/>
      <c r="J255" s="579"/>
      <c r="K255" s="579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</row>
    <row r="256" spans="2:26">
      <c r="B256" s="579"/>
      <c r="C256" s="579"/>
      <c r="D256" s="579"/>
      <c r="E256" s="579"/>
      <c r="F256" s="579"/>
      <c r="G256" s="579"/>
      <c r="H256" s="579"/>
      <c r="I256" s="579"/>
      <c r="J256" s="579"/>
      <c r="K256" s="579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</row>
    <row r="257" spans="2:26">
      <c r="B257" s="579"/>
      <c r="C257" s="579"/>
      <c r="D257" s="579"/>
      <c r="E257" s="579"/>
      <c r="F257" s="579"/>
      <c r="G257" s="579"/>
      <c r="H257" s="579"/>
      <c r="I257" s="579"/>
      <c r="J257" s="579"/>
      <c r="K257" s="579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</row>
    <row r="258" spans="2:26">
      <c r="B258" s="579"/>
      <c r="C258" s="579"/>
      <c r="D258" s="579"/>
      <c r="E258" s="579"/>
      <c r="F258" s="579"/>
      <c r="G258" s="579"/>
      <c r="H258" s="579"/>
      <c r="I258" s="579"/>
      <c r="J258" s="579"/>
      <c r="K258" s="579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</row>
    <row r="259" spans="2:26">
      <c r="B259" s="579"/>
      <c r="C259" s="579"/>
      <c r="D259" s="579"/>
      <c r="E259" s="579"/>
      <c r="F259" s="579"/>
      <c r="G259" s="579"/>
      <c r="H259" s="579"/>
      <c r="I259" s="579"/>
      <c r="J259" s="579"/>
      <c r="K259" s="579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</row>
    <row r="260" spans="2:26">
      <c r="B260" s="579"/>
      <c r="C260" s="579"/>
      <c r="D260" s="579"/>
      <c r="E260" s="579"/>
      <c r="F260" s="579"/>
      <c r="G260" s="579"/>
      <c r="H260" s="579"/>
      <c r="I260" s="579"/>
      <c r="J260" s="579"/>
      <c r="K260" s="579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</row>
    <row r="261" spans="2:26">
      <c r="B261" s="579"/>
      <c r="C261" s="579"/>
      <c r="D261" s="579"/>
      <c r="E261" s="579"/>
      <c r="F261" s="579"/>
      <c r="G261" s="579"/>
      <c r="H261" s="579"/>
      <c r="I261" s="579"/>
      <c r="J261" s="579"/>
      <c r="K261" s="579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</row>
    <row r="262" spans="2:26"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</row>
    <row r="263" spans="2:26">
      <c r="B263" s="579"/>
      <c r="C263" s="579"/>
      <c r="D263" s="579"/>
      <c r="E263" s="579"/>
      <c r="F263" s="579"/>
      <c r="G263" s="579"/>
      <c r="H263" s="579"/>
      <c r="I263" s="579"/>
      <c r="J263" s="579"/>
      <c r="K263" s="579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</row>
    <row r="264" spans="2:26">
      <c r="B264" s="579"/>
      <c r="C264" s="579"/>
      <c r="D264" s="579"/>
      <c r="E264" s="579"/>
      <c r="F264" s="579"/>
      <c r="G264" s="579"/>
      <c r="H264" s="579"/>
      <c r="I264" s="579"/>
      <c r="J264" s="579"/>
      <c r="K264" s="579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</row>
    <row r="265" spans="2:26">
      <c r="B265" s="579"/>
      <c r="C265" s="579"/>
      <c r="D265" s="579"/>
      <c r="E265" s="579"/>
      <c r="F265" s="579"/>
      <c r="G265" s="579"/>
      <c r="H265" s="579"/>
      <c r="I265" s="579"/>
      <c r="J265" s="579"/>
      <c r="K265" s="579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</row>
    <row r="266" spans="2:26">
      <c r="B266" s="579"/>
      <c r="C266" s="579"/>
      <c r="D266" s="579"/>
      <c r="E266" s="579"/>
      <c r="F266" s="579"/>
      <c r="G266" s="579"/>
      <c r="H266" s="579"/>
      <c r="I266" s="579"/>
      <c r="J266" s="579"/>
      <c r="K266" s="579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</row>
    <row r="267" spans="2:26">
      <c r="B267" s="579"/>
      <c r="C267" s="579"/>
      <c r="D267" s="579"/>
      <c r="E267" s="579"/>
      <c r="F267" s="579"/>
      <c r="G267" s="579"/>
      <c r="H267" s="579"/>
      <c r="I267" s="579"/>
      <c r="J267" s="579"/>
      <c r="K267" s="579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</row>
    <row r="268" spans="2:26">
      <c r="B268" s="579"/>
      <c r="C268" s="579"/>
      <c r="D268" s="579"/>
      <c r="E268" s="579"/>
      <c r="F268" s="579"/>
      <c r="G268" s="579"/>
      <c r="H268" s="579"/>
      <c r="I268" s="579"/>
      <c r="J268" s="579"/>
      <c r="K268" s="579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</row>
    <row r="269" spans="2:26">
      <c r="B269" s="579"/>
      <c r="C269" s="579"/>
      <c r="D269" s="579"/>
      <c r="E269" s="579"/>
      <c r="F269" s="579"/>
      <c r="G269" s="579"/>
      <c r="H269" s="579"/>
      <c r="I269" s="579"/>
      <c r="J269" s="579"/>
      <c r="K269" s="579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</row>
    <row r="270" spans="2:26">
      <c r="B270" s="579"/>
      <c r="C270" s="579"/>
      <c r="D270" s="579"/>
      <c r="E270" s="579"/>
      <c r="F270" s="579"/>
      <c r="G270" s="579"/>
      <c r="H270" s="579"/>
      <c r="I270" s="579"/>
      <c r="J270" s="579"/>
      <c r="K270" s="579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</row>
    <row r="271" spans="2:26">
      <c r="B271" s="579"/>
      <c r="C271" s="579"/>
      <c r="D271" s="579"/>
      <c r="E271" s="579"/>
      <c r="F271" s="579"/>
      <c r="G271" s="579"/>
      <c r="H271" s="579"/>
      <c r="I271" s="579"/>
      <c r="J271" s="579"/>
      <c r="K271" s="579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</row>
    <row r="272" spans="2:26">
      <c r="B272" s="579"/>
      <c r="C272" s="579"/>
      <c r="D272" s="579"/>
      <c r="E272" s="579"/>
      <c r="F272" s="579"/>
      <c r="G272" s="579"/>
      <c r="H272" s="579"/>
      <c r="I272" s="579"/>
      <c r="J272" s="579"/>
      <c r="K272" s="579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</row>
    <row r="273" spans="2:26">
      <c r="B273" s="579"/>
      <c r="C273" s="579"/>
      <c r="D273" s="579"/>
      <c r="E273" s="579"/>
      <c r="F273" s="579"/>
      <c r="G273" s="579"/>
      <c r="H273" s="579"/>
      <c r="I273" s="579"/>
      <c r="J273" s="579"/>
      <c r="K273" s="579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</row>
    <row r="274" spans="2:26">
      <c r="B274" s="579"/>
      <c r="C274" s="579"/>
      <c r="D274" s="579"/>
      <c r="E274" s="579"/>
      <c r="F274" s="579"/>
      <c r="G274" s="579"/>
      <c r="H274" s="579"/>
      <c r="I274" s="579"/>
      <c r="J274" s="579"/>
      <c r="K274" s="579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</row>
    <row r="275" spans="2:26">
      <c r="B275" s="579"/>
      <c r="C275" s="579"/>
      <c r="D275" s="579"/>
      <c r="E275" s="579"/>
      <c r="F275" s="579"/>
      <c r="G275" s="579"/>
      <c r="H275" s="579"/>
      <c r="I275" s="579"/>
      <c r="J275" s="579"/>
      <c r="K275" s="579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</row>
    <row r="276" spans="2:26">
      <c r="B276" s="579"/>
      <c r="C276" s="579"/>
      <c r="D276" s="579"/>
      <c r="E276" s="579"/>
      <c r="F276" s="579"/>
      <c r="G276" s="579"/>
      <c r="H276" s="579"/>
      <c r="I276" s="579"/>
      <c r="J276" s="579"/>
      <c r="K276" s="579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</row>
    <row r="277" spans="2:26">
      <c r="B277" s="579"/>
      <c r="C277" s="579"/>
      <c r="D277" s="579"/>
      <c r="E277" s="579"/>
      <c r="F277" s="579"/>
      <c r="G277" s="579"/>
      <c r="H277" s="579"/>
      <c r="I277" s="579"/>
      <c r="J277" s="579"/>
      <c r="K277" s="579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</row>
    <row r="278" spans="2:26">
      <c r="B278" s="579"/>
      <c r="C278" s="579"/>
      <c r="D278" s="579"/>
      <c r="E278" s="579"/>
      <c r="F278" s="579"/>
      <c r="G278" s="579"/>
      <c r="H278" s="579"/>
      <c r="I278" s="579"/>
      <c r="J278" s="579"/>
      <c r="K278" s="579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</row>
    <row r="279" spans="2:26">
      <c r="B279" s="579"/>
      <c r="C279" s="579"/>
      <c r="D279" s="579"/>
      <c r="E279" s="579"/>
      <c r="F279" s="579"/>
      <c r="G279" s="579"/>
      <c r="H279" s="579"/>
      <c r="I279" s="579"/>
      <c r="J279" s="579"/>
      <c r="K279" s="579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</row>
    <row r="280" spans="2:26">
      <c r="B280" s="579"/>
      <c r="C280" s="579"/>
      <c r="D280" s="579"/>
      <c r="E280" s="579"/>
      <c r="F280" s="579"/>
      <c r="G280" s="579"/>
      <c r="H280" s="579"/>
      <c r="I280" s="579"/>
      <c r="J280" s="579"/>
      <c r="K280" s="579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</row>
    <row r="281" spans="2:26"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</row>
    <row r="282" spans="2:26">
      <c r="B282" s="579"/>
      <c r="C282" s="579"/>
      <c r="D282" s="579"/>
      <c r="E282" s="579"/>
      <c r="F282" s="579"/>
      <c r="G282" s="579"/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</row>
    <row r="283" spans="2:26">
      <c r="B283" s="579"/>
      <c r="C283" s="579"/>
      <c r="D283" s="579"/>
      <c r="E283" s="579"/>
      <c r="F283" s="579"/>
      <c r="G283" s="579"/>
      <c r="H283" s="579"/>
      <c r="I283" s="579"/>
      <c r="J283" s="579"/>
      <c r="K283" s="579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</row>
    <row r="284" spans="2:26">
      <c r="B284" s="579"/>
      <c r="C284" s="579"/>
      <c r="D284" s="579"/>
      <c r="E284" s="579"/>
      <c r="F284" s="579"/>
      <c r="G284" s="579"/>
      <c r="H284" s="579"/>
      <c r="I284" s="579"/>
      <c r="J284" s="579"/>
      <c r="K284" s="579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</row>
    <row r="285" spans="2:26">
      <c r="B285" s="579"/>
      <c r="C285" s="579"/>
      <c r="D285" s="579"/>
      <c r="E285" s="579"/>
      <c r="F285" s="579"/>
      <c r="G285" s="579"/>
      <c r="H285" s="579"/>
      <c r="I285" s="579"/>
      <c r="J285" s="579"/>
      <c r="K285" s="579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</row>
    <row r="286" spans="2:26">
      <c r="B286" s="579"/>
      <c r="C286" s="579"/>
      <c r="D286" s="579"/>
      <c r="E286" s="579"/>
      <c r="F286" s="579"/>
      <c r="G286" s="579"/>
      <c r="H286" s="579"/>
      <c r="I286" s="579"/>
      <c r="J286" s="579"/>
      <c r="K286" s="579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</row>
    <row r="287" spans="2:26">
      <c r="B287" s="579"/>
      <c r="C287" s="579"/>
      <c r="D287" s="579"/>
      <c r="E287" s="579"/>
      <c r="F287" s="579"/>
      <c r="G287" s="579"/>
      <c r="H287" s="579"/>
      <c r="I287" s="579"/>
      <c r="J287" s="579"/>
      <c r="K287" s="579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</row>
    <row r="288" spans="2:26">
      <c r="B288" s="579"/>
      <c r="C288" s="579"/>
      <c r="D288" s="579"/>
      <c r="E288" s="579"/>
      <c r="F288" s="579"/>
      <c r="G288" s="579"/>
      <c r="H288" s="579"/>
      <c r="I288" s="579"/>
      <c r="J288" s="579"/>
      <c r="K288" s="579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</row>
    <row r="289" spans="2:26">
      <c r="B289" s="579"/>
      <c r="C289" s="579"/>
      <c r="D289" s="579"/>
      <c r="E289" s="579"/>
      <c r="F289" s="579"/>
      <c r="G289" s="579"/>
      <c r="H289" s="579"/>
      <c r="I289" s="579"/>
      <c r="J289" s="579"/>
      <c r="K289" s="579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</row>
    <row r="290" spans="2:26">
      <c r="B290" s="579"/>
      <c r="C290" s="579"/>
      <c r="D290" s="579"/>
      <c r="E290" s="579"/>
      <c r="F290" s="579"/>
      <c r="G290" s="579"/>
      <c r="H290" s="579"/>
      <c r="I290" s="579"/>
      <c r="J290" s="579"/>
      <c r="K290" s="579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</row>
    <row r="291" spans="2:26">
      <c r="B291" s="579"/>
      <c r="C291" s="579"/>
      <c r="D291" s="579"/>
      <c r="E291" s="579"/>
      <c r="F291" s="579"/>
      <c r="G291" s="579"/>
      <c r="H291" s="579"/>
      <c r="I291" s="579"/>
      <c r="J291" s="579"/>
      <c r="K291" s="579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</row>
    <row r="292" spans="2:26">
      <c r="B292" s="579"/>
      <c r="C292" s="579"/>
      <c r="D292" s="579"/>
      <c r="E292" s="579"/>
      <c r="F292" s="579"/>
      <c r="G292" s="579"/>
      <c r="H292" s="579"/>
      <c r="I292" s="579"/>
      <c r="J292" s="579"/>
      <c r="K292" s="579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</row>
    <row r="293" spans="2:26">
      <c r="B293" s="579"/>
      <c r="C293" s="579"/>
      <c r="D293" s="579"/>
      <c r="E293" s="579"/>
      <c r="F293" s="579"/>
      <c r="G293" s="579"/>
      <c r="H293" s="579"/>
      <c r="I293" s="579"/>
      <c r="J293" s="579"/>
      <c r="K293" s="579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</row>
    <row r="294" spans="2:26">
      <c r="B294" s="579"/>
      <c r="C294" s="579"/>
      <c r="D294" s="579"/>
      <c r="E294" s="579"/>
      <c r="F294" s="579"/>
      <c r="G294" s="579"/>
      <c r="H294" s="579"/>
      <c r="I294" s="579"/>
      <c r="J294" s="579"/>
      <c r="K294" s="579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</row>
    <row r="295" spans="2:26">
      <c r="B295" s="579"/>
      <c r="C295" s="579"/>
      <c r="D295" s="579"/>
      <c r="E295" s="579"/>
      <c r="F295" s="579"/>
      <c r="G295" s="579"/>
      <c r="H295" s="579"/>
      <c r="I295" s="579"/>
      <c r="J295" s="579"/>
      <c r="K295" s="579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</row>
    <row r="296" spans="2:26">
      <c r="B296" s="579"/>
      <c r="C296" s="579"/>
      <c r="D296" s="579"/>
      <c r="E296" s="579"/>
      <c r="F296" s="579"/>
      <c r="G296" s="579"/>
      <c r="H296" s="579"/>
      <c r="I296" s="579"/>
      <c r="J296" s="579"/>
      <c r="K296" s="579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</row>
    <row r="297" spans="2:26">
      <c r="B297" s="579"/>
      <c r="C297" s="579"/>
      <c r="D297" s="579"/>
      <c r="E297" s="579"/>
      <c r="F297" s="579"/>
      <c r="G297" s="579"/>
      <c r="H297" s="579"/>
      <c r="I297" s="579"/>
      <c r="J297" s="579"/>
      <c r="K297" s="579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</row>
    <row r="298" spans="2:26">
      <c r="B298" s="579"/>
      <c r="C298" s="579"/>
      <c r="D298" s="579"/>
      <c r="E298" s="579"/>
      <c r="F298" s="579"/>
      <c r="G298" s="579"/>
      <c r="H298" s="579"/>
      <c r="I298" s="579"/>
      <c r="J298" s="579"/>
      <c r="K298" s="579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</row>
    <row r="299" spans="2:26">
      <c r="B299" s="579"/>
      <c r="C299" s="579"/>
      <c r="D299" s="579"/>
      <c r="E299" s="579"/>
      <c r="F299" s="579"/>
      <c r="G299" s="579"/>
      <c r="H299" s="579"/>
      <c r="I299" s="579"/>
      <c r="J299" s="579"/>
      <c r="K299" s="579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</row>
    <row r="300" spans="2:26">
      <c r="B300" s="579"/>
      <c r="C300" s="579"/>
      <c r="D300" s="579"/>
      <c r="E300" s="579"/>
      <c r="F300" s="579"/>
      <c r="G300" s="579"/>
      <c r="H300" s="579"/>
      <c r="I300" s="579"/>
      <c r="J300" s="579"/>
      <c r="K300" s="579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</row>
    <row r="301" spans="2:26">
      <c r="B301" s="579"/>
      <c r="C301" s="579"/>
      <c r="D301" s="579"/>
      <c r="E301" s="579"/>
      <c r="F301" s="579"/>
      <c r="G301" s="579"/>
      <c r="H301" s="579"/>
      <c r="I301" s="579"/>
      <c r="J301" s="579"/>
      <c r="K301" s="579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</row>
    <row r="302" spans="2:26">
      <c r="B302" s="579"/>
      <c r="C302" s="579"/>
      <c r="D302" s="579"/>
      <c r="E302" s="579"/>
      <c r="F302" s="579"/>
      <c r="G302" s="579"/>
      <c r="H302" s="579"/>
      <c r="I302" s="579"/>
      <c r="J302" s="579"/>
      <c r="K302" s="579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</row>
    <row r="303" spans="2:26">
      <c r="B303" s="579"/>
      <c r="C303" s="579"/>
      <c r="D303" s="579"/>
      <c r="E303" s="579"/>
      <c r="F303" s="579"/>
      <c r="G303" s="579"/>
      <c r="H303" s="579"/>
      <c r="I303" s="579"/>
      <c r="J303" s="579"/>
      <c r="K303" s="579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</row>
    <row r="304" spans="2:26">
      <c r="B304" s="579"/>
      <c r="C304" s="579"/>
      <c r="D304" s="579"/>
      <c r="E304" s="579"/>
      <c r="F304" s="579"/>
      <c r="G304" s="579"/>
      <c r="H304" s="579"/>
      <c r="I304" s="579"/>
      <c r="J304" s="579"/>
      <c r="K304" s="579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</row>
    <row r="305" spans="2:26">
      <c r="B305" s="579"/>
      <c r="C305" s="579"/>
      <c r="D305" s="579"/>
      <c r="E305" s="579"/>
      <c r="F305" s="579"/>
      <c r="G305" s="579"/>
      <c r="H305" s="579"/>
      <c r="I305" s="579"/>
      <c r="J305" s="579"/>
      <c r="K305" s="579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</row>
    <row r="306" spans="2:26">
      <c r="B306" s="579"/>
      <c r="C306" s="579"/>
      <c r="D306" s="579"/>
      <c r="E306" s="579"/>
      <c r="F306" s="579"/>
      <c r="G306" s="579"/>
      <c r="H306" s="579"/>
      <c r="I306" s="579"/>
      <c r="J306" s="579"/>
      <c r="K306" s="579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</row>
    <row r="307" spans="2:26">
      <c r="B307" s="579"/>
      <c r="C307" s="579"/>
      <c r="D307" s="579"/>
      <c r="E307" s="579"/>
      <c r="F307" s="579"/>
      <c r="G307" s="579"/>
      <c r="H307" s="579"/>
      <c r="I307" s="579"/>
      <c r="J307" s="579"/>
      <c r="K307" s="579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</row>
    <row r="308" spans="2:26">
      <c r="B308" s="579"/>
      <c r="C308" s="579"/>
      <c r="D308" s="579"/>
      <c r="E308" s="579"/>
      <c r="F308" s="579"/>
      <c r="G308" s="579"/>
      <c r="H308" s="579"/>
      <c r="I308" s="579"/>
      <c r="J308" s="579"/>
      <c r="K308" s="579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</row>
    <row r="309" spans="2:26">
      <c r="B309" s="579"/>
      <c r="C309" s="579"/>
      <c r="D309" s="579"/>
      <c r="E309" s="579"/>
      <c r="F309" s="579"/>
      <c r="G309" s="579"/>
      <c r="H309" s="579"/>
      <c r="I309" s="579"/>
      <c r="J309" s="579"/>
      <c r="K309" s="579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</row>
    <row r="310" spans="2:26">
      <c r="B310" s="579"/>
      <c r="C310" s="579"/>
      <c r="D310" s="579"/>
      <c r="E310" s="579"/>
      <c r="F310" s="579"/>
      <c r="G310" s="579"/>
      <c r="H310" s="579"/>
      <c r="I310" s="579"/>
      <c r="J310" s="579"/>
      <c r="K310" s="579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</row>
    <row r="311" spans="2:26">
      <c r="B311" s="579"/>
      <c r="C311" s="579"/>
      <c r="D311" s="579"/>
      <c r="E311" s="579"/>
      <c r="F311" s="579"/>
      <c r="G311" s="579"/>
      <c r="H311" s="579"/>
      <c r="I311" s="579"/>
      <c r="J311" s="579"/>
      <c r="K311" s="579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</row>
    <row r="312" spans="2:26">
      <c r="B312" s="579"/>
      <c r="C312" s="579"/>
      <c r="D312" s="579"/>
      <c r="E312" s="579"/>
      <c r="F312" s="579"/>
      <c r="G312" s="579"/>
      <c r="H312" s="579"/>
      <c r="I312" s="579"/>
      <c r="J312" s="579"/>
      <c r="K312" s="579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</row>
    <row r="313" spans="2:26"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</row>
    <row r="314" spans="2:26">
      <c r="B314" s="579"/>
      <c r="C314" s="579"/>
      <c r="D314" s="579"/>
      <c r="E314" s="579"/>
      <c r="F314" s="579"/>
      <c r="G314" s="579"/>
      <c r="H314" s="579"/>
      <c r="I314" s="579"/>
      <c r="J314" s="579"/>
      <c r="K314" s="579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</row>
    <row r="315" spans="2:26">
      <c r="B315" s="579"/>
      <c r="C315" s="579"/>
      <c r="D315" s="579"/>
      <c r="E315" s="579"/>
      <c r="F315" s="579"/>
      <c r="G315" s="579"/>
      <c r="H315" s="579"/>
      <c r="I315" s="579"/>
      <c r="J315" s="579"/>
      <c r="K315" s="579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</row>
    <row r="316" spans="2:26">
      <c r="B316" s="579"/>
      <c r="C316" s="579"/>
      <c r="D316" s="579"/>
      <c r="E316" s="579"/>
      <c r="F316" s="579"/>
      <c r="G316" s="579"/>
      <c r="H316" s="579"/>
      <c r="I316" s="579"/>
      <c r="J316" s="579"/>
      <c r="K316" s="579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</row>
    <row r="317" spans="2:26">
      <c r="B317" s="579"/>
      <c r="C317" s="579"/>
      <c r="D317" s="579"/>
      <c r="E317" s="579"/>
      <c r="F317" s="579"/>
      <c r="G317" s="579"/>
      <c r="H317" s="579"/>
      <c r="I317" s="579"/>
      <c r="J317" s="579"/>
      <c r="K317" s="579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</row>
    <row r="318" spans="2:26">
      <c r="B318" s="579"/>
      <c r="C318" s="579"/>
      <c r="D318" s="579"/>
      <c r="E318" s="579"/>
      <c r="F318" s="579"/>
      <c r="G318" s="579"/>
      <c r="H318" s="579"/>
      <c r="I318" s="579"/>
      <c r="J318" s="579"/>
      <c r="K318" s="579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</row>
    <row r="319" spans="2:26">
      <c r="B319" s="579"/>
      <c r="C319" s="579"/>
      <c r="D319" s="579"/>
      <c r="E319" s="579"/>
      <c r="F319" s="579"/>
      <c r="G319" s="579"/>
      <c r="H319" s="579"/>
      <c r="I319" s="579"/>
      <c r="J319" s="579"/>
      <c r="K319" s="579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</row>
    <row r="320" spans="2:26">
      <c r="B320" s="579"/>
      <c r="C320" s="579"/>
      <c r="D320" s="579"/>
      <c r="E320" s="579"/>
      <c r="F320" s="579"/>
      <c r="G320" s="579"/>
      <c r="H320" s="579"/>
      <c r="I320" s="579"/>
      <c r="J320" s="579"/>
      <c r="K320" s="579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</row>
    <row r="321" spans="2:26">
      <c r="B321" s="579"/>
      <c r="C321" s="579"/>
      <c r="D321" s="579"/>
      <c r="E321" s="579"/>
      <c r="F321" s="579"/>
      <c r="G321" s="579"/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</row>
    <row r="322" spans="2:26">
      <c r="B322" s="579"/>
      <c r="C322" s="579"/>
      <c r="D322" s="579"/>
      <c r="E322" s="579"/>
      <c r="F322" s="579"/>
      <c r="G322" s="579"/>
      <c r="H322" s="579"/>
      <c r="I322" s="579"/>
      <c r="J322" s="579"/>
      <c r="K322" s="579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</row>
    <row r="323" spans="2:26">
      <c r="B323" s="579"/>
      <c r="C323" s="579"/>
      <c r="D323" s="579"/>
      <c r="E323" s="579"/>
      <c r="F323" s="579"/>
      <c r="G323" s="579"/>
      <c r="H323" s="579"/>
      <c r="I323" s="579"/>
      <c r="J323" s="579"/>
      <c r="K323" s="579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</row>
    <row r="324" spans="2:26">
      <c r="B324" s="579"/>
      <c r="C324" s="579"/>
      <c r="D324" s="579"/>
      <c r="E324" s="579"/>
      <c r="F324" s="579"/>
      <c r="G324" s="579"/>
      <c r="H324" s="579"/>
      <c r="I324" s="579"/>
      <c r="J324" s="579"/>
      <c r="K324" s="579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</row>
    <row r="325" spans="2:26">
      <c r="B325" s="579"/>
      <c r="C325" s="579"/>
      <c r="D325" s="579"/>
      <c r="E325" s="579"/>
      <c r="F325" s="579"/>
      <c r="G325" s="579"/>
      <c r="H325" s="579"/>
      <c r="I325" s="579"/>
      <c r="J325" s="579"/>
      <c r="K325" s="579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</row>
    <row r="326" spans="2:26">
      <c r="B326" s="579"/>
      <c r="C326" s="579"/>
      <c r="D326" s="579"/>
      <c r="E326" s="579"/>
      <c r="F326" s="579"/>
      <c r="G326" s="579"/>
      <c r="H326" s="579"/>
      <c r="I326" s="579"/>
      <c r="J326" s="579"/>
      <c r="K326" s="579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</row>
    <row r="327" spans="2:26">
      <c r="B327" s="579"/>
      <c r="C327" s="579"/>
      <c r="D327" s="579"/>
      <c r="E327" s="579"/>
      <c r="F327" s="579"/>
      <c r="G327" s="579"/>
      <c r="H327" s="579"/>
      <c r="I327" s="579"/>
      <c r="J327" s="579"/>
      <c r="K327" s="579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</row>
    <row r="328" spans="2:26">
      <c r="B328" s="579"/>
      <c r="C328" s="579"/>
      <c r="D328" s="579"/>
      <c r="E328" s="579"/>
      <c r="F328" s="579"/>
      <c r="G328" s="579"/>
      <c r="H328" s="579"/>
      <c r="I328" s="579"/>
      <c r="J328" s="579"/>
      <c r="K328" s="579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</row>
    <row r="329" spans="2:26">
      <c r="B329" s="579"/>
      <c r="C329" s="579"/>
      <c r="D329" s="579"/>
      <c r="E329" s="579"/>
      <c r="F329" s="579"/>
      <c r="G329" s="579"/>
      <c r="H329" s="579"/>
      <c r="I329" s="579"/>
      <c r="J329" s="579"/>
      <c r="K329" s="579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</row>
    <row r="330" spans="2:26">
      <c r="B330" s="579"/>
      <c r="C330" s="579"/>
      <c r="D330" s="579"/>
      <c r="E330" s="579"/>
      <c r="F330" s="579"/>
      <c r="G330" s="579"/>
      <c r="H330" s="579"/>
      <c r="I330" s="579"/>
      <c r="J330" s="579"/>
      <c r="K330" s="579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</row>
    <row r="331" spans="2:26">
      <c r="B331" s="579"/>
      <c r="C331" s="579"/>
      <c r="D331" s="579"/>
      <c r="E331" s="579"/>
      <c r="F331" s="579"/>
      <c r="G331" s="579"/>
      <c r="H331" s="579"/>
      <c r="I331" s="579"/>
      <c r="J331" s="579"/>
      <c r="K331" s="579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</row>
    <row r="332" spans="2:26">
      <c r="B332" s="579"/>
      <c r="C332" s="579"/>
      <c r="D332" s="579"/>
      <c r="E332" s="579"/>
      <c r="F332" s="579"/>
      <c r="G332" s="579"/>
      <c r="H332" s="579"/>
      <c r="I332" s="579"/>
      <c r="J332" s="579"/>
      <c r="K332" s="579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</row>
    <row r="333" spans="2:26">
      <c r="B333" s="579"/>
      <c r="C333" s="579"/>
      <c r="D333" s="579"/>
      <c r="E333" s="579"/>
      <c r="F333" s="579"/>
      <c r="G333" s="579"/>
      <c r="H333" s="579"/>
      <c r="I333" s="579"/>
      <c r="J333" s="579"/>
      <c r="K333" s="579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</row>
    <row r="334" spans="2:26">
      <c r="B334" s="579"/>
      <c r="C334" s="579"/>
      <c r="D334" s="579"/>
      <c r="E334" s="579"/>
      <c r="F334" s="579"/>
      <c r="G334" s="579"/>
      <c r="H334" s="579"/>
      <c r="I334" s="579"/>
      <c r="J334" s="579"/>
      <c r="K334" s="579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</row>
    <row r="335" spans="2:26">
      <c r="B335" s="579"/>
      <c r="C335" s="579"/>
      <c r="D335" s="579"/>
      <c r="E335" s="579"/>
      <c r="F335" s="579"/>
      <c r="G335" s="579"/>
      <c r="H335" s="579"/>
      <c r="I335" s="579"/>
      <c r="J335" s="579"/>
      <c r="K335" s="579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</row>
    <row r="336" spans="2:26">
      <c r="B336" s="579"/>
      <c r="C336" s="579"/>
      <c r="D336" s="579"/>
      <c r="E336" s="579"/>
      <c r="F336" s="579"/>
      <c r="G336" s="579"/>
      <c r="H336" s="579"/>
      <c r="I336" s="579"/>
      <c r="J336" s="579"/>
      <c r="K336" s="579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</row>
    <row r="337" spans="2:26">
      <c r="B337" s="579"/>
      <c r="C337" s="579"/>
      <c r="D337" s="579"/>
      <c r="E337" s="579"/>
      <c r="F337" s="579"/>
      <c r="G337" s="579"/>
      <c r="H337" s="579"/>
      <c r="I337" s="579"/>
      <c r="J337" s="579"/>
      <c r="K337" s="579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</row>
    <row r="338" spans="2:26">
      <c r="B338" s="579"/>
      <c r="C338" s="579"/>
      <c r="D338" s="579"/>
      <c r="E338" s="579"/>
      <c r="F338" s="579"/>
      <c r="G338" s="579"/>
      <c r="H338" s="579"/>
      <c r="I338" s="579"/>
      <c r="J338" s="579"/>
      <c r="K338" s="579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</row>
    <row r="339" spans="2:26">
      <c r="B339" s="579"/>
      <c r="C339" s="579"/>
      <c r="D339" s="579"/>
      <c r="E339" s="579"/>
      <c r="F339" s="579"/>
      <c r="G339" s="579"/>
      <c r="H339" s="579"/>
      <c r="I339" s="579"/>
      <c r="J339" s="579"/>
      <c r="K339" s="579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</row>
    <row r="340" spans="2:26">
      <c r="B340" s="579"/>
      <c r="C340" s="579"/>
      <c r="D340" s="579"/>
      <c r="E340" s="579"/>
      <c r="F340" s="579"/>
      <c r="G340" s="579"/>
      <c r="H340" s="579"/>
      <c r="I340" s="579"/>
      <c r="J340" s="579"/>
      <c r="K340" s="579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</row>
    <row r="341" spans="2:26">
      <c r="B341" s="579"/>
      <c r="C341" s="579"/>
      <c r="D341" s="579"/>
      <c r="E341" s="579"/>
      <c r="F341" s="579"/>
      <c r="G341" s="579"/>
      <c r="H341" s="579"/>
      <c r="I341" s="579"/>
      <c r="J341" s="579"/>
      <c r="K341" s="579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</row>
    <row r="342" spans="2:26">
      <c r="B342" s="579"/>
      <c r="C342" s="579"/>
      <c r="D342" s="579"/>
      <c r="E342" s="579"/>
      <c r="F342" s="579"/>
      <c r="G342" s="579"/>
      <c r="H342" s="579"/>
      <c r="I342" s="579"/>
      <c r="J342" s="579"/>
      <c r="K342" s="579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</row>
    <row r="343" spans="2:26">
      <c r="B343" s="579"/>
      <c r="C343" s="579"/>
      <c r="D343" s="579"/>
      <c r="E343" s="579"/>
      <c r="F343" s="579"/>
      <c r="G343" s="579"/>
      <c r="H343" s="579"/>
      <c r="I343" s="579"/>
      <c r="J343" s="579"/>
      <c r="K343" s="579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</row>
    <row r="344" spans="2:26">
      <c r="B344" s="579"/>
      <c r="C344" s="579"/>
      <c r="D344" s="579"/>
      <c r="E344" s="579"/>
      <c r="F344" s="579"/>
      <c r="G344" s="579"/>
      <c r="H344" s="579"/>
      <c r="I344" s="579"/>
      <c r="J344" s="579"/>
      <c r="K344" s="579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</row>
    <row r="345" spans="2:26">
      <c r="B345" s="579"/>
      <c r="C345" s="579"/>
      <c r="D345" s="579"/>
      <c r="E345" s="579"/>
      <c r="F345" s="579"/>
      <c r="G345" s="579"/>
      <c r="H345" s="579"/>
      <c r="I345" s="579"/>
      <c r="J345" s="579"/>
      <c r="K345" s="579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</row>
    <row r="346" spans="2:26">
      <c r="B346" s="579"/>
      <c r="C346" s="579"/>
      <c r="D346" s="579"/>
      <c r="E346" s="579"/>
      <c r="F346" s="579"/>
      <c r="G346" s="579"/>
      <c r="H346" s="579"/>
      <c r="I346" s="579"/>
      <c r="J346" s="579"/>
      <c r="K346" s="579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</row>
    <row r="347" spans="2:26">
      <c r="B347" s="579"/>
      <c r="C347" s="579"/>
      <c r="D347" s="579"/>
      <c r="E347" s="579"/>
      <c r="F347" s="579"/>
      <c r="G347" s="579"/>
      <c r="H347" s="579"/>
      <c r="I347" s="579"/>
      <c r="J347" s="579"/>
      <c r="K347" s="579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</row>
    <row r="348" spans="2:26">
      <c r="B348" s="579"/>
      <c r="C348" s="579"/>
      <c r="D348" s="579"/>
      <c r="E348" s="579"/>
      <c r="F348" s="579"/>
      <c r="G348" s="579"/>
      <c r="H348" s="579"/>
      <c r="I348" s="579"/>
      <c r="J348" s="579"/>
      <c r="K348" s="579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</row>
    <row r="349" spans="2:26">
      <c r="B349" s="579"/>
      <c r="C349" s="579"/>
      <c r="D349" s="579"/>
      <c r="E349" s="579"/>
      <c r="F349" s="579"/>
      <c r="G349" s="579"/>
      <c r="H349" s="579"/>
      <c r="I349" s="579"/>
      <c r="J349" s="579"/>
      <c r="K349" s="579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</row>
    <row r="350" spans="2:26">
      <c r="B350" s="579"/>
      <c r="C350" s="579"/>
      <c r="D350" s="579"/>
      <c r="E350" s="579"/>
      <c r="F350" s="579"/>
      <c r="G350" s="579"/>
      <c r="H350" s="579"/>
      <c r="I350" s="579"/>
      <c r="J350" s="579"/>
      <c r="K350" s="579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</row>
    <row r="351" spans="2:26">
      <c r="B351" s="579"/>
      <c r="C351" s="579"/>
      <c r="D351" s="579"/>
      <c r="E351" s="579"/>
      <c r="F351" s="579"/>
      <c r="G351" s="579"/>
      <c r="H351" s="579"/>
      <c r="I351" s="579"/>
      <c r="J351" s="579"/>
      <c r="K351" s="579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</row>
    <row r="352" spans="2:26">
      <c r="B352" s="579"/>
      <c r="C352" s="579"/>
      <c r="D352" s="579"/>
      <c r="E352" s="579"/>
      <c r="F352" s="579"/>
      <c r="G352" s="579"/>
      <c r="H352" s="579"/>
      <c r="I352" s="579"/>
      <c r="J352" s="579"/>
      <c r="K352" s="579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</row>
    <row r="353" spans="2:26">
      <c r="B353" s="579"/>
      <c r="C353" s="579"/>
      <c r="D353" s="579"/>
      <c r="E353" s="579"/>
      <c r="F353" s="579"/>
      <c r="G353" s="579"/>
      <c r="H353" s="579"/>
      <c r="I353" s="579"/>
      <c r="J353" s="579"/>
      <c r="K353" s="579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</row>
    <row r="354" spans="2:26">
      <c r="B354" s="579"/>
      <c r="C354" s="579"/>
      <c r="D354" s="579"/>
      <c r="E354" s="579"/>
      <c r="F354" s="579"/>
      <c r="G354" s="579"/>
      <c r="H354" s="579"/>
      <c r="I354" s="579"/>
      <c r="J354" s="579"/>
      <c r="K354" s="579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</row>
    <row r="355" spans="2:26">
      <c r="B355" s="579"/>
      <c r="C355" s="579"/>
      <c r="D355" s="579"/>
      <c r="E355" s="579"/>
      <c r="F355" s="579"/>
      <c r="G355" s="579"/>
      <c r="H355" s="579"/>
      <c r="I355" s="579"/>
      <c r="J355" s="579"/>
      <c r="K355" s="579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</row>
    <row r="356" spans="2:26">
      <c r="B356" s="579"/>
      <c r="C356" s="579"/>
      <c r="D356" s="579"/>
      <c r="E356" s="579"/>
      <c r="F356" s="579"/>
      <c r="G356" s="579"/>
      <c r="H356" s="579"/>
      <c r="I356" s="579"/>
      <c r="J356" s="579"/>
      <c r="K356" s="579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</row>
    <row r="357" spans="2:26">
      <c r="B357" s="579"/>
      <c r="C357" s="579"/>
      <c r="D357" s="579"/>
      <c r="E357" s="579"/>
      <c r="F357" s="579"/>
      <c r="G357" s="579"/>
      <c r="H357" s="579"/>
      <c r="I357" s="579"/>
      <c r="J357" s="579"/>
      <c r="K357" s="579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</row>
    <row r="358" spans="2:26">
      <c r="B358" s="579"/>
      <c r="C358" s="579"/>
      <c r="D358" s="579"/>
      <c r="E358" s="579"/>
      <c r="F358" s="579"/>
      <c r="G358" s="579"/>
      <c r="H358" s="579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</row>
    <row r="359" spans="2:26">
      <c r="B359" s="579"/>
      <c r="C359" s="579"/>
      <c r="D359" s="579"/>
      <c r="E359" s="579"/>
      <c r="F359" s="579"/>
      <c r="G359" s="579"/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</row>
    <row r="360" spans="2:26">
      <c r="B360" s="579"/>
      <c r="C360" s="579"/>
      <c r="D360" s="579"/>
      <c r="E360" s="579"/>
      <c r="F360" s="579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</row>
    <row r="361" spans="2:26">
      <c r="B361" s="579"/>
      <c r="C361" s="579"/>
      <c r="D361" s="579"/>
      <c r="E361" s="579"/>
      <c r="F361" s="579"/>
      <c r="G361" s="579"/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</row>
    <row r="362" spans="2:26">
      <c r="B362" s="579"/>
      <c r="C362" s="579"/>
      <c r="D362" s="579"/>
      <c r="E362" s="579"/>
      <c r="F362" s="579"/>
      <c r="G362" s="579"/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</row>
    <row r="363" spans="2:26">
      <c r="B363" s="579"/>
      <c r="C363" s="579"/>
      <c r="D363" s="579"/>
      <c r="E363" s="579"/>
      <c r="F363" s="579"/>
      <c r="G363" s="579"/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</row>
    <row r="364" spans="2:26">
      <c r="B364" s="579"/>
      <c r="C364" s="579"/>
      <c r="D364" s="579"/>
      <c r="E364" s="579"/>
      <c r="F364" s="579"/>
      <c r="G364" s="579"/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</row>
    <row r="365" spans="2:26">
      <c r="B365" s="579"/>
      <c r="C365" s="579"/>
      <c r="D365" s="579"/>
      <c r="E365" s="579"/>
      <c r="F365" s="579"/>
      <c r="G365" s="579"/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</row>
    <row r="366" spans="2:26">
      <c r="B366" s="579"/>
      <c r="C366" s="579"/>
      <c r="D366" s="579"/>
      <c r="E366" s="579"/>
      <c r="F366" s="579"/>
      <c r="G366" s="579"/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</row>
    <row r="367" spans="2:26">
      <c r="B367" s="579"/>
      <c r="C367" s="579"/>
      <c r="D367" s="579"/>
      <c r="E367" s="579"/>
      <c r="F367" s="579"/>
      <c r="G367" s="579"/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</row>
    <row r="368" spans="2:26">
      <c r="B368" s="579"/>
      <c r="C368" s="579"/>
      <c r="D368" s="579"/>
      <c r="E368" s="579"/>
      <c r="F368" s="579"/>
      <c r="G368" s="579"/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</row>
    <row r="369" spans="2:26">
      <c r="B369" s="579"/>
      <c r="C369" s="579"/>
      <c r="D369" s="579"/>
      <c r="E369" s="579"/>
      <c r="F369" s="579"/>
      <c r="G369" s="579"/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</row>
    <row r="370" spans="2:26">
      <c r="B370" s="579"/>
      <c r="C370" s="579"/>
      <c r="D370" s="579"/>
      <c r="E370" s="579"/>
      <c r="F370" s="579"/>
      <c r="G370" s="579"/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</row>
    <row r="371" spans="2:26">
      <c r="B371" s="579"/>
      <c r="C371" s="579"/>
      <c r="D371" s="579"/>
      <c r="E371" s="579"/>
      <c r="F371" s="579"/>
      <c r="G371" s="579"/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</row>
    <row r="372" spans="2:26">
      <c r="B372" s="579"/>
      <c r="C372" s="579"/>
      <c r="D372" s="579"/>
      <c r="E372" s="579"/>
      <c r="F372" s="579"/>
      <c r="G372" s="579"/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</row>
    <row r="373" spans="2:26">
      <c r="B373" s="579"/>
      <c r="C373" s="579"/>
      <c r="D373" s="579"/>
      <c r="E373" s="579"/>
      <c r="F373" s="579"/>
      <c r="G373" s="579"/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</row>
    <row r="374" spans="2:26">
      <c r="B374" s="579"/>
      <c r="C374" s="579"/>
      <c r="D374" s="579"/>
      <c r="E374" s="579"/>
      <c r="F374" s="579"/>
      <c r="G374" s="579"/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</row>
    <row r="375" spans="2:26">
      <c r="B375" s="579"/>
      <c r="C375" s="579"/>
      <c r="D375" s="579"/>
      <c r="E375" s="579"/>
      <c r="F375" s="579"/>
      <c r="G375" s="579"/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</row>
    <row r="376" spans="2:26">
      <c r="B376" s="579"/>
      <c r="C376" s="579"/>
      <c r="D376" s="579"/>
      <c r="E376" s="579"/>
      <c r="F376" s="579"/>
      <c r="G376" s="579"/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</row>
    <row r="377" spans="2:26">
      <c r="B377" s="579"/>
      <c r="C377" s="579"/>
      <c r="D377" s="579"/>
      <c r="E377" s="579"/>
      <c r="F377" s="579"/>
      <c r="G377" s="579"/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</row>
    <row r="378" spans="2:26">
      <c r="B378" s="579"/>
      <c r="C378" s="579"/>
      <c r="D378" s="579"/>
      <c r="E378" s="579"/>
      <c r="F378" s="579"/>
      <c r="G378" s="579"/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</row>
    <row r="379" spans="2:26">
      <c r="B379" s="579"/>
      <c r="C379" s="579"/>
      <c r="D379" s="579"/>
      <c r="E379" s="579"/>
      <c r="F379" s="579"/>
      <c r="G379" s="579"/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</row>
    <row r="380" spans="2:26">
      <c r="B380" s="579"/>
      <c r="C380" s="579"/>
      <c r="D380" s="579"/>
      <c r="E380" s="579"/>
      <c r="F380" s="579"/>
      <c r="G380" s="579"/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</row>
    <row r="381" spans="2:26">
      <c r="B381" s="579"/>
      <c r="C381" s="579"/>
      <c r="D381" s="579"/>
      <c r="E381" s="579"/>
      <c r="F381" s="579"/>
      <c r="G381" s="579"/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</row>
    <row r="382" spans="2:26">
      <c r="B382" s="579"/>
      <c r="C382" s="579"/>
      <c r="D382" s="579"/>
      <c r="E382" s="579"/>
      <c r="F382" s="579"/>
      <c r="G382" s="579"/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</row>
    <row r="383" spans="2:26">
      <c r="B383" s="579"/>
      <c r="C383" s="579"/>
      <c r="D383" s="579"/>
      <c r="E383" s="579"/>
      <c r="F383" s="579"/>
      <c r="G383" s="579"/>
      <c r="H383" s="579"/>
      <c r="I383" s="579"/>
      <c r="J383" s="579"/>
      <c r="K383" s="579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</row>
    <row r="384" spans="2:26">
      <c r="B384" s="579"/>
      <c r="C384" s="579"/>
      <c r="D384" s="579"/>
      <c r="E384" s="579"/>
      <c r="F384" s="579"/>
      <c r="G384" s="579"/>
      <c r="H384" s="579"/>
      <c r="I384" s="579"/>
      <c r="J384" s="579"/>
      <c r="K384" s="579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</row>
    <row r="385" spans="2:26">
      <c r="B385" s="579"/>
      <c r="C385" s="579"/>
      <c r="D385" s="579"/>
      <c r="E385" s="579"/>
      <c r="F385" s="579"/>
      <c r="G385" s="579"/>
      <c r="H385" s="579"/>
      <c r="I385" s="579"/>
      <c r="J385" s="579"/>
      <c r="K385" s="579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</row>
    <row r="386" spans="2:26">
      <c r="B386" s="579"/>
      <c r="C386" s="579"/>
      <c r="D386" s="579"/>
      <c r="E386" s="579"/>
      <c r="F386" s="579"/>
      <c r="G386" s="579"/>
      <c r="H386" s="579"/>
      <c r="I386" s="579"/>
      <c r="J386" s="579"/>
      <c r="K386" s="579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</row>
    <row r="387" spans="2:26">
      <c r="B387" s="579"/>
      <c r="C387" s="579"/>
      <c r="D387" s="579"/>
      <c r="E387" s="579"/>
      <c r="F387" s="579"/>
      <c r="G387" s="579"/>
      <c r="H387" s="579"/>
      <c r="I387" s="579"/>
      <c r="J387" s="579"/>
      <c r="K387" s="579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</row>
    <row r="388" spans="2:26">
      <c r="B388" s="579"/>
      <c r="C388" s="579"/>
      <c r="D388" s="579"/>
      <c r="E388" s="579"/>
      <c r="F388" s="579"/>
      <c r="G388" s="579"/>
      <c r="H388" s="579"/>
      <c r="I388" s="579"/>
      <c r="J388" s="579"/>
      <c r="K388" s="579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</row>
    <row r="389" spans="2:26">
      <c r="B389" s="579"/>
      <c r="C389" s="579"/>
      <c r="D389" s="579"/>
      <c r="E389" s="579"/>
      <c r="F389" s="579"/>
      <c r="G389" s="579"/>
      <c r="H389" s="579"/>
      <c r="I389" s="579"/>
      <c r="J389" s="579"/>
      <c r="K389" s="579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</row>
    <row r="390" spans="2:26">
      <c r="B390" s="579"/>
      <c r="C390" s="579"/>
      <c r="D390" s="579"/>
      <c r="E390" s="579"/>
      <c r="F390" s="579"/>
      <c r="G390" s="579"/>
      <c r="H390" s="579"/>
      <c r="I390" s="579"/>
      <c r="J390" s="579"/>
      <c r="K390" s="579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</row>
    <row r="391" spans="2:26">
      <c r="B391" s="579"/>
      <c r="C391" s="579"/>
      <c r="D391" s="579"/>
      <c r="E391" s="579"/>
      <c r="F391" s="579"/>
      <c r="G391" s="579"/>
      <c r="H391" s="579"/>
      <c r="I391" s="579"/>
      <c r="J391" s="579"/>
      <c r="K391" s="579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</row>
    <row r="392" spans="2:26">
      <c r="B392" s="579"/>
      <c r="C392" s="579"/>
      <c r="D392" s="579"/>
      <c r="E392" s="579"/>
      <c r="F392" s="579"/>
      <c r="G392" s="579"/>
      <c r="H392" s="579"/>
      <c r="I392" s="579"/>
      <c r="J392" s="579"/>
      <c r="K392" s="579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</row>
    <row r="393" spans="2:26">
      <c r="B393" s="579"/>
      <c r="C393" s="579"/>
      <c r="D393" s="579"/>
      <c r="E393" s="579"/>
      <c r="F393" s="579"/>
      <c r="G393" s="579"/>
      <c r="H393" s="579"/>
      <c r="I393" s="579"/>
      <c r="J393" s="579"/>
      <c r="K393" s="579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</row>
    <row r="394" spans="2:26">
      <c r="B394" s="579"/>
      <c r="C394" s="579"/>
      <c r="D394" s="579"/>
      <c r="E394" s="579"/>
      <c r="F394" s="579"/>
      <c r="G394" s="579"/>
      <c r="H394" s="579"/>
      <c r="I394" s="579"/>
      <c r="J394" s="579"/>
      <c r="K394" s="579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</row>
    <row r="395" spans="2:26">
      <c r="B395" s="579"/>
      <c r="C395" s="579"/>
      <c r="D395" s="579"/>
      <c r="E395" s="579"/>
      <c r="F395" s="579"/>
      <c r="G395" s="579"/>
      <c r="H395" s="579"/>
      <c r="I395" s="579"/>
      <c r="J395" s="579"/>
      <c r="K395" s="579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</row>
    <row r="396" spans="2:26">
      <c r="B396" s="579"/>
      <c r="C396" s="579"/>
      <c r="D396" s="579"/>
      <c r="E396" s="579"/>
      <c r="F396" s="579"/>
      <c r="G396" s="579"/>
      <c r="H396" s="579"/>
      <c r="I396" s="579"/>
      <c r="J396" s="579"/>
      <c r="K396" s="579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</row>
    <row r="397" spans="2:26">
      <c r="B397" s="579"/>
      <c r="C397" s="579"/>
      <c r="D397" s="579"/>
      <c r="E397" s="579"/>
      <c r="F397" s="579"/>
      <c r="G397" s="579"/>
      <c r="H397" s="579"/>
      <c r="I397" s="579"/>
      <c r="J397" s="579"/>
      <c r="K397" s="579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</row>
    <row r="398" spans="2:26">
      <c r="B398" s="579"/>
      <c r="C398" s="579"/>
      <c r="D398" s="579"/>
      <c r="E398" s="579"/>
      <c r="F398" s="579"/>
      <c r="G398" s="579"/>
      <c r="H398" s="579"/>
      <c r="I398" s="579"/>
      <c r="J398" s="579"/>
      <c r="K398" s="579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</row>
    <row r="399" spans="2:26">
      <c r="B399" s="579"/>
      <c r="C399" s="579"/>
      <c r="D399" s="579"/>
      <c r="E399" s="579"/>
      <c r="F399" s="579"/>
      <c r="G399" s="579"/>
      <c r="H399" s="579"/>
      <c r="I399" s="579"/>
      <c r="J399" s="579"/>
      <c r="K399" s="579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</row>
    <row r="400" spans="2:26">
      <c r="B400" s="579"/>
      <c r="C400" s="579"/>
      <c r="D400" s="579"/>
      <c r="E400" s="579"/>
      <c r="F400" s="579"/>
      <c r="G400" s="579"/>
      <c r="H400" s="579"/>
      <c r="I400" s="579"/>
      <c r="J400" s="579"/>
      <c r="K400" s="579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</row>
    <row r="401" spans="2:26">
      <c r="B401" s="579"/>
      <c r="C401" s="579"/>
      <c r="D401" s="579"/>
      <c r="E401" s="579"/>
      <c r="F401" s="579"/>
      <c r="G401" s="579"/>
      <c r="H401" s="579"/>
      <c r="I401" s="579"/>
      <c r="J401" s="579"/>
      <c r="K401" s="579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</row>
    <row r="402" spans="2:26">
      <c r="B402" s="579"/>
      <c r="C402" s="579"/>
      <c r="D402" s="579"/>
      <c r="E402" s="579"/>
      <c r="F402" s="579"/>
      <c r="G402" s="579"/>
      <c r="H402" s="579"/>
      <c r="I402" s="579"/>
      <c r="J402" s="579"/>
      <c r="K402" s="579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</row>
    <row r="403" spans="2:26">
      <c r="B403" s="579"/>
      <c r="C403" s="579"/>
      <c r="D403" s="579"/>
      <c r="E403" s="579"/>
      <c r="F403" s="579"/>
      <c r="G403" s="579"/>
      <c r="H403" s="579"/>
      <c r="I403" s="579"/>
      <c r="J403" s="579"/>
      <c r="K403" s="579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</row>
    <row r="404" spans="2:26">
      <c r="B404" s="579"/>
      <c r="C404" s="579"/>
      <c r="D404" s="579"/>
      <c r="E404" s="579"/>
      <c r="F404" s="579"/>
      <c r="G404" s="579"/>
      <c r="H404" s="579"/>
      <c r="I404" s="579"/>
      <c r="J404" s="579"/>
      <c r="K404" s="579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</row>
    <row r="405" spans="2:26">
      <c r="B405" s="579"/>
      <c r="C405" s="579"/>
      <c r="D405" s="579"/>
      <c r="E405" s="579"/>
      <c r="F405" s="579"/>
      <c r="G405" s="579"/>
      <c r="H405" s="579"/>
      <c r="I405" s="579"/>
      <c r="J405" s="579"/>
      <c r="K405" s="579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</row>
    <row r="406" spans="2:26">
      <c r="B406" s="579"/>
      <c r="C406" s="579"/>
      <c r="D406" s="579"/>
      <c r="E406" s="579"/>
      <c r="F406" s="579"/>
      <c r="G406" s="579"/>
      <c r="H406" s="579"/>
      <c r="I406" s="579"/>
      <c r="J406" s="579"/>
      <c r="K406" s="579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</row>
    <row r="407" spans="2:26">
      <c r="B407" s="579"/>
      <c r="C407" s="579"/>
      <c r="D407" s="579"/>
      <c r="E407" s="579"/>
      <c r="F407" s="579"/>
      <c r="G407" s="579"/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</row>
    <row r="408" spans="2:26">
      <c r="B408" s="579"/>
      <c r="C408" s="579"/>
      <c r="D408" s="579"/>
      <c r="E408" s="579"/>
      <c r="F408" s="579"/>
      <c r="G408" s="579"/>
      <c r="H408" s="579"/>
      <c r="I408" s="579"/>
      <c r="J408" s="579"/>
      <c r="K408" s="579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</row>
    <row r="409" spans="2:26">
      <c r="B409" s="579"/>
      <c r="C409" s="579"/>
      <c r="D409" s="579"/>
      <c r="E409" s="579"/>
      <c r="F409" s="579"/>
      <c r="G409" s="579"/>
      <c r="H409" s="579"/>
      <c r="I409" s="579"/>
      <c r="J409" s="579"/>
      <c r="K409" s="579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</row>
    <row r="410" spans="2:26">
      <c r="B410" s="579"/>
      <c r="C410" s="579"/>
      <c r="D410" s="579"/>
      <c r="E410" s="579"/>
      <c r="F410" s="579"/>
      <c r="G410" s="579"/>
      <c r="H410" s="579"/>
      <c r="I410" s="579"/>
      <c r="J410" s="579"/>
      <c r="K410" s="579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</row>
    <row r="411" spans="2:26">
      <c r="B411" s="579"/>
      <c r="C411" s="579"/>
      <c r="D411" s="579"/>
      <c r="E411" s="579"/>
      <c r="F411" s="579"/>
      <c r="G411" s="579"/>
      <c r="H411" s="579"/>
      <c r="I411" s="579"/>
      <c r="J411" s="579"/>
      <c r="K411" s="579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</row>
    <row r="412" spans="2:26">
      <c r="B412" s="579"/>
      <c r="C412" s="579"/>
      <c r="D412" s="579"/>
      <c r="E412" s="579"/>
      <c r="F412" s="579"/>
      <c r="G412" s="579"/>
      <c r="H412" s="579"/>
      <c r="I412" s="579"/>
      <c r="J412" s="579"/>
      <c r="K412" s="579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</row>
    <row r="413" spans="2:26">
      <c r="B413" s="579"/>
      <c r="C413" s="579"/>
      <c r="D413" s="579"/>
      <c r="E413" s="579"/>
      <c r="F413" s="579"/>
      <c r="G413" s="579"/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</row>
    <row r="414" spans="2:26">
      <c r="B414" s="579"/>
      <c r="C414" s="579"/>
      <c r="D414" s="579"/>
      <c r="E414" s="579"/>
      <c r="F414" s="579"/>
      <c r="G414" s="579"/>
      <c r="H414" s="579"/>
      <c r="I414" s="579"/>
      <c r="J414" s="579"/>
      <c r="K414" s="579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</row>
    <row r="415" spans="2:26">
      <c r="B415" s="579"/>
      <c r="C415" s="579"/>
      <c r="D415" s="579"/>
      <c r="E415" s="579"/>
      <c r="F415" s="579"/>
      <c r="G415" s="579"/>
      <c r="H415" s="579"/>
      <c r="I415" s="579"/>
      <c r="J415" s="579"/>
      <c r="K415" s="579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</row>
    <row r="416" spans="2:26">
      <c r="B416" s="579"/>
      <c r="C416" s="579"/>
      <c r="D416" s="579"/>
      <c r="E416" s="579"/>
      <c r="F416" s="579"/>
      <c r="G416" s="579"/>
      <c r="H416" s="579"/>
      <c r="I416" s="579"/>
      <c r="J416" s="579"/>
      <c r="K416" s="579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</row>
    <row r="417" spans="2:26">
      <c r="B417" s="579"/>
      <c r="C417" s="579"/>
      <c r="D417" s="579"/>
      <c r="E417" s="579"/>
      <c r="F417" s="579"/>
      <c r="G417" s="579"/>
      <c r="H417" s="579"/>
      <c r="I417" s="579"/>
      <c r="J417" s="579"/>
      <c r="K417" s="579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</row>
    <row r="418" spans="2:26">
      <c r="B418" s="579"/>
      <c r="C418" s="579"/>
      <c r="D418" s="579"/>
      <c r="E418" s="579"/>
      <c r="F418" s="579"/>
      <c r="G418" s="579"/>
      <c r="H418" s="579"/>
      <c r="I418" s="579"/>
      <c r="J418" s="579"/>
      <c r="K418" s="579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</row>
    <row r="419" spans="2:26">
      <c r="B419" s="579"/>
      <c r="C419" s="579"/>
      <c r="D419" s="579"/>
      <c r="E419" s="579"/>
      <c r="F419" s="579"/>
      <c r="G419" s="579"/>
      <c r="H419" s="579"/>
      <c r="I419" s="579"/>
      <c r="J419" s="579"/>
      <c r="K419" s="579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</row>
    <row r="420" spans="2:26">
      <c r="B420" s="579"/>
      <c r="C420" s="579"/>
      <c r="D420" s="579"/>
      <c r="E420" s="579"/>
      <c r="F420" s="579"/>
      <c r="G420" s="579"/>
      <c r="H420" s="579"/>
      <c r="I420" s="579"/>
      <c r="J420" s="579"/>
      <c r="K420" s="579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</row>
    <row r="421" spans="2:26">
      <c r="B421" s="579"/>
      <c r="C421" s="579"/>
      <c r="D421" s="579"/>
      <c r="E421" s="579"/>
      <c r="F421" s="579"/>
      <c r="G421" s="579"/>
      <c r="H421" s="579"/>
      <c r="I421" s="579"/>
      <c r="J421" s="579"/>
      <c r="K421" s="579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</row>
    <row r="422" spans="2:26">
      <c r="B422" s="579"/>
      <c r="C422" s="579"/>
      <c r="D422" s="579"/>
      <c r="E422" s="579"/>
      <c r="F422" s="579"/>
      <c r="G422" s="579"/>
      <c r="H422" s="579"/>
      <c r="I422" s="579"/>
      <c r="J422" s="579"/>
      <c r="K422" s="579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</row>
    <row r="423" spans="2:26">
      <c r="B423" s="579"/>
      <c r="C423" s="579"/>
      <c r="D423" s="579"/>
      <c r="E423" s="579"/>
      <c r="F423" s="579"/>
      <c r="G423" s="579"/>
      <c r="H423" s="579"/>
      <c r="I423" s="579"/>
      <c r="J423" s="579"/>
      <c r="K423" s="579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</row>
    <row r="424" spans="2:26">
      <c r="B424" s="579"/>
      <c r="C424" s="579"/>
      <c r="D424" s="579"/>
      <c r="E424" s="579"/>
      <c r="F424" s="579"/>
      <c r="G424" s="579"/>
      <c r="H424" s="579"/>
      <c r="I424" s="579"/>
      <c r="J424" s="579"/>
      <c r="K424" s="579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</row>
    <row r="425" spans="2:26">
      <c r="B425" s="579"/>
      <c r="C425" s="579"/>
      <c r="D425" s="579"/>
      <c r="E425" s="579"/>
      <c r="F425" s="579"/>
      <c r="G425" s="579"/>
      <c r="H425" s="579"/>
      <c r="I425" s="579"/>
      <c r="J425" s="579"/>
      <c r="K425" s="579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</row>
    <row r="426" spans="2:26">
      <c r="B426" s="579"/>
      <c r="C426" s="579"/>
      <c r="D426" s="579"/>
      <c r="E426" s="579"/>
      <c r="F426" s="579"/>
      <c r="G426" s="579"/>
      <c r="H426" s="579"/>
      <c r="I426" s="579"/>
      <c r="J426" s="579"/>
      <c r="K426" s="579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</row>
    <row r="427" spans="2:26">
      <c r="B427" s="579"/>
      <c r="C427" s="579"/>
      <c r="D427" s="579"/>
      <c r="E427" s="579"/>
      <c r="F427" s="579"/>
      <c r="G427" s="579"/>
      <c r="H427" s="579"/>
      <c r="I427" s="579"/>
      <c r="J427" s="579"/>
      <c r="K427" s="579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</row>
    <row r="428" spans="2:26">
      <c r="B428" s="579"/>
      <c r="C428" s="579"/>
      <c r="D428" s="579"/>
      <c r="E428" s="579"/>
      <c r="F428" s="579"/>
      <c r="G428" s="579"/>
      <c r="H428" s="579"/>
      <c r="I428" s="579"/>
      <c r="J428" s="579"/>
      <c r="K428" s="579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</row>
    <row r="429" spans="2:26">
      <c r="B429" s="579"/>
      <c r="C429" s="579"/>
      <c r="D429" s="579"/>
      <c r="E429" s="579"/>
      <c r="F429" s="579"/>
      <c r="G429" s="579"/>
      <c r="H429" s="579"/>
      <c r="I429" s="579"/>
      <c r="J429" s="579"/>
      <c r="K429" s="579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</row>
    <row r="430" spans="2:26">
      <c r="B430" s="579"/>
      <c r="C430" s="579"/>
      <c r="D430" s="579"/>
      <c r="E430" s="579"/>
      <c r="F430" s="579"/>
      <c r="G430" s="579"/>
      <c r="H430" s="579"/>
      <c r="I430" s="579"/>
      <c r="J430" s="579"/>
      <c r="K430" s="579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</row>
    <row r="431" spans="2:26">
      <c r="B431" s="579"/>
      <c r="C431" s="579"/>
      <c r="D431" s="579"/>
      <c r="E431" s="579"/>
      <c r="F431" s="579"/>
      <c r="G431" s="579"/>
      <c r="H431" s="579"/>
      <c r="I431" s="579"/>
      <c r="J431" s="579"/>
      <c r="K431" s="579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</row>
    <row r="432" spans="2:26">
      <c r="B432" s="579"/>
      <c r="C432" s="579"/>
      <c r="D432" s="579"/>
      <c r="E432" s="579"/>
      <c r="F432" s="579"/>
      <c r="G432" s="579"/>
      <c r="H432" s="579"/>
      <c r="I432" s="579"/>
      <c r="J432" s="579"/>
      <c r="K432" s="579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</row>
    <row r="433" spans="2:26">
      <c r="B433" s="579"/>
      <c r="C433" s="579"/>
      <c r="D433" s="579"/>
      <c r="E433" s="579"/>
      <c r="F433" s="579"/>
      <c r="G433" s="579"/>
      <c r="H433" s="579"/>
      <c r="I433" s="579"/>
      <c r="J433" s="579"/>
      <c r="K433" s="579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</row>
    <row r="434" spans="2:26">
      <c r="B434" s="579"/>
      <c r="C434" s="579"/>
      <c r="D434" s="579"/>
      <c r="E434" s="579"/>
      <c r="F434" s="579"/>
      <c r="G434" s="579"/>
      <c r="H434" s="579"/>
      <c r="I434" s="579"/>
      <c r="J434" s="579"/>
      <c r="K434" s="579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</row>
    <row r="435" spans="2:26">
      <c r="B435" s="579"/>
      <c r="C435" s="579"/>
      <c r="D435" s="579"/>
      <c r="E435" s="579"/>
      <c r="F435" s="579"/>
      <c r="G435" s="579"/>
      <c r="H435" s="579"/>
      <c r="I435" s="579"/>
      <c r="J435" s="579"/>
      <c r="K435" s="579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</row>
    <row r="436" spans="2:26">
      <c r="B436" s="579"/>
      <c r="C436" s="579"/>
      <c r="D436" s="579"/>
      <c r="E436" s="579"/>
      <c r="F436" s="579"/>
      <c r="G436" s="579"/>
      <c r="H436" s="579"/>
      <c r="I436" s="579"/>
      <c r="J436" s="579"/>
      <c r="K436" s="579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</row>
    <row r="437" spans="2:26">
      <c r="B437" s="579"/>
      <c r="C437" s="579"/>
      <c r="D437" s="579"/>
      <c r="E437" s="579"/>
      <c r="F437" s="579"/>
      <c r="G437" s="579"/>
      <c r="H437" s="579"/>
      <c r="I437" s="579"/>
      <c r="J437" s="579"/>
      <c r="K437" s="579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</row>
    <row r="438" spans="2:26">
      <c r="B438" s="579"/>
      <c r="C438" s="579"/>
      <c r="D438" s="579"/>
      <c r="E438" s="579"/>
      <c r="F438" s="579"/>
      <c r="G438" s="579"/>
      <c r="H438" s="579"/>
      <c r="I438" s="579"/>
      <c r="J438" s="579"/>
      <c r="K438" s="579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</row>
    <row r="439" spans="2:26">
      <c r="B439" s="579"/>
      <c r="C439" s="579"/>
      <c r="D439" s="579"/>
      <c r="E439" s="579"/>
      <c r="F439" s="579"/>
      <c r="G439" s="579"/>
      <c r="H439" s="579"/>
      <c r="I439" s="579"/>
      <c r="J439" s="579"/>
      <c r="K439" s="579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</row>
    <row r="440" spans="2:26">
      <c r="B440" s="579"/>
      <c r="C440" s="579"/>
      <c r="D440" s="579"/>
      <c r="E440" s="579"/>
      <c r="F440" s="579"/>
      <c r="G440" s="579"/>
      <c r="H440" s="579"/>
      <c r="I440" s="579"/>
      <c r="J440" s="579"/>
      <c r="K440" s="579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</row>
    <row r="441" spans="2:26">
      <c r="B441" s="579"/>
      <c r="C441" s="579"/>
      <c r="D441" s="579"/>
      <c r="E441" s="579"/>
      <c r="F441" s="579"/>
      <c r="G441" s="579"/>
      <c r="H441" s="579"/>
      <c r="I441" s="579"/>
      <c r="J441" s="579"/>
      <c r="K441" s="579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</row>
    <row r="442" spans="2:26">
      <c r="B442" s="579"/>
      <c r="C442" s="579"/>
      <c r="D442" s="579"/>
      <c r="E442" s="579"/>
      <c r="F442" s="579"/>
      <c r="G442" s="579"/>
      <c r="H442" s="579"/>
      <c r="I442" s="579"/>
      <c r="J442" s="579"/>
      <c r="K442" s="579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</row>
    <row r="443" spans="2:26">
      <c r="B443" s="579"/>
      <c r="C443" s="579"/>
      <c r="D443" s="579"/>
      <c r="E443" s="579"/>
      <c r="F443" s="579"/>
      <c r="G443" s="579"/>
      <c r="H443" s="579"/>
      <c r="I443" s="579"/>
      <c r="J443" s="579"/>
      <c r="K443" s="579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</row>
    <row r="444" spans="2:26">
      <c r="B444" s="579"/>
      <c r="C444" s="579"/>
      <c r="D444" s="579"/>
      <c r="E444" s="579"/>
      <c r="F444" s="579"/>
      <c r="G444" s="579"/>
      <c r="H444" s="579"/>
      <c r="I444" s="579"/>
      <c r="J444" s="579"/>
      <c r="K444" s="579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</row>
    <row r="445" spans="2:26">
      <c r="B445" s="579"/>
      <c r="C445" s="579"/>
      <c r="D445" s="579"/>
      <c r="E445" s="579"/>
      <c r="F445" s="579"/>
      <c r="G445" s="579"/>
      <c r="H445" s="579"/>
      <c r="I445" s="579"/>
      <c r="J445" s="579"/>
      <c r="K445" s="579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</row>
    <row r="446" spans="2:26">
      <c r="B446" s="579"/>
      <c r="C446" s="579"/>
      <c r="D446" s="579"/>
      <c r="E446" s="579"/>
      <c r="F446" s="579"/>
      <c r="G446" s="579"/>
      <c r="H446" s="579"/>
      <c r="I446" s="579"/>
      <c r="J446" s="579"/>
      <c r="K446" s="579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</row>
    <row r="447" spans="2:26">
      <c r="B447" s="579"/>
      <c r="C447" s="579"/>
      <c r="D447" s="579"/>
      <c r="E447" s="579"/>
      <c r="F447" s="579"/>
      <c r="G447" s="579"/>
      <c r="H447" s="579"/>
      <c r="I447" s="579"/>
      <c r="J447" s="579"/>
      <c r="K447" s="579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</row>
    <row r="448" spans="2:26">
      <c r="B448" s="579"/>
      <c r="C448" s="579"/>
      <c r="D448" s="579"/>
      <c r="E448" s="579"/>
      <c r="F448" s="579"/>
      <c r="G448" s="579"/>
      <c r="H448" s="579"/>
      <c r="I448" s="579"/>
      <c r="J448" s="579"/>
      <c r="K448" s="579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</row>
    <row r="449" spans="2:26">
      <c r="B449" s="579"/>
      <c r="C449" s="579"/>
      <c r="D449" s="579"/>
      <c r="E449" s="579"/>
      <c r="F449" s="579"/>
      <c r="G449" s="579"/>
      <c r="H449" s="579"/>
      <c r="I449" s="579"/>
      <c r="J449" s="579"/>
      <c r="K449" s="579"/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</row>
    <row r="450" spans="2:26">
      <c r="B450" s="579"/>
      <c r="C450" s="579"/>
      <c r="D450" s="579"/>
      <c r="E450" s="579"/>
      <c r="F450" s="579"/>
      <c r="G450" s="579"/>
      <c r="H450" s="579"/>
      <c r="I450" s="579"/>
      <c r="J450" s="579"/>
      <c r="K450" s="579"/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</row>
    <row r="451" spans="2:26">
      <c r="B451" s="579"/>
      <c r="C451" s="579"/>
      <c r="D451" s="579"/>
      <c r="E451" s="579"/>
      <c r="F451" s="579"/>
      <c r="G451" s="579"/>
      <c r="H451" s="579"/>
      <c r="I451" s="579"/>
      <c r="J451" s="579"/>
      <c r="K451" s="579"/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</row>
    <row r="452" spans="2:26">
      <c r="B452" s="579"/>
      <c r="C452" s="579"/>
      <c r="D452" s="579"/>
      <c r="E452" s="579"/>
      <c r="F452" s="579"/>
      <c r="G452" s="579"/>
      <c r="H452" s="579"/>
      <c r="I452" s="579"/>
      <c r="J452" s="579"/>
      <c r="K452" s="579"/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</row>
    <row r="453" spans="2:26">
      <c r="B453" s="579"/>
      <c r="C453" s="579"/>
      <c r="D453" s="579"/>
      <c r="E453" s="579"/>
      <c r="F453" s="579"/>
      <c r="G453" s="579"/>
      <c r="H453" s="579"/>
      <c r="I453" s="579"/>
      <c r="J453" s="579"/>
      <c r="K453" s="579"/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</row>
    <row r="454" spans="2:26">
      <c r="B454" s="579"/>
      <c r="C454" s="579"/>
      <c r="D454" s="579"/>
      <c r="E454" s="579"/>
      <c r="F454" s="579"/>
      <c r="G454" s="579"/>
      <c r="H454" s="579"/>
      <c r="I454" s="579"/>
      <c r="J454" s="579"/>
      <c r="K454" s="579"/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</row>
    <row r="455" spans="2:26">
      <c r="B455" s="579"/>
      <c r="C455" s="579"/>
      <c r="D455" s="579"/>
      <c r="E455" s="579"/>
      <c r="F455" s="579"/>
      <c r="G455" s="579"/>
      <c r="H455" s="579"/>
      <c r="I455" s="579"/>
      <c r="J455" s="579"/>
      <c r="K455" s="579"/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</row>
    <row r="456" spans="2:26">
      <c r="B456" s="579"/>
      <c r="C456" s="579"/>
      <c r="D456" s="579"/>
      <c r="E456" s="579"/>
      <c r="F456" s="579"/>
      <c r="G456" s="579"/>
      <c r="H456" s="579"/>
      <c r="I456" s="579"/>
      <c r="J456" s="579"/>
      <c r="K456" s="579"/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</row>
    <row r="457" spans="2:26">
      <c r="B457" s="579"/>
      <c r="C457" s="579"/>
      <c r="D457" s="579"/>
      <c r="E457" s="579"/>
      <c r="F457" s="579"/>
      <c r="G457" s="579"/>
      <c r="H457" s="579"/>
      <c r="I457" s="579"/>
      <c r="J457" s="579"/>
      <c r="K457" s="579"/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</row>
    <row r="458" spans="2:26">
      <c r="B458" s="579"/>
      <c r="C458" s="579"/>
      <c r="D458" s="579"/>
      <c r="E458" s="579"/>
      <c r="F458" s="579"/>
      <c r="G458" s="579"/>
      <c r="H458" s="579"/>
      <c r="I458" s="579"/>
      <c r="J458" s="579"/>
      <c r="K458" s="579"/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</row>
    <row r="459" spans="2:26">
      <c r="B459" s="579"/>
      <c r="C459" s="579"/>
      <c r="D459" s="579"/>
      <c r="E459" s="579"/>
      <c r="F459" s="579"/>
      <c r="G459" s="579"/>
      <c r="H459" s="579"/>
      <c r="I459" s="579"/>
      <c r="J459" s="579"/>
      <c r="K459" s="579"/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</row>
    <row r="460" spans="2:26">
      <c r="B460" s="579"/>
      <c r="C460" s="579"/>
      <c r="D460" s="579"/>
      <c r="E460" s="579"/>
      <c r="F460" s="579"/>
      <c r="G460" s="579"/>
      <c r="H460" s="579"/>
      <c r="I460" s="579"/>
      <c r="J460" s="579"/>
      <c r="K460" s="579"/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</row>
    <row r="461" spans="2:26">
      <c r="B461" s="579"/>
      <c r="C461" s="579"/>
      <c r="D461" s="579"/>
      <c r="E461" s="579"/>
      <c r="F461" s="579"/>
      <c r="G461" s="579"/>
      <c r="H461" s="579"/>
      <c r="I461" s="579"/>
      <c r="J461" s="579"/>
      <c r="K461" s="579"/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</row>
    <row r="462" spans="2:26">
      <c r="B462" s="579"/>
      <c r="C462" s="579"/>
      <c r="D462" s="579"/>
      <c r="E462" s="579"/>
      <c r="F462" s="579"/>
      <c r="G462" s="579"/>
      <c r="H462" s="579"/>
      <c r="I462" s="579"/>
      <c r="J462" s="579"/>
      <c r="K462" s="579"/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</row>
    <row r="463" spans="2:26">
      <c r="B463" s="579"/>
      <c r="C463" s="579"/>
      <c r="D463" s="579"/>
      <c r="E463" s="579"/>
      <c r="F463" s="579"/>
      <c r="G463" s="579"/>
      <c r="H463" s="579"/>
      <c r="I463" s="579"/>
      <c r="J463" s="579"/>
      <c r="K463" s="579"/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</row>
    <row r="464" spans="2:26">
      <c r="B464" s="579"/>
      <c r="C464" s="579"/>
      <c r="D464" s="579"/>
      <c r="E464" s="579"/>
      <c r="F464" s="579"/>
      <c r="G464" s="579"/>
      <c r="H464" s="579"/>
      <c r="I464" s="579"/>
      <c r="J464" s="579"/>
      <c r="K464" s="579"/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</row>
    <row r="465" spans="2:26">
      <c r="B465" s="579"/>
      <c r="C465" s="579"/>
      <c r="D465" s="579"/>
      <c r="E465" s="579"/>
      <c r="F465" s="579"/>
      <c r="G465" s="579"/>
      <c r="H465" s="579"/>
      <c r="I465" s="579"/>
      <c r="J465" s="579"/>
      <c r="K465" s="579"/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</row>
    <row r="466" spans="2:26">
      <c r="B466" s="579"/>
      <c r="C466" s="579"/>
      <c r="D466" s="579"/>
      <c r="E466" s="579"/>
      <c r="F466" s="579"/>
      <c r="G466" s="579"/>
      <c r="H466" s="579"/>
      <c r="I466" s="579"/>
      <c r="J466" s="579"/>
      <c r="K466" s="579"/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</row>
    <row r="467" spans="2:26">
      <c r="B467" s="579"/>
      <c r="C467" s="579"/>
      <c r="D467" s="579"/>
      <c r="E467" s="579"/>
      <c r="F467" s="579"/>
      <c r="G467" s="579"/>
      <c r="H467" s="579"/>
      <c r="I467" s="579"/>
      <c r="J467" s="579"/>
      <c r="K467" s="579"/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</row>
    <row r="468" spans="2:26">
      <c r="B468" s="579"/>
      <c r="C468" s="579"/>
      <c r="D468" s="579"/>
      <c r="E468" s="579"/>
      <c r="F468" s="579"/>
      <c r="G468" s="579"/>
      <c r="H468" s="579"/>
      <c r="I468" s="579"/>
      <c r="J468" s="579"/>
      <c r="K468" s="579"/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</row>
    <row r="469" spans="2:26">
      <c r="B469" s="579"/>
      <c r="C469" s="579"/>
      <c r="D469" s="579"/>
      <c r="E469" s="579"/>
      <c r="F469" s="579"/>
      <c r="G469" s="579"/>
      <c r="H469" s="579"/>
      <c r="I469" s="579"/>
      <c r="J469" s="579"/>
      <c r="K469" s="579"/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</row>
    <row r="470" spans="2:26">
      <c r="B470" s="579"/>
      <c r="C470" s="579"/>
      <c r="D470" s="579"/>
      <c r="E470" s="579"/>
      <c r="F470" s="579"/>
      <c r="G470" s="579"/>
      <c r="H470" s="579"/>
      <c r="I470" s="579"/>
      <c r="J470" s="579"/>
      <c r="K470" s="579"/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</row>
    <row r="471" spans="2:26">
      <c r="B471" s="579"/>
      <c r="C471" s="579"/>
      <c r="D471" s="579"/>
      <c r="E471" s="579"/>
      <c r="F471" s="579"/>
      <c r="G471" s="579"/>
      <c r="H471" s="579"/>
      <c r="I471" s="579"/>
      <c r="J471" s="579"/>
      <c r="K471" s="579"/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</row>
    <row r="472" spans="2:26">
      <c r="B472" s="579"/>
      <c r="C472" s="579"/>
      <c r="D472" s="579"/>
      <c r="E472" s="579"/>
      <c r="F472" s="579"/>
      <c r="G472" s="579"/>
      <c r="H472" s="579"/>
      <c r="I472" s="579"/>
      <c r="J472" s="579"/>
      <c r="K472" s="579"/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</row>
    <row r="473" spans="2:26">
      <c r="B473" s="579"/>
      <c r="C473" s="579"/>
      <c r="D473" s="579"/>
      <c r="E473" s="579"/>
      <c r="F473" s="579"/>
      <c r="G473" s="579"/>
      <c r="H473" s="579"/>
      <c r="I473" s="579"/>
      <c r="J473" s="579"/>
      <c r="K473" s="579"/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</row>
    <row r="474" spans="2:26">
      <c r="B474" s="579"/>
      <c r="C474" s="579"/>
      <c r="D474" s="579"/>
      <c r="E474" s="579"/>
      <c r="F474" s="579"/>
      <c r="G474" s="579"/>
      <c r="H474" s="579"/>
      <c r="I474" s="579"/>
      <c r="J474" s="579"/>
      <c r="K474" s="579"/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</row>
    <row r="475" spans="2:26">
      <c r="B475" s="579"/>
      <c r="C475" s="579"/>
      <c r="D475" s="579"/>
      <c r="E475" s="579"/>
      <c r="F475" s="579"/>
      <c r="G475" s="579"/>
      <c r="H475" s="579"/>
      <c r="I475" s="579"/>
      <c r="J475" s="579"/>
      <c r="K475" s="579"/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</row>
    <row r="476" spans="2:26">
      <c r="B476" s="579"/>
      <c r="C476" s="579"/>
      <c r="D476" s="579"/>
      <c r="E476" s="579"/>
      <c r="F476" s="579"/>
      <c r="G476" s="579"/>
      <c r="H476" s="579"/>
      <c r="I476" s="579"/>
      <c r="J476" s="579"/>
      <c r="K476" s="579"/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</row>
    <row r="477" spans="2:26">
      <c r="B477" s="579"/>
      <c r="C477" s="579"/>
      <c r="D477" s="579"/>
      <c r="E477" s="579"/>
      <c r="F477" s="579"/>
      <c r="G477" s="579"/>
      <c r="H477" s="579"/>
      <c r="I477" s="579"/>
      <c r="J477" s="579"/>
      <c r="K477" s="579"/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</row>
    <row r="478" spans="2:26">
      <c r="B478" s="579"/>
      <c r="C478" s="579"/>
      <c r="D478" s="579"/>
      <c r="E478" s="579"/>
      <c r="F478" s="579"/>
      <c r="G478" s="579"/>
      <c r="H478" s="579"/>
      <c r="I478" s="579"/>
      <c r="J478" s="579"/>
      <c r="K478" s="579"/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</row>
    <row r="479" spans="2:26">
      <c r="B479" s="579"/>
      <c r="C479" s="579"/>
      <c r="D479" s="579"/>
      <c r="E479" s="579"/>
      <c r="F479" s="579"/>
      <c r="G479" s="579"/>
      <c r="H479" s="579"/>
      <c r="I479" s="579"/>
      <c r="J479" s="579"/>
      <c r="K479" s="579"/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</row>
    <row r="480" spans="2:26">
      <c r="B480" s="579"/>
      <c r="C480" s="579"/>
      <c r="D480" s="579"/>
      <c r="E480" s="579"/>
      <c r="F480" s="579"/>
      <c r="G480" s="579"/>
      <c r="H480" s="579"/>
      <c r="I480" s="579"/>
      <c r="J480" s="579"/>
      <c r="K480" s="579"/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</row>
    <row r="481" spans="2:26">
      <c r="B481" s="579"/>
      <c r="C481" s="579"/>
      <c r="D481" s="579"/>
      <c r="E481" s="579"/>
      <c r="F481" s="579"/>
      <c r="G481" s="579"/>
      <c r="H481" s="579"/>
      <c r="I481" s="579"/>
      <c r="J481" s="579"/>
      <c r="K481" s="579"/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</row>
    <row r="482" spans="2:26">
      <c r="B482" s="579"/>
      <c r="C482" s="579"/>
      <c r="D482" s="579"/>
      <c r="E482" s="579"/>
      <c r="F482" s="579"/>
      <c r="G482" s="579"/>
      <c r="H482" s="579"/>
      <c r="I482" s="579"/>
      <c r="J482" s="579"/>
      <c r="K482" s="579"/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</row>
    <row r="483" spans="2:26">
      <c r="B483" s="579"/>
      <c r="C483" s="579"/>
      <c r="D483" s="579"/>
      <c r="E483" s="579"/>
      <c r="F483" s="579"/>
      <c r="G483" s="579"/>
      <c r="H483" s="579"/>
      <c r="I483" s="579"/>
      <c r="J483" s="579"/>
      <c r="K483" s="579"/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</row>
    <row r="484" spans="2:26">
      <c r="B484" s="579"/>
      <c r="C484" s="579"/>
      <c r="D484" s="579"/>
      <c r="E484" s="579"/>
      <c r="F484" s="579"/>
      <c r="G484" s="579"/>
      <c r="H484" s="579"/>
      <c r="I484" s="579"/>
      <c r="J484" s="579"/>
      <c r="K484" s="579"/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</row>
    <row r="485" spans="2:26">
      <c r="B485" s="579"/>
      <c r="C485" s="579"/>
      <c r="D485" s="579"/>
      <c r="E485" s="579"/>
      <c r="F485" s="579"/>
      <c r="G485" s="579"/>
      <c r="H485" s="579"/>
      <c r="I485" s="579"/>
      <c r="J485" s="579"/>
      <c r="K485" s="579"/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</row>
    <row r="486" spans="2:26">
      <c r="B486" s="579"/>
      <c r="C486" s="579"/>
      <c r="D486" s="579"/>
      <c r="E486" s="579"/>
      <c r="F486" s="579"/>
      <c r="G486" s="579"/>
      <c r="H486" s="579"/>
      <c r="I486" s="579"/>
      <c r="J486" s="579"/>
      <c r="K486" s="579"/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</row>
    <row r="487" spans="2:26">
      <c r="B487" s="579"/>
      <c r="C487" s="579"/>
      <c r="D487" s="579"/>
      <c r="E487" s="579"/>
      <c r="F487" s="579"/>
      <c r="G487" s="579"/>
      <c r="H487" s="579"/>
      <c r="I487" s="579"/>
      <c r="J487" s="579"/>
      <c r="K487" s="579"/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</row>
    <row r="488" spans="2:26">
      <c r="B488" s="579"/>
      <c r="C488" s="579"/>
      <c r="D488" s="579"/>
      <c r="E488" s="579"/>
      <c r="F488" s="579"/>
      <c r="G488" s="579"/>
      <c r="H488" s="579"/>
      <c r="I488" s="579"/>
      <c r="J488" s="579"/>
      <c r="K488" s="579"/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</row>
    <row r="489" spans="2:26">
      <c r="B489" s="579"/>
      <c r="C489" s="579"/>
      <c r="D489" s="579"/>
      <c r="E489" s="579"/>
      <c r="F489" s="579"/>
      <c r="G489" s="579"/>
      <c r="H489" s="579"/>
      <c r="I489" s="579"/>
      <c r="J489" s="579"/>
      <c r="K489" s="579"/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</row>
    <row r="490" spans="2:26">
      <c r="B490" s="579"/>
      <c r="C490" s="579"/>
      <c r="D490" s="579"/>
      <c r="E490" s="579"/>
      <c r="F490" s="579"/>
      <c r="G490" s="579"/>
      <c r="H490" s="579"/>
      <c r="I490" s="579"/>
      <c r="J490" s="579"/>
      <c r="K490" s="579"/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</row>
    <row r="491" spans="2:26">
      <c r="B491" s="579"/>
      <c r="C491" s="579"/>
      <c r="D491" s="579"/>
      <c r="E491" s="579"/>
      <c r="F491" s="579"/>
      <c r="G491" s="579"/>
      <c r="H491" s="579"/>
      <c r="I491" s="579"/>
      <c r="J491" s="579"/>
      <c r="K491" s="579"/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</row>
    <row r="492" spans="2:26">
      <c r="B492" s="579"/>
      <c r="C492" s="579"/>
      <c r="D492" s="579"/>
      <c r="E492" s="579"/>
      <c r="F492" s="579"/>
      <c r="G492" s="579"/>
      <c r="H492" s="579"/>
      <c r="I492" s="579"/>
      <c r="J492" s="579"/>
      <c r="K492" s="579"/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</row>
    <row r="493" spans="2:26">
      <c r="B493" s="579"/>
      <c r="C493" s="579"/>
      <c r="D493" s="579"/>
      <c r="E493" s="579"/>
      <c r="F493" s="579"/>
      <c r="G493" s="579"/>
      <c r="H493" s="579"/>
      <c r="I493" s="579"/>
      <c r="J493" s="579"/>
      <c r="K493" s="579"/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</row>
    <row r="494" spans="2:26">
      <c r="B494" s="579"/>
      <c r="C494" s="579"/>
      <c r="D494" s="579"/>
      <c r="E494" s="579"/>
      <c r="F494" s="579"/>
      <c r="G494" s="579"/>
      <c r="H494" s="579"/>
      <c r="I494" s="579"/>
      <c r="J494" s="579"/>
      <c r="K494" s="579"/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</row>
    <row r="495" spans="2:26">
      <c r="B495" s="579"/>
      <c r="C495" s="579"/>
      <c r="D495" s="579"/>
      <c r="E495" s="579"/>
      <c r="F495" s="579"/>
      <c r="G495" s="579"/>
      <c r="H495" s="579"/>
      <c r="I495" s="579"/>
      <c r="J495" s="579"/>
      <c r="K495" s="579"/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</row>
    <row r="496" spans="2:26">
      <c r="B496" s="579"/>
      <c r="C496" s="579"/>
      <c r="D496" s="579"/>
      <c r="E496" s="579"/>
      <c r="F496" s="579"/>
      <c r="G496" s="579"/>
      <c r="H496" s="579"/>
      <c r="I496" s="579"/>
      <c r="J496" s="579"/>
      <c r="K496" s="579"/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</row>
    <row r="497" spans="2:26">
      <c r="B497" s="579"/>
      <c r="C497" s="579"/>
      <c r="D497" s="579"/>
      <c r="E497" s="579"/>
      <c r="F497" s="579"/>
      <c r="G497" s="579"/>
      <c r="H497" s="579"/>
      <c r="I497" s="579"/>
      <c r="J497" s="579"/>
      <c r="K497" s="579"/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</row>
    <row r="498" spans="2:26">
      <c r="B498" s="579"/>
      <c r="C498" s="579"/>
      <c r="D498" s="579"/>
      <c r="E498" s="579"/>
      <c r="F498" s="579"/>
      <c r="G498" s="579"/>
      <c r="H498" s="579"/>
      <c r="I498" s="579"/>
      <c r="J498" s="579"/>
      <c r="K498" s="579"/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</row>
    <row r="499" spans="2:26">
      <c r="B499" s="579"/>
      <c r="C499" s="579"/>
      <c r="D499" s="579"/>
      <c r="E499" s="579"/>
      <c r="F499" s="579"/>
      <c r="G499" s="579"/>
      <c r="H499" s="579"/>
      <c r="I499" s="579"/>
      <c r="J499" s="579"/>
      <c r="K499" s="579"/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</row>
    <row r="500" spans="2:26">
      <c r="B500" s="579"/>
      <c r="C500" s="579"/>
      <c r="D500" s="579"/>
      <c r="E500" s="579"/>
      <c r="F500" s="579"/>
      <c r="G500" s="579"/>
      <c r="H500" s="579"/>
      <c r="I500" s="579"/>
      <c r="J500" s="579"/>
      <c r="K500" s="579"/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</row>
    <row r="501" spans="2:26">
      <c r="B501" s="579"/>
      <c r="C501" s="579"/>
      <c r="D501" s="579"/>
      <c r="E501" s="579"/>
      <c r="F501" s="579"/>
      <c r="G501" s="579"/>
      <c r="H501" s="579"/>
      <c r="I501" s="579"/>
      <c r="J501" s="579"/>
      <c r="K501" s="579"/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</row>
    <row r="502" spans="2:26">
      <c r="B502" s="579"/>
      <c r="C502" s="579"/>
      <c r="D502" s="579"/>
      <c r="E502" s="579"/>
      <c r="F502" s="579"/>
      <c r="G502" s="579"/>
      <c r="H502" s="579"/>
      <c r="I502" s="579"/>
      <c r="J502" s="579"/>
      <c r="K502" s="579"/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</row>
    <row r="503" spans="2:26">
      <c r="B503" s="579"/>
      <c r="C503" s="579"/>
      <c r="D503" s="579"/>
      <c r="E503" s="579"/>
      <c r="F503" s="579"/>
      <c r="G503" s="579"/>
      <c r="H503" s="579"/>
      <c r="I503" s="579"/>
      <c r="J503" s="579"/>
      <c r="K503" s="579"/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</row>
    <row r="504" spans="2:26">
      <c r="B504" s="579"/>
      <c r="C504" s="579"/>
      <c r="D504" s="579"/>
      <c r="E504" s="579"/>
      <c r="F504" s="579"/>
      <c r="G504" s="579"/>
      <c r="H504" s="579"/>
      <c r="I504" s="579"/>
      <c r="J504" s="579"/>
      <c r="K504" s="579"/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</row>
    <row r="505" spans="2:26">
      <c r="B505" s="579"/>
      <c r="C505" s="579"/>
      <c r="D505" s="579"/>
      <c r="E505" s="579"/>
      <c r="F505" s="579"/>
      <c r="G505" s="579"/>
      <c r="H505" s="579"/>
      <c r="I505" s="579"/>
      <c r="J505" s="579"/>
      <c r="K505" s="579"/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</row>
    <row r="506" spans="2:26">
      <c r="B506" s="579"/>
      <c r="C506" s="579"/>
      <c r="D506" s="579"/>
      <c r="E506" s="579"/>
      <c r="F506" s="579"/>
      <c r="G506" s="579"/>
      <c r="H506" s="579"/>
      <c r="I506" s="579"/>
      <c r="J506" s="579"/>
      <c r="K506" s="579"/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</row>
    <row r="507" spans="2:26">
      <c r="B507" s="579"/>
      <c r="C507" s="579"/>
      <c r="D507" s="579"/>
      <c r="E507" s="579"/>
      <c r="F507" s="579"/>
      <c r="G507" s="579"/>
      <c r="H507" s="579"/>
      <c r="I507" s="579"/>
      <c r="J507" s="579"/>
      <c r="K507" s="579"/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</row>
    <row r="508" spans="2:26">
      <c r="B508" s="579"/>
      <c r="C508" s="579"/>
      <c r="D508" s="579"/>
      <c r="E508" s="579"/>
      <c r="F508" s="579"/>
      <c r="G508" s="579"/>
      <c r="H508" s="579"/>
      <c r="I508" s="579"/>
      <c r="J508" s="579"/>
      <c r="K508" s="579"/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</row>
    <row r="509" spans="2:26">
      <c r="B509" s="579"/>
      <c r="C509" s="579"/>
      <c r="D509" s="579"/>
      <c r="E509" s="579"/>
      <c r="F509" s="579"/>
      <c r="G509" s="579"/>
      <c r="H509" s="579"/>
      <c r="I509" s="579"/>
      <c r="J509" s="579"/>
      <c r="K509" s="579"/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</row>
    <row r="510" spans="2:26">
      <c r="B510" s="579"/>
      <c r="C510" s="579"/>
      <c r="D510" s="579"/>
      <c r="E510" s="579"/>
      <c r="F510" s="579"/>
      <c r="G510" s="579"/>
      <c r="H510" s="579"/>
      <c r="I510" s="579"/>
      <c r="J510" s="579"/>
      <c r="K510" s="579"/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</row>
    <row r="511" spans="2:26">
      <c r="B511" s="579"/>
      <c r="C511" s="579"/>
      <c r="D511" s="579"/>
      <c r="E511" s="579"/>
      <c r="F511" s="579"/>
      <c r="G511" s="579"/>
      <c r="H511" s="579"/>
      <c r="I511" s="579"/>
      <c r="J511" s="579"/>
      <c r="K511" s="579"/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</row>
    <row r="512" spans="2:26">
      <c r="B512" s="579"/>
      <c r="C512" s="579"/>
      <c r="D512" s="579"/>
      <c r="E512" s="579"/>
      <c r="F512" s="579"/>
      <c r="G512" s="579"/>
      <c r="H512" s="579"/>
      <c r="I512" s="579"/>
      <c r="J512" s="579"/>
      <c r="K512" s="579"/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</row>
    <row r="513" spans="2:26">
      <c r="B513" s="579"/>
      <c r="C513" s="579"/>
      <c r="D513" s="579"/>
      <c r="E513" s="579"/>
      <c r="F513" s="579"/>
      <c r="G513" s="579"/>
      <c r="H513" s="579"/>
      <c r="I513" s="579"/>
      <c r="J513" s="579"/>
      <c r="K513" s="579"/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</row>
    <row r="514" spans="2:26">
      <c r="B514" s="579"/>
      <c r="C514" s="579"/>
      <c r="D514" s="579"/>
      <c r="E514" s="579"/>
      <c r="F514" s="579"/>
      <c r="G514" s="579"/>
      <c r="H514" s="579"/>
      <c r="I514" s="579"/>
      <c r="J514" s="579"/>
      <c r="K514" s="579"/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</row>
    <row r="515" spans="2:26">
      <c r="B515" s="579"/>
      <c r="C515" s="579"/>
      <c r="D515" s="579"/>
      <c r="E515" s="579"/>
      <c r="F515" s="579"/>
      <c r="G515" s="579"/>
      <c r="H515" s="579"/>
      <c r="I515" s="579"/>
      <c r="J515" s="579"/>
      <c r="K515" s="579"/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</row>
    <row r="516" spans="2:26">
      <c r="B516" s="579"/>
      <c r="C516" s="579"/>
      <c r="D516" s="579"/>
      <c r="E516" s="579"/>
      <c r="F516" s="579"/>
      <c r="G516" s="579"/>
      <c r="H516" s="579"/>
      <c r="I516" s="579"/>
      <c r="J516" s="579"/>
      <c r="K516" s="579"/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</row>
    <row r="517" spans="2:26">
      <c r="B517" s="579"/>
      <c r="C517" s="579"/>
      <c r="D517" s="579"/>
      <c r="E517" s="579"/>
      <c r="F517" s="579"/>
      <c r="G517" s="579"/>
      <c r="H517" s="579"/>
      <c r="I517" s="579"/>
      <c r="J517" s="579"/>
      <c r="K517" s="579"/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</row>
    <row r="518" spans="2:26">
      <c r="B518" s="579"/>
      <c r="C518" s="579"/>
      <c r="D518" s="579"/>
      <c r="E518" s="579"/>
      <c r="F518" s="579"/>
      <c r="G518" s="579"/>
      <c r="H518" s="579"/>
      <c r="I518" s="579"/>
      <c r="J518" s="579"/>
      <c r="K518" s="579"/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</row>
    <row r="519" spans="2:26">
      <c r="B519" s="579"/>
      <c r="C519" s="579"/>
      <c r="D519" s="579"/>
      <c r="E519" s="579"/>
      <c r="F519" s="579"/>
      <c r="G519" s="579"/>
      <c r="H519" s="579"/>
      <c r="I519" s="579"/>
      <c r="J519" s="579"/>
      <c r="K519" s="579"/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</row>
    <row r="520" spans="2:26">
      <c r="B520" s="579"/>
      <c r="C520" s="579"/>
      <c r="D520" s="579"/>
      <c r="E520" s="579"/>
      <c r="F520" s="579"/>
      <c r="G520" s="579"/>
      <c r="H520" s="579"/>
      <c r="I520" s="579"/>
      <c r="J520" s="579"/>
      <c r="K520" s="579"/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</row>
    <row r="521" spans="2:26">
      <c r="B521" s="579"/>
      <c r="C521" s="579"/>
      <c r="D521" s="579"/>
      <c r="E521" s="579"/>
      <c r="F521" s="579"/>
      <c r="G521" s="579"/>
      <c r="H521" s="579"/>
      <c r="I521" s="579"/>
      <c r="J521" s="579"/>
      <c r="K521" s="579"/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</row>
    <row r="522" spans="2:26">
      <c r="B522" s="579"/>
      <c r="C522" s="579"/>
      <c r="D522" s="579"/>
      <c r="E522" s="579"/>
      <c r="F522" s="579"/>
      <c r="G522" s="579"/>
      <c r="H522" s="579"/>
      <c r="I522" s="579"/>
      <c r="J522" s="579"/>
      <c r="K522" s="579"/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</row>
    <row r="523" spans="2:26">
      <c r="B523" s="579"/>
      <c r="C523" s="579"/>
      <c r="D523" s="579"/>
      <c r="E523" s="579"/>
      <c r="F523" s="579"/>
      <c r="G523" s="579"/>
      <c r="H523" s="579"/>
      <c r="I523" s="579"/>
      <c r="J523" s="579"/>
      <c r="K523" s="579"/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</row>
    <row r="524" spans="2:26">
      <c r="B524" s="579"/>
      <c r="C524" s="579"/>
      <c r="D524" s="579"/>
      <c r="E524" s="579"/>
      <c r="F524" s="579"/>
      <c r="G524" s="579"/>
      <c r="H524" s="579"/>
      <c r="I524" s="579"/>
      <c r="J524" s="579"/>
      <c r="K524" s="579"/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</row>
    <row r="525" spans="2:26">
      <c r="B525" s="579"/>
      <c r="C525" s="579"/>
      <c r="D525" s="579"/>
      <c r="E525" s="579"/>
      <c r="F525" s="579"/>
      <c r="G525" s="579"/>
      <c r="H525" s="579"/>
      <c r="I525" s="579"/>
      <c r="J525" s="579"/>
      <c r="K525" s="579"/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</row>
    <row r="526" spans="2:26">
      <c r="B526" s="579"/>
      <c r="C526" s="579"/>
      <c r="D526" s="579"/>
      <c r="E526" s="579"/>
      <c r="F526" s="579"/>
      <c r="G526" s="579"/>
      <c r="H526" s="579"/>
      <c r="I526" s="579"/>
      <c r="J526" s="579"/>
      <c r="K526" s="579"/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</row>
    <row r="527" spans="2:26">
      <c r="B527" s="579"/>
      <c r="C527" s="579"/>
      <c r="D527" s="579"/>
      <c r="E527" s="579"/>
      <c r="F527" s="579"/>
      <c r="G527" s="579"/>
      <c r="H527" s="579"/>
      <c r="I527" s="579"/>
      <c r="J527" s="579"/>
      <c r="K527" s="579"/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</row>
    <row r="528" spans="2:26">
      <c r="B528" s="579"/>
      <c r="C528" s="579"/>
      <c r="D528" s="579"/>
      <c r="E528" s="579"/>
      <c r="F528" s="579"/>
      <c r="G528" s="579"/>
      <c r="H528" s="579"/>
      <c r="I528" s="579"/>
      <c r="J528" s="579"/>
      <c r="K528" s="579"/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</row>
    <row r="529" spans="2:26">
      <c r="B529" s="579"/>
      <c r="C529" s="579"/>
      <c r="D529" s="579"/>
      <c r="E529" s="579"/>
      <c r="F529" s="579"/>
      <c r="G529" s="579"/>
      <c r="H529" s="579"/>
      <c r="I529" s="579"/>
      <c r="J529" s="579"/>
      <c r="K529" s="579"/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</row>
    <row r="530" spans="2:26">
      <c r="B530" s="579"/>
      <c r="C530" s="579"/>
      <c r="D530" s="579"/>
      <c r="E530" s="579"/>
      <c r="F530" s="579"/>
      <c r="G530" s="579"/>
      <c r="H530" s="579"/>
      <c r="I530" s="579"/>
      <c r="J530" s="579"/>
      <c r="K530" s="579"/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</row>
    <row r="531" spans="2:26">
      <c r="B531" s="579"/>
      <c r="C531" s="579"/>
      <c r="D531" s="579"/>
      <c r="E531" s="579"/>
      <c r="F531" s="579"/>
      <c r="G531" s="579"/>
      <c r="H531" s="579"/>
      <c r="I531" s="579"/>
      <c r="J531" s="579"/>
      <c r="K531" s="579"/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</row>
    <row r="532" spans="2:26">
      <c r="B532" s="579"/>
      <c r="C532" s="579"/>
      <c r="D532" s="579"/>
      <c r="E532" s="579"/>
      <c r="F532" s="579"/>
      <c r="G532" s="579"/>
      <c r="H532" s="579"/>
      <c r="I532" s="579"/>
      <c r="J532" s="579"/>
      <c r="K532" s="579"/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</row>
    <row r="533" spans="2:26">
      <c r="B533" s="579"/>
      <c r="C533" s="579"/>
      <c r="D533" s="579"/>
      <c r="E533" s="579"/>
      <c r="F533" s="579"/>
      <c r="G533" s="579"/>
      <c r="H533" s="579"/>
      <c r="I533" s="579"/>
      <c r="J533" s="579"/>
      <c r="K533" s="579"/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</row>
    <row r="534" spans="2:26">
      <c r="B534" s="579"/>
      <c r="C534" s="579"/>
      <c r="D534" s="579"/>
      <c r="E534" s="579"/>
      <c r="F534" s="579"/>
      <c r="G534" s="579"/>
      <c r="H534" s="579"/>
      <c r="I534" s="579"/>
      <c r="J534" s="579"/>
      <c r="K534" s="579"/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</row>
    <row r="535" spans="2:26">
      <c r="B535" s="579"/>
      <c r="C535" s="579"/>
      <c r="D535" s="579"/>
      <c r="E535" s="579"/>
      <c r="F535" s="579"/>
      <c r="G535" s="579"/>
      <c r="H535" s="579"/>
      <c r="I535" s="579"/>
      <c r="J535" s="579"/>
      <c r="K535" s="579"/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</row>
    <row r="536" spans="2:26">
      <c r="B536" s="579"/>
      <c r="C536" s="579"/>
      <c r="D536" s="579"/>
      <c r="E536" s="579"/>
      <c r="F536" s="579"/>
      <c r="G536" s="579"/>
      <c r="H536" s="579"/>
      <c r="I536" s="579"/>
      <c r="J536" s="579"/>
      <c r="K536" s="579"/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</row>
    <row r="537" spans="2:26">
      <c r="B537" s="579"/>
      <c r="C537" s="579"/>
      <c r="D537" s="579"/>
      <c r="E537" s="579"/>
      <c r="F537" s="579"/>
      <c r="G537" s="579"/>
      <c r="H537" s="579"/>
      <c r="I537" s="579"/>
      <c r="J537" s="579"/>
      <c r="K537" s="579"/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</row>
    <row r="538" spans="2:26">
      <c r="B538" s="579"/>
      <c r="C538" s="579"/>
      <c r="D538" s="579"/>
      <c r="E538" s="579"/>
      <c r="F538" s="579"/>
      <c r="G538" s="579"/>
      <c r="H538" s="579"/>
      <c r="I538" s="579"/>
      <c r="J538" s="579"/>
      <c r="K538" s="579"/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</row>
    <row r="539" spans="2:26">
      <c r="B539" s="579"/>
      <c r="C539" s="579"/>
      <c r="D539" s="579"/>
      <c r="E539" s="579"/>
      <c r="F539" s="579"/>
      <c r="G539" s="579"/>
      <c r="H539" s="579"/>
      <c r="I539" s="579"/>
      <c r="J539" s="579"/>
      <c r="K539" s="579"/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</row>
    <row r="540" spans="2:26">
      <c r="B540" s="579"/>
      <c r="C540" s="579"/>
      <c r="D540" s="579"/>
      <c r="E540" s="579"/>
      <c r="F540" s="579"/>
      <c r="G540" s="579"/>
      <c r="H540" s="579"/>
      <c r="I540" s="579"/>
      <c r="J540" s="579"/>
      <c r="K540" s="579"/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</row>
    <row r="541" spans="2:26">
      <c r="B541" s="579"/>
      <c r="C541" s="579"/>
      <c r="D541" s="579"/>
      <c r="E541" s="579"/>
      <c r="F541" s="579"/>
      <c r="G541" s="579"/>
      <c r="H541" s="579"/>
      <c r="I541" s="579"/>
      <c r="J541" s="579"/>
      <c r="K541" s="579"/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</row>
    <row r="542" spans="2:26">
      <c r="B542" s="579"/>
      <c r="C542" s="579"/>
      <c r="D542" s="579"/>
      <c r="E542" s="579"/>
      <c r="F542" s="579"/>
      <c r="G542" s="579"/>
      <c r="H542" s="579"/>
      <c r="I542" s="579"/>
      <c r="J542" s="579"/>
      <c r="K542" s="579"/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</row>
    <row r="543" spans="2:26">
      <c r="B543" s="579"/>
      <c r="C543" s="579"/>
      <c r="D543" s="579"/>
      <c r="E543" s="579"/>
      <c r="F543" s="579"/>
      <c r="G543" s="579"/>
      <c r="H543" s="579"/>
      <c r="I543" s="579"/>
      <c r="J543" s="579"/>
      <c r="K543" s="579"/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</row>
    <row r="544" spans="2:26">
      <c r="B544" s="579"/>
      <c r="C544" s="579"/>
      <c r="D544" s="579"/>
      <c r="E544" s="579"/>
      <c r="F544" s="579"/>
      <c r="G544" s="579"/>
      <c r="H544" s="579"/>
      <c r="I544" s="579"/>
      <c r="J544" s="579"/>
      <c r="K544" s="579"/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</row>
    <row r="545" spans="2:26">
      <c r="B545" s="579"/>
      <c r="C545" s="579"/>
      <c r="D545" s="579"/>
      <c r="E545" s="579"/>
      <c r="F545" s="579"/>
      <c r="G545" s="579"/>
      <c r="H545" s="579"/>
      <c r="I545" s="579"/>
      <c r="J545" s="579"/>
      <c r="K545" s="579"/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</row>
    <row r="546" spans="2:26">
      <c r="B546" s="579"/>
      <c r="C546" s="579"/>
      <c r="D546" s="579"/>
      <c r="E546" s="579"/>
      <c r="F546" s="579"/>
      <c r="G546" s="579"/>
      <c r="H546" s="579"/>
      <c r="I546" s="579"/>
      <c r="J546" s="579"/>
      <c r="K546" s="579"/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</row>
    <row r="547" spans="2:26">
      <c r="B547" s="579"/>
      <c r="C547" s="579"/>
      <c r="D547" s="579"/>
      <c r="E547" s="579"/>
      <c r="F547" s="579"/>
      <c r="G547" s="579"/>
      <c r="H547" s="579"/>
      <c r="I547" s="579"/>
      <c r="J547" s="579"/>
      <c r="K547" s="579"/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</row>
    <row r="548" spans="2:26">
      <c r="B548" s="579"/>
      <c r="C548" s="579"/>
      <c r="D548" s="579"/>
      <c r="E548" s="579"/>
      <c r="F548" s="579"/>
      <c r="G548" s="579"/>
      <c r="H548" s="579"/>
      <c r="I548" s="579"/>
      <c r="J548" s="579"/>
      <c r="K548" s="579"/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</row>
    <row r="549" spans="2:26">
      <c r="B549" s="579"/>
      <c r="C549" s="579"/>
      <c r="D549" s="579"/>
      <c r="E549" s="579"/>
      <c r="F549" s="579"/>
      <c r="G549" s="579"/>
      <c r="H549" s="579"/>
      <c r="I549" s="579"/>
      <c r="J549" s="579"/>
      <c r="K549" s="579"/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</row>
    <row r="550" spans="2:26">
      <c r="B550" s="579"/>
      <c r="C550" s="579"/>
      <c r="D550" s="579"/>
      <c r="E550" s="579"/>
      <c r="F550" s="579"/>
      <c r="G550" s="579"/>
      <c r="H550" s="579"/>
      <c r="I550" s="579"/>
      <c r="J550" s="579"/>
      <c r="K550" s="579"/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</row>
    <row r="551" spans="2:26">
      <c r="B551" s="579"/>
      <c r="C551" s="579"/>
      <c r="D551" s="579"/>
      <c r="E551" s="579"/>
      <c r="F551" s="579"/>
      <c r="G551" s="579"/>
      <c r="H551" s="579"/>
      <c r="I551" s="579"/>
      <c r="J551" s="579"/>
      <c r="K551" s="579"/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</row>
    <row r="552" spans="2:26">
      <c r="B552" s="579"/>
      <c r="C552" s="579"/>
      <c r="D552" s="579"/>
      <c r="E552" s="579"/>
      <c r="F552" s="579"/>
      <c r="G552" s="579"/>
      <c r="H552" s="579"/>
      <c r="I552" s="579"/>
      <c r="J552" s="579"/>
      <c r="K552" s="579"/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</row>
    <row r="553" spans="2:26">
      <c r="B553" s="579"/>
      <c r="C553" s="579"/>
      <c r="D553" s="579"/>
      <c r="E553" s="579"/>
      <c r="F553" s="579"/>
      <c r="G553" s="579"/>
      <c r="H553" s="579"/>
      <c r="I553" s="579"/>
      <c r="J553" s="579"/>
      <c r="K553" s="579"/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</row>
    <row r="554" spans="2:26">
      <c r="B554" s="579"/>
      <c r="C554" s="579"/>
      <c r="D554" s="579"/>
      <c r="E554" s="579"/>
      <c r="F554" s="579"/>
      <c r="G554" s="579"/>
      <c r="H554" s="579"/>
      <c r="I554" s="579"/>
      <c r="J554" s="579"/>
      <c r="K554" s="579"/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</row>
    <row r="555" spans="2:26">
      <c r="B555" s="579"/>
      <c r="C555" s="579"/>
      <c r="D555" s="579"/>
      <c r="E555" s="579"/>
      <c r="F555" s="579"/>
      <c r="G555" s="579"/>
      <c r="H555" s="579"/>
      <c r="I555" s="579"/>
      <c r="J555" s="579"/>
      <c r="K555" s="579"/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</row>
    <row r="556" spans="2:26">
      <c r="B556" s="579"/>
      <c r="C556" s="579"/>
      <c r="D556" s="579"/>
      <c r="E556" s="579"/>
      <c r="F556" s="579"/>
      <c r="G556" s="579"/>
      <c r="H556" s="579"/>
      <c r="I556" s="579"/>
      <c r="J556" s="579"/>
      <c r="K556" s="579"/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</row>
    <row r="557" spans="2:26">
      <c r="B557" s="579"/>
      <c r="C557" s="579"/>
      <c r="D557" s="579"/>
      <c r="E557" s="579"/>
      <c r="F557" s="579"/>
      <c r="G557" s="579"/>
      <c r="H557" s="579"/>
      <c r="I557" s="579"/>
      <c r="J557" s="579"/>
      <c r="K557" s="579"/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</row>
    <row r="558" spans="2:26">
      <c r="B558" s="579"/>
      <c r="C558" s="579"/>
      <c r="D558" s="579"/>
      <c r="E558" s="579"/>
      <c r="F558" s="579"/>
      <c r="G558" s="579"/>
      <c r="H558" s="579"/>
      <c r="I558" s="579"/>
      <c r="J558" s="579"/>
      <c r="K558" s="579"/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</row>
    <row r="559" spans="2:26">
      <c r="B559" s="579"/>
      <c r="C559" s="579"/>
      <c r="D559" s="579"/>
      <c r="E559" s="579"/>
      <c r="F559" s="579"/>
      <c r="G559" s="579"/>
      <c r="H559" s="579"/>
      <c r="I559" s="579"/>
      <c r="J559" s="579"/>
      <c r="K559" s="579"/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</row>
    <row r="560" spans="2:26">
      <c r="B560" s="579"/>
      <c r="C560" s="579"/>
      <c r="D560" s="579"/>
      <c r="E560" s="579"/>
      <c r="F560" s="579"/>
      <c r="G560" s="579"/>
      <c r="H560" s="579"/>
      <c r="I560" s="579"/>
      <c r="J560" s="579"/>
      <c r="K560" s="579"/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</row>
    <row r="561" spans="2:26">
      <c r="B561" s="579"/>
      <c r="C561" s="579"/>
      <c r="D561" s="579"/>
      <c r="E561" s="579"/>
      <c r="F561" s="579"/>
      <c r="G561" s="579"/>
      <c r="H561" s="579"/>
      <c r="I561" s="579"/>
      <c r="J561" s="579"/>
      <c r="K561" s="579"/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</row>
    <row r="562" spans="2:26">
      <c r="B562" s="579"/>
      <c r="C562" s="579"/>
      <c r="D562" s="579"/>
      <c r="E562" s="579"/>
      <c r="F562" s="579"/>
      <c r="G562" s="579"/>
      <c r="H562" s="579"/>
      <c r="I562" s="579"/>
      <c r="J562" s="579"/>
      <c r="K562" s="579"/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</row>
    <row r="563" spans="2:26">
      <c r="B563" s="579"/>
      <c r="C563" s="579"/>
      <c r="D563" s="579"/>
      <c r="E563" s="579"/>
      <c r="F563" s="579"/>
      <c r="G563" s="579"/>
      <c r="H563" s="579"/>
      <c r="I563" s="579"/>
      <c r="J563" s="579"/>
      <c r="K563" s="579"/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</row>
    <row r="564" spans="2:26">
      <c r="B564" s="579"/>
      <c r="C564" s="579"/>
      <c r="D564" s="579"/>
      <c r="E564" s="579"/>
      <c r="F564" s="579"/>
      <c r="G564" s="579"/>
      <c r="H564" s="579"/>
      <c r="I564" s="579"/>
      <c r="J564" s="579"/>
      <c r="K564" s="579"/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</row>
    <row r="565" spans="2:26">
      <c r="B565" s="579"/>
      <c r="C565" s="579"/>
      <c r="D565" s="579"/>
      <c r="E565" s="579"/>
      <c r="F565" s="579"/>
      <c r="G565" s="579"/>
      <c r="H565" s="579"/>
      <c r="I565" s="579"/>
      <c r="J565" s="579"/>
      <c r="K565" s="579"/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</row>
    <row r="566" spans="2:26">
      <c r="B566" s="579"/>
      <c r="C566" s="579"/>
      <c r="D566" s="579"/>
      <c r="E566" s="579"/>
      <c r="F566" s="579"/>
      <c r="G566" s="579"/>
      <c r="H566" s="579"/>
      <c r="I566" s="579"/>
      <c r="J566" s="579"/>
      <c r="K566" s="579"/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</row>
    <row r="567" spans="2:26">
      <c r="B567" s="579"/>
      <c r="C567" s="579"/>
      <c r="D567" s="579"/>
      <c r="E567" s="579"/>
      <c r="F567" s="579"/>
      <c r="G567" s="579"/>
      <c r="H567" s="579"/>
      <c r="I567" s="579"/>
      <c r="J567" s="579"/>
      <c r="K567" s="579"/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</row>
    <row r="568" spans="2:26">
      <c r="B568" s="579"/>
      <c r="C568" s="579"/>
      <c r="D568" s="579"/>
      <c r="E568" s="579"/>
      <c r="F568" s="579"/>
      <c r="G568" s="579"/>
      <c r="H568" s="579"/>
      <c r="I568" s="579"/>
      <c r="J568" s="579"/>
      <c r="K568" s="579"/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</row>
    <row r="569" spans="2:26">
      <c r="B569" s="579"/>
      <c r="C569" s="579"/>
      <c r="D569" s="579"/>
      <c r="E569" s="579"/>
      <c r="F569" s="579"/>
      <c r="G569" s="579"/>
      <c r="H569" s="579"/>
      <c r="I569" s="579"/>
      <c r="J569" s="579"/>
      <c r="K569" s="579"/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</row>
    <row r="570" spans="2:26">
      <c r="B570" s="579"/>
      <c r="C570" s="579"/>
      <c r="D570" s="579"/>
      <c r="E570" s="579"/>
      <c r="F570" s="579"/>
      <c r="G570" s="579"/>
      <c r="H570" s="579"/>
      <c r="I570" s="579"/>
      <c r="J570" s="579"/>
      <c r="K570" s="579"/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</row>
    <row r="571" spans="2:26">
      <c r="B571" s="579"/>
      <c r="C571" s="579"/>
      <c r="D571" s="579"/>
      <c r="E571" s="579"/>
      <c r="F571" s="579"/>
      <c r="G571" s="579"/>
      <c r="H571" s="579"/>
      <c r="I571" s="579"/>
      <c r="J571" s="579"/>
      <c r="K571" s="579"/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</row>
    <row r="572" spans="2:26">
      <c r="B572" s="579"/>
      <c r="C572" s="579"/>
      <c r="D572" s="579"/>
      <c r="E572" s="579"/>
      <c r="F572" s="579"/>
      <c r="G572" s="579"/>
      <c r="H572" s="579"/>
      <c r="I572" s="579"/>
      <c r="J572" s="579"/>
      <c r="K572" s="579"/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</row>
    <row r="573" spans="2:26">
      <c r="B573" s="579"/>
      <c r="C573" s="579"/>
      <c r="D573" s="579"/>
      <c r="E573" s="579"/>
      <c r="F573" s="579"/>
      <c r="G573" s="579"/>
      <c r="H573" s="579"/>
      <c r="I573" s="579"/>
      <c r="J573" s="579"/>
      <c r="K573" s="579"/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</row>
    <row r="574" spans="2:26">
      <c r="B574" s="579"/>
      <c r="C574" s="579"/>
      <c r="D574" s="579"/>
      <c r="E574" s="579"/>
      <c r="F574" s="579"/>
      <c r="G574" s="579"/>
      <c r="H574" s="579"/>
      <c r="I574" s="579"/>
      <c r="J574" s="579"/>
      <c r="K574" s="579"/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</row>
    <row r="575" spans="2:26">
      <c r="B575" s="579"/>
      <c r="C575" s="579"/>
      <c r="D575" s="579"/>
      <c r="E575" s="579"/>
      <c r="F575" s="579"/>
      <c r="G575" s="579"/>
      <c r="H575" s="579"/>
      <c r="I575" s="579"/>
      <c r="J575" s="579"/>
      <c r="K575" s="579"/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</row>
    <row r="576" spans="2:26">
      <c r="B576" s="579"/>
      <c r="C576" s="579"/>
      <c r="D576" s="579"/>
      <c r="E576" s="579"/>
      <c r="F576" s="579"/>
      <c r="G576" s="579"/>
      <c r="H576" s="579"/>
      <c r="I576" s="579"/>
      <c r="J576" s="579"/>
      <c r="K576" s="579"/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</row>
    <row r="577" spans="2:26">
      <c r="B577" s="579"/>
      <c r="C577" s="579"/>
      <c r="D577" s="579"/>
      <c r="E577" s="579"/>
      <c r="F577" s="579"/>
      <c r="G577" s="579"/>
      <c r="H577" s="579"/>
      <c r="I577" s="579"/>
      <c r="J577" s="579"/>
      <c r="K577" s="579"/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</row>
    <row r="578" spans="2:26"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</row>
    <row r="579" spans="2:26">
      <c r="B579" s="579"/>
      <c r="C579" s="579"/>
      <c r="D579" s="579"/>
      <c r="E579" s="579"/>
      <c r="F579" s="579"/>
      <c r="G579" s="579"/>
      <c r="H579" s="579"/>
      <c r="I579" s="579"/>
      <c r="J579" s="579"/>
      <c r="K579" s="579"/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</row>
    <row r="580" spans="2:26">
      <c r="B580" s="579"/>
      <c r="C580" s="579"/>
      <c r="D580" s="579"/>
      <c r="E580" s="579"/>
      <c r="F580" s="579"/>
      <c r="G580" s="579"/>
      <c r="H580" s="579"/>
      <c r="I580" s="579"/>
      <c r="J580" s="579"/>
      <c r="K580" s="579"/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</row>
    <row r="581" spans="2:26">
      <c r="B581" s="579"/>
      <c r="C581" s="579"/>
      <c r="D581" s="579"/>
      <c r="E581" s="579"/>
      <c r="F581" s="579"/>
      <c r="G581" s="579"/>
      <c r="H581" s="579"/>
      <c r="I581" s="579"/>
      <c r="J581" s="579"/>
      <c r="K581" s="579"/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</row>
    <row r="582" spans="2:26">
      <c r="B582" s="579"/>
      <c r="C582" s="579"/>
      <c r="D582" s="579"/>
      <c r="E582" s="579"/>
      <c r="F582" s="579"/>
      <c r="G582" s="579"/>
      <c r="H582" s="579"/>
      <c r="I582" s="579"/>
      <c r="J582" s="579"/>
      <c r="K582" s="579"/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</row>
    <row r="583" spans="2:26">
      <c r="B583" s="579"/>
      <c r="C583" s="579"/>
      <c r="D583" s="579"/>
      <c r="E583" s="579"/>
      <c r="F583" s="579"/>
      <c r="G583" s="579"/>
      <c r="H583" s="579"/>
      <c r="I583" s="579"/>
      <c r="J583" s="579"/>
      <c r="K583" s="579"/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</row>
    <row r="584" spans="2:26">
      <c r="B584" s="579"/>
      <c r="C584" s="579"/>
      <c r="D584" s="579"/>
      <c r="E584" s="579"/>
      <c r="F584" s="579"/>
      <c r="G584" s="579"/>
      <c r="H584" s="579"/>
      <c r="I584" s="579"/>
      <c r="J584" s="579"/>
      <c r="K584" s="579"/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</row>
    <row r="585" spans="2:26">
      <c r="B585" s="579"/>
      <c r="C585" s="579"/>
      <c r="D585" s="579"/>
      <c r="E585" s="579"/>
      <c r="F585" s="579"/>
      <c r="G585" s="579"/>
      <c r="H585" s="579"/>
      <c r="I585" s="579"/>
      <c r="J585" s="579"/>
      <c r="K585" s="579"/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</row>
    <row r="586" spans="2:26">
      <c r="B586" s="579"/>
      <c r="C586" s="579"/>
      <c r="D586" s="579"/>
      <c r="E586" s="579"/>
      <c r="F586" s="579"/>
      <c r="G586" s="579"/>
      <c r="H586" s="579"/>
      <c r="I586" s="579"/>
      <c r="J586" s="579"/>
      <c r="K586" s="579"/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</row>
    <row r="587" spans="2:26">
      <c r="B587" s="579"/>
      <c r="C587" s="579"/>
      <c r="D587" s="579"/>
      <c r="E587" s="579"/>
      <c r="F587" s="579"/>
      <c r="G587" s="579"/>
      <c r="H587" s="579"/>
      <c r="I587" s="579"/>
      <c r="J587" s="579"/>
      <c r="K587" s="579"/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</row>
    <row r="588" spans="2:26">
      <c r="B588" s="579"/>
      <c r="C588" s="579"/>
      <c r="D588" s="579"/>
      <c r="E588" s="579"/>
      <c r="F588" s="579"/>
      <c r="G588" s="579"/>
      <c r="H588" s="579"/>
      <c r="I588" s="579"/>
      <c r="J588" s="579"/>
      <c r="K588" s="579"/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</row>
    <row r="589" spans="2:26">
      <c r="B589" s="579"/>
      <c r="C589" s="579"/>
      <c r="D589" s="579"/>
      <c r="E589" s="579"/>
      <c r="F589" s="579"/>
      <c r="G589" s="579"/>
      <c r="H589" s="579"/>
      <c r="I589" s="579"/>
      <c r="J589" s="579"/>
      <c r="K589" s="579"/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</row>
    <row r="590" spans="2:26">
      <c r="B590" s="579"/>
      <c r="C590" s="579"/>
      <c r="D590" s="579"/>
      <c r="E590" s="579"/>
      <c r="F590" s="579"/>
      <c r="G590" s="579"/>
      <c r="H590" s="579"/>
      <c r="I590" s="579"/>
      <c r="J590" s="579"/>
      <c r="K590" s="579"/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</row>
    <row r="591" spans="2:26">
      <c r="B591" s="579"/>
      <c r="C591" s="579"/>
      <c r="D591" s="579"/>
      <c r="E591" s="579"/>
      <c r="F591" s="579"/>
      <c r="G591" s="579"/>
      <c r="H591" s="579"/>
      <c r="I591" s="579"/>
      <c r="J591" s="579"/>
      <c r="K591" s="579"/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</row>
    <row r="592" spans="2:26">
      <c r="B592" s="579"/>
      <c r="C592" s="579"/>
      <c r="D592" s="579"/>
      <c r="E592" s="579"/>
      <c r="F592" s="579"/>
      <c r="G592" s="579"/>
      <c r="H592" s="579"/>
      <c r="I592" s="579"/>
      <c r="J592" s="579"/>
      <c r="K592" s="579"/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</row>
    <row r="593" spans="2:26">
      <c r="B593" s="579"/>
      <c r="C593" s="579"/>
      <c r="D593" s="579"/>
      <c r="E593" s="579"/>
      <c r="F593" s="579"/>
      <c r="G593" s="579"/>
      <c r="H593" s="579"/>
      <c r="I593" s="579"/>
      <c r="J593" s="579"/>
      <c r="K593" s="579"/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</row>
    <row r="594" spans="2:26">
      <c r="B594" s="579"/>
      <c r="C594" s="579"/>
      <c r="D594" s="579"/>
      <c r="E594" s="579"/>
      <c r="F594" s="579"/>
      <c r="G594" s="579"/>
      <c r="H594" s="579"/>
      <c r="I594" s="579"/>
      <c r="J594" s="579"/>
      <c r="K594" s="579"/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</row>
    <row r="595" spans="2:26">
      <c r="B595" s="579"/>
      <c r="C595" s="579"/>
      <c r="D595" s="579"/>
      <c r="E595" s="579"/>
      <c r="F595" s="579"/>
      <c r="G595" s="579"/>
      <c r="H595" s="579"/>
      <c r="I595" s="579"/>
      <c r="J595" s="579"/>
      <c r="K595" s="579"/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</row>
    <row r="596" spans="2:26">
      <c r="B596" s="579"/>
      <c r="C596" s="579"/>
      <c r="D596" s="579"/>
      <c r="E596" s="579"/>
      <c r="F596" s="579"/>
      <c r="G596" s="579"/>
      <c r="H596" s="579"/>
      <c r="I596" s="579"/>
      <c r="J596" s="579"/>
      <c r="K596" s="579"/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</row>
    <row r="597" spans="2:26">
      <c r="B597" s="579"/>
      <c r="C597" s="579"/>
      <c r="D597" s="579"/>
      <c r="E597" s="579"/>
      <c r="F597" s="579"/>
      <c r="G597" s="579"/>
      <c r="H597" s="579"/>
      <c r="I597" s="579"/>
      <c r="J597" s="579"/>
      <c r="K597" s="579"/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</row>
    <row r="598" spans="2:26">
      <c r="B598" s="579"/>
      <c r="C598" s="579"/>
      <c r="D598" s="579"/>
      <c r="E598" s="579"/>
      <c r="F598" s="579"/>
      <c r="G598" s="579"/>
      <c r="H598" s="579"/>
      <c r="I598" s="579"/>
      <c r="J598" s="579"/>
      <c r="K598" s="579"/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</row>
    <row r="599" spans="2:26">
      <c r="B599" s="579"/>
      <c r="C599" s="579"/>
      <c r="D599" s="579"/>
      <c r="E599" s="579"/>
      <c r="F599" s="579"/>
      <c r="G599" s="579"/>
      <c r="H599" s="579"/>
      <c r="I599" s="579"/>
      <c r="J599" s="579"/>
      <c r="K599" s="579"/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</row>
    <row r="600" spans="2:26">
      <c r="B600" s="579"/>
      <c r="C600" s="579"/>
      <c r="D600" s="579"/>
      <c r="E600" s="579"/>
      <c r="F600" s="579"/>
      <c r="G600" s="579"/>
      <c r="H600" s="579"/>
      <c r="I600" s="579"/>
      <c r="J600" s="579"/>
      <c r="K600" s="579"/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</row>
    <row r="601" spans="2:26">
      <c r="B601" s="579"/>
      <c r="C601" s="579"/>
      <c r="D601" s="579"/>
      <c r="E601" s="579"/>
      <c r="F601" s="579"/>
      <c r="G601" s="579"/>
      <c r="H601" s="579"/>
      <c r="I601" s="579"/>
      <c r="J601" s="579"/>
      <c r="K601" s="579"/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</row>
    <row r="602" spans="2:26">
      <c r="B602" s="579"/>
      <c r="C602" s="579"/>
      <c r="D602" s="579"/>
      <c r="E602" s="579"/>
      <c r="F602" s="579"/>
      <c r="G602" s="579"/>
      <c r="H602" s="579"/>
      <c r="I602" s="579"/>
      <c r="J602" s="579"/>
      <c r="K602" s="579"/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</row>
    <row r="603" spans="2:26">
      <c r="B603" s="579"/>
      <c r="C603" s="579"/>
      <c r="D603" s="579"/>
      <c r="E603" s="579"/>
      <c r="F603" s="579"/>
      <c r="G603" s="579"/>
      <c r="H603" s="579"/>
      <c r="I603" s="579"/>
      <c r="J603" s="579"/>
      <c r="K603" s="579"/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</row>
    <row r="604" spans="2:26">
      <c r="B604" s="579"/>
      <c r="C604" s="579"/>
      <c r="D604" s="579"/>
      <c r="E604" s="579"/>
      <c r="F604" s="579"/>
      <c r="G604" s="579"/>
      <c r="H604" s="579"/>
      <c r="I604" s="579"/>
      <c r="J604" s="579"/>
      <c r="K604" s="579"/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</row>
    <row r="605" spans="2:26">
      <c r="B605" s="579"/>
      <c r="C605" s="579"/>
      <c r="D605" s="579"/>
      <c r="E605" s="579"/>
      <c r="F605" s="579"/>
      <c r="G605" s="579"/>
      <c r="H605" s="579"/>
      <c r="I605" s="579"/>
      <c r="J605" s="579"/>
      <c r="K605" s="579"/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</row>
    <row r="606" spans="2:26">
      <c r="B606" s="579"/>
      <c r="C606" s="579"/>
      <c r="D606" s="579"/>
      <c r="E606" s="579"/>
      <c r="F606" s="579"/>
      <c r="G606" s="579"/>
      <c r="H606" s="579"/>
      <c r="I606" s="579"/>
      <c r="J606" s="579"/>
      <c r="K606" s="579"/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</row>
    <row r="607" spans="2:26">
      <c r="B607" s="579"/>
      <c r="C607" s="579"/>
      <c r="D607" s="579"/>
      <c r="E607" s="579"/>
      <c r="F607" s="579"/>
      <c r="G607" s="579"/>
      <c r="H607" s="579"/>
      <c r="I607" s="579"/>
      <c r="J607" s="579"/>
      <c r="K607" s="579"/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</row>
    <row r="608" spans="2:26">
      <c r="B608" s="579"/>
      <c r="C608" s="579"/>
      <c r="D608" s="579"/>
      <c r="E608" s="579"/>
      <c r="F608" s="579"/>
      <c r="G608" s="579"/>
      <c r="H608" s="579"/>
      <c r="I608" s="579"/>
      <c r="J608" s="579"/>
      <c r="K608" s="579"/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</row>
    <row r="609" spans="2:26">
      <c r="B609" s="579"/>
      <c r="C609" s="579"/>
      <c r="D609" s="579"/>
      <c r="E609" s="579"/>
      <c r="F609" s="579"/>
      <c r="G609" s="579"/>
      <c r="H609" s="579"/>
      <c r="I609" s="579"/>
      <c r="J609" s="579"/>
      <c r="K609" s="579"/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</row>
    <row r="610" spans="2:26">
      <c r="B610" s="579"/>
      <c r="C610" s="579"/>
      <c r="D610" s="579"/>
      <c r="E610" s="579"/>
      <c r="F610" s="579"/>
      <c r="G610" s="579"/>
      <c r="H610" s="579"/>
      <c r="I610" s="579"/>
      <c r="J610" s="579"/>
      <c r="K610" s="579"/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</row>
    <row r="611" spans="2:26">
      <c r="B611" s="579"/>
      <c r="C611" s="579"/>
      <c r="D611" s="579"/>
      <c r="E611" s="579"/>
      <c r="F611" s="579"/>
      <c r="G611" s="579"/>
      <c r="H611" s="579"/>
      <c r="I611" s="579"/>
      <c r="J611" s="579"/>
      <c r="K611" s="579"/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</row>
    <row r="612" spans="2:26">
      <c r="B612" s="579"/>
      <c r="C612" s="579"/>
      <c r="D612" s="579"/>
      <c r="E612" s="579"/>
      <c r="F612" s="579"/>
      <c r="G612" s="579"/>
      <c r="H612" s="579"/>
      <c r="I612" s="579"/>
      <c r="J612" s="579"/>
      <c r="K612" s="579"/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</row>
    <row r="613" spans="2:26">
      <c r="B613" s="579"/>
      <c r="C613" s="579"/>
      <c r="D613" s="579"/>
      <c r="E613" s="579"/>
      <c r="F613" s="579"/>
      <c r="G613" s="579"/>
      <c r="H613" s="579"/>
      <c r="I613" s="579"/>
      <c r="J613" s="579"/>
      <c r="K613" s="579"/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</row>
    <row r="614" spans="2:26">
      <c r="B614" s="579"/>
      <c r="C614" s="579"/>
      <c r="D614" s="579"/>
      <c r="E614" s="579"/>
      <c r="F614" s="579"/>
      <c r="G614" s="579"/>
      <c r="H614" s="579"/>
      <c r="I614" s="579"/>
      <c r="J614" s="579"/>
      <c r="K614" s="579"/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</row>
    <row r="615" spans="2:26">
      <c r="B615" s="579"/>
      <c r="C615" s="579"/>
      <c r="D615" s="579"/>
      <c r="E615" s="579"/>
      <c r="F615" s="579"/>
      <c r="G615" s="579"/>
      <c r="H615" s="579"/>
      <c r="I615" s="579"/>
      <c r="J615" s="579"/>
      <c r="K615" s="579"/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</row>
    <row r="616" spans="2:26">
      <c r="B616" s="579"/>
      <c r="C616" s="579"/>
      <c r="D616" s="579"/>
      <c r="E616" s="579"/>
      <c r="F616" s="579"/>
      <c r="G616" s="579"/>
      <c r="H616" s="579"/>
      <c r="I616" s="579"/>
      <c r="J616" s="579"/>
      <c r="K616" s="579"/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</row>
    <row r="617" spans="2:26">
      <c r="B617" s="579"/>
      <c r="C617" s="579"/>
      <c r="D617" s="579"/>
      <c r="E617" s="579"/>
      <c r="F617" s="579"/>
      <c r="G617" s="579"/>
      <c r="H617" s="579"/>
      <c r="I617" s="579"/>
      <c r="J617" s="579"/>
      <c r="K617" s="579"/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</row>
    <row r="618" spans="2:26">
      <c r="B618" s="579"/>
      <c r="C618" s="579"/>
      <c r="D618" s="579"/>
      <c r="E618" s="579"/>
      <c r="F618" s="579"/>
      <c r="G618" s="579"/>
      <c r="H618" s="579"/>
      <c r="I618" s="579"/>
      <c r="J618" s="579"/>
      <c r="K618" s="579"/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</row>
    <row r="619" spans="2:26">
      <c r="B619" s="579"/>
      <c r="C619" s="579"/>
      <c r="D619" s="579"/>
      <c r="E619" s="579"/>
      <c r="F619" s="579"/>
      <c r="G619" s="579"/>
      <c r="H619" s="579"/>
      <c r="I619" s="579"/>
      <c r="J619" s="579"/>
      <c r="K619" s="579"/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</row>
    <row r="620" spans="2:26">
      <c r="B620" s="579"/>
      <c r="C620" s="579"/>
      <c r="D620" s="579"/>
      <c r="E620" s="579"/>
      <c r="F620" s="579"/>
      <c r="G620" s="579"/>
      <c r="H620" s="579"/>
      <c r="I620" s="579"/>
      <c r="J620" s="579"/>
      <c r="K620" s="579"/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</row>
    <row r="621" spans="2:26">
      <c r="B621" s="579"/>
      <c r="C621" s="579"/>
      <c r="D621" s="579"/>
      <c r="E621" s="579"/>
      <c r="F621" s="579"/>
      <c r="G621" s="579"/>
      <c r="H621" s="579"/>
      <c r="I621" s="579"/>
      <c r="J621" s="579"/>
      <c r="K621" s="579"/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</row>
    <row r="622" spans="2:26">
      <c r="B622" s="579"/>
      <c r="C622" s="579"/>
      <c r="D622" s="579"/>
      <c r="E622" s="579"/>
      <c r="F622" s="579"/>
      <c r="G622" s="579"/>
      <c r="H622" s="579"/>
      <c r="I622" s="579"/>
      <c r="J622" s="579"/>
      <c r="K622" s="579"/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</row>
    <row r="623" spans="2:26">
      <c r="B623" s="579"/>
      <c r="C623" s="579"/>
      <c r="D623" s="579"/>
      <c r="E623" s="579"/>
      <c r="F623" s="579"/>
      <c r="G623" s="579"/>
      <c r="H623" s="579"/>
      <c r="I623" s="579"/>
      <c r="J623" s="579"/>
      <c r="K623" s="579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</row>
    <row r="624" spans="2:26">
      <c r="B624" s="579"/>
      <c r="C624" s="579"/>
      <c r="D624" s="579"/>
      <c r="E624" s="579"/>
      <c r="F624" s="579"/>
      <c r="G624" s="579"/>
      <c r="H624" s="579"/>
      <c r="I624" s="579"/>
      <c r="J624" s="579"/>
      <c r="K624" s="579"/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</row>
    <row r="625" spans="2:26">
      <c r="B625" s="579"/>
      <c r="C625" s="579"/>
      <c r="D625" s="579"/>
      <c r="E625" s="579"/>
      <c r="F625" s="579"/>
      <c r="G625" s="579"/>
      <c r="H625" s="579"/>
      <c r="I625" s="579"/>
      <c r="J625" s="579"/>
      <c r="K625" s="579"/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</row>
    <row r="626" spans="2:26">
      <c r="B626" s="579"/>
      <c r="C626" s="579"/>
      <c r="D626" s="579"/>
      <c r="E626" s="579"/>
      <c r="F626" s="579"/>
      <c r="G626" s="579"/>
      <c r="H626" s="579"/>
      <c r="I626" s="579"/>
      <c r="J626" s="579"/>
      <c r="K626" s="579"/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</row>
    <row r="627" spans="2:26">
      <c r="B627" s="579"/>
      <c r="C627" s="579"/>
      <c r="D627" s="579"/>
      <c r="E627" s="579"/>
      <c r="F627" s="579"/>
      <c r="G627" s="579"/>
      <c r="H627" s="579"/>
      <c r="I627" s="579"/>
      <c r="J627" s="579"/>
      <c r="K627" s="579"/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</row>
    <row r="628" spans="2:26">
      <c r="B628" s="579"/>
      <c r="C628" s="579"/>
      <c r="D628" s="579"/>
      <c r="E628" s="579"/>
      <c r="F628" s="579"/>
      <c r="G628" s="579"/>
      <c r="H628" s="579"/>
      <c r="I628" s="579"/>
      <c r="J628" s="579"/>
      <c r="K628" s="579"/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</row>
    <row r="629" spans="2:26">
      <c r="B629" s="579"/>
      <c r="C629" s="579"/>
      <c r="D629" s="579"/>
      <c r="E629" s="579"/>
      <c r="F629" s="579"/>
      <c r="G629" s="579"/>
      <c r="H629" s="579"/>
      <c r="I629" s="579"/>
      <c r="J629" s="579"/>
      <c r="K629" s="579"/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</row>
    <row r="630" spans="2:26">
      <c r="B630" s="579"/>
      <c r="C630" s="579"/>
      <c r="D630" s="579"/>
      <c r="E630" s="579"/>
      <c r="F630" s="579"/>
      <c r="G630" s="579"/>
      <c r="H630" s="579"/>
      <c r="I630" s="579"/>
      <c r="J630" s="579"/>
      <c r="K630" s="579"/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</row>
    <row r="631" spans="2:26">
      <c r="B631" s="579"/>
      <c r="C631" s="579"/>
      <c r="D631" s="579"/>
      <c r="E631" s="579"/>
      <c r="F631" s="579"/>
      <c r="G631" s="579"/>
      <c r="H631" s="579"/>
      <c r="I631" s="579"/>
      <c r="J631" s="579"/>
      <c r="K631" s="579"/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</row>
    <row r="632" spans="2:26">
      <c r="B632" s="579"/>
      <c r="C632" s="579"/>
      <c r="D632" s="579"/>
      <c r="E632" s="579"/>
      <c r="F632" s="579"/>
      <c r="G632" s="579"/>
      <c r="H632" s="579"/>
      <c r="I632" s="579"/>
      <c r="J632" s="579"/>
      <c r="K632" s="579"/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</row>
    <row r="633" spans="2:26">
      <c r="B633" s="579"/>
      <c r="C633" s="579"/>
      <c r="D633" s="579"/>
      <c r="E633" s="579"/>
      <c r="F633" s="579"/>
      <c r="G633" s="579"/>
      <c r="H633" s="579"/>
      <c r="I633" s="579"/>
      <c r="J633" s="579"/>
      <c r="K633" s="579"/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</row>
    <row r="634" spans="2:26">
      <c r="B634" s="579"/>
      <c r="C634" s="579"/>
      <c r="D634" s="579"/>
      <c r="E634" s="579"/>
      <c r="F634" s="579"/>
      <c r="G634" s="579"/>
      <c r="H634" s="579"/>
      <c r="I634" s="579"/>
      <c r="J634" s="579"/>
      <c r="K634" s="579"/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</row>
    <row r="635" spans="2:26">
      <c r="B635" s="579"/>
      <c r="C635" s="579"/>
      <c r="D635" s="579"/>
      <c r="E635" s="579"/>
      <c r="F635" s="579"/>
      <c r="G635" s="579"/>
      <c r="H635" s="579"/>
      <c r="I635" s="579"/>
      <c r="J635" s="579"/>
      <c r="K635" s="579"/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</row>
    <row r="636" spans="2:26">
      <c r="B636" s="579"/>
      <c r="C636" s="579"/>
      <c r="D636" s="579"/>
      <c r="E636" s="579"/>
      <c r="F636" s="579"/>
      <c r="G636" s="579"/>
      <c r="H636" s="579"/>
      <c r="I636" s="579"/>
      <c r="J636" s="579"/>
      <c r="K636" s="579"/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</row>
    <row r="637" spans="2:26">
      <c r="B637" s="579"/>
      <c r="C637" s="579"/>
      <c r="D637" s="579"/>
      <c r="E637" s="579"/>
      <c r="F637" s="579"/>
      <c r="G637" s="579"/>
      <c r="H637" s="579"/>
      <c r="I637" s="579"/>
      <c r="J637" s="579"/>
      <c r="K637" s="579"/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</row>
    <row r="638" spans="2:26">
      <c r="B638" s="579"/>
      <c r="C638" s="579"/>
      <c r="D638" s="579"/>
      <c r="E638" s="579"/>
      <c r="F638" s="579"/>
      <c r="G638" s="579"/>
      <c r="H638" s="579"/>
      <c r="I638" s="579"/>
      <c r="J638" s="579"/>
      <c r="K638" s="579"/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</row>
    <row r="639" spans="2:26">
      <c r="B639" s="579"/>
      <c r="C639" s="579"/>
      <c r="D639" s="579"/>
      <c r="E639" s="579"/>
      <c r="F639" s="579"/>
      <c r="G639" s="579"/>
      <c r="H639" s="579"/>
      <c r="I639" s="579"/>
      <c r="J639" s="579"/>
      <c r="K639" s="579"/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</row>
    <row r="640" spans="2:26">
      <c r="B640" s="579"/>
      <c r="C640" s="579"/>
      <c r="D640" s="579"/>
      <c r="E640" s="579"/>
      <c r="F640" s="579"/>
      <c r="G640" s="579"/>
      <c r="H640" s="579"/>
      <c r="I640" s="579"/>
      <c r="J640" s="579"/>
      <c r="K640" s="579"/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</row>
    <row r="641" spans="2:26">
      <c r="B641" s="579"/>
      <c r="C641" s="579"/>
      <c r="D641" s="579"/>
      <c r="E641" s="579"/>
      <c r="F641" s="579"/>
      <c r="G641" s="579"/>
      <c r="H641" s="579"/>
      <c r="I641" s="579"/>
      <c r="J641" s="579"/>
      <c r="K641" s="579"/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</row>
    <row r="642" spans="2:26">
      <c r="B642" s="579"/>
      <c r="C642" s="579"/>
      <c r="D642" s="579"/>
      <c r="E642" s="579"/>
      <c r="F642" s="579"/>
      <c r="G642" s="579"/>
      <c r="H642" s="579"/>
      <c r="I642" s="579"/>
      <c r="J642" s="579"/>
      <c r="K642" s="579"/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</row>
    <row r="643" spans="2:26">
      <c r="B643" s="579"/>
      <c r="C643" s="579"/>
      <c r="D643" s="579"/>
      <c r="E643" s="579"/>
      <c r="F643" s="579"/>
      <c r="G643" s="579"/>
      <c r="H643" s="579"/>
      <c r="I643" s="579"/>
      <c r="J643" s="579"/>
      <c r="K643" s="579"/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</row>
    <row r="644" spans="2:26">
      <c r="B644" s="579"/>
      <c r="C644" s="579"/>
      <c r="D644" s="579"/>
      <c r="E644" s="579"/>
      <c r="F644" s="579"/>
      <c r="G644" s="579"/>
      <c r="H644" s="579"/>
      <c r="I644" s="579"/>
      <c r="J644" s="579"/>
      <c r="K644" s="579"/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</row>
    <row r="645" spans="2:26">
      <c r="B645" s="579"/>
      <c r="C645" s="579"/>
      <c r="D645" s="579"/>
      <c r="E645" s="579"/>
      <c r="F645" s="579"/>
      <c r="G645" s="579"/>
      <c r="H645" s="579"/>
      <c r="I645" s="579"/>
      <c r="J645" s="579"/>
      <c r="K645" s="579"/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</row>
    <row r="646" spans="2:26">
      <c r="B646" s="579"/>
      <c r="C646" s="579"/>
      <c r="D646" s="579"/>
      <c r="E646" s="579"/>
      <c r="F646" s="579"/>
      <c r="G646" s="579"/>
      <c r="H646" s="579"/>
      <c r="I646" s="579"/>
      <c r="J646" s="579"/>
      <c r="K646" s="579"/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</row>
    <row r="647" spans="2:26">
      <c r="B647" s="579"/>
      <c r="C647" s="579"/>
      <c r="D647" s="579"/>
      <c r="E647" s="579"/>
      <c r="F647" s="579"/>
      <c r="G647" s="579"/>
      <c r="H647" s="579"/>
      <c r="I647" s="579"/>
      <c r="J647" s="579"/>
      <c r="K647" s="579"/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</row>
    <row r="648" spans="2:26">
      <c r="B648" s="579"/>
      <c r="C648" s="579"/>
      <c r="D648" s="579"/>
      <c r="E648" s="579"/>
      <c r="F648" s="579"/>
      <c r="G648" s="579"/>
      <c r="H648" s="579"/>
      <c r="I648" s="579"/>
      <c r="J648" s="579"/>
      <c r="K648" s="579"/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</row>
    <row r="649" spans="2:26">
      <c r="B649" s="579"/>
      <c r="C649" s="579"/>
      <c r="D649" s="579"/>
      <c r="E649" s="579"/>
      <c r="F649" s="579"/>
      <c r="G649" s="579"/>
      <c r="H649" s="579"/>
      <c r="I649" s="579"/>
      <c r="J649" s="579"/>
      <c r="K649" s="579"/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</row>
    <row r="650" spans="2:26">
      <c r="B650" s="579"/>
      <c r="C650" s="579"/>
      <c r="D650" s="579"/>
      <c r="E650" s="579"/>
      <c r="F650" s="579"/>
      <c r="G650" s="579"/>
      <c r="H650" s="579"/>
      <c r="I650" s="579"/>
      <c r="J650" s="579"/>
      <c r="K650" s="579"/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</row>
    <row r="651" spans="2:26">
      <c r="B651" s="579"/>
      <c r="C651" s="579"/>
      <c r="D651" s="579"/>
      <c r="E651" s="579"/>
      <c r="F651" s="579"/>
      <c r="G651" s="579"/>
      <c r="H651" s="579"/>
      <c r="I651" s="579"/>
      <c r="J651" s="579"/>
      <c r="K651" s="579"/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</row>
    <row r="652" spans="2:26">
      <c r="B652" s="579"/>
      <c r="C652" s="579"/>
      <c r="D652" s="579"/>
      <c r="E652" s="579"/>
      <c r="F652" s="579"/>
      <c r="G652" s="579"/>
      <c r="H652" s="579"/>
      <c r="I652" s="579"/>
      <c r="J652" s="579"/>
      <c r="K652" s="579"/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</row>
    <row r="653" spans="2:26">
      <c r="B653" s="579"/>
      <c r="C653" s="579"/>
      <c r="D653" s="579"/>
      <c r="E653" s="579"/>
      <c r="F653" s="579"/>
      <c r="G653" s="579"/>
      <c r="H653" s="579"/>
      <c r="I653" s="579"/>
      <c r="J653" s="579"/>
      <c r="K653" s="579"/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</row>
    <row r="654" spans="2:26">
      <c r="B654" s="579"/>
      <c r="C654" s="579"/>
      <c r="D654" s="579"/>
      <c r="E654" s="579"/>
      <c r="F654" s="579"/>
      <c r="G654" s="579"/>
      <c r="H654" s="579"/>
      <c r="I654" s="579"/>
      <c r="J654" s="579"/>
      <c r="K654" s="579"/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</row>
    <row r="655" spans="2:26">
      <c r="B655" s="579"/>
      <c r="C655" s="579"/>
      <c r="D655" s="579"/>
      <c r="E655" s="579"/>
      <c r="F655" s="579"/>
      <c r="G655" s="579"/>
      <c r="H655" s="579"/>
      <c r="I655" s="579"/>
      <c r="J655" s="579"/>
      <c r="K655" s="579"/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</row>
    <row r="656" spans="2:26">
      <c r="B656" s="579"/>
      <c r="C656" s="579"/>
      <c r="D656" s="579"/>
      <c r="E656" s="579"/>
      <c r="F656" s="579"/>
      <c r="G656" s="579"/>
      <c r="H656" s="579"/>
      <c r="I656" s="579"/>
      <c r="J656" s="579"/>
      <c r="K656" s="579"/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</row>
    <row r="657" spans="2:26">
      <c r="B657" s="579"/>
      <c r="C657" s="579"/>
      <c r="D657" s="579"/>
      <c r="E657" s="579"/>
      <c r="F657" s="579"/>
      <c r="G657" s="579"/>
      <c r="H657" s="579"/>
      <c r="I657" s="579"/>
      <c r="J657" s="579"/>
      <c r="K657" s="579"/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</row>
    <row r="658" spans="2:26">
      <c r="B658" s="579"/>
      <c r="C658" s="579"/>
      <c r="D658" s="579"/>
      <c r="E658" s="579"/>
      <c r="F658" s="579"/>
      <c r="G658" s="579"/>
      <c r="H658" s="579"/>
      <c r="I658" s="579"/>
      <c r="J658" s="579"/>
      <c r="K658" s="579"/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</row>
    <row r="659" spans="2:26">
      <c r="B659" s="579"/>
      <c r="C659" s="579"/>
      <c r="D659" s="579"/>
      <c r="E659" s="579"/>
      <c r="F659" s="579"/>
      <c r="G659" s="579"/>
      <c r="H659" s="579"/>
      <c r="I659" s="579"/>
      <c r="J659" s="579"/>
      <c r="K659" s="579"/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</row>
    <row r="660" spans="2:26">
      <c r="B660" s="579"/>
      <c r="C660" s="579"/>
      <c r="D660" s="579"/>
      <c r="E660" s="579"/>
      <c r="F660" s="579"/>
      <c r="G660" s="579"/>
      <c r="H660" s="579"/>
      <c r="I660" s="579"/>
      <c r="J660" s="579"/>
      <c r="K660" s="579"/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</row>
    <row r="661" spans="2:26">
      <c r="B661" s="579"/>
      <c r="C661" s="579"/>
      <c r="D661" s="579"/>
      <c r="E661" s="579"/>
      <c r="F661" s="579"/>
      <c r="G661" s="579"/>
      <c r="H661" s="579"/>
      <c r="I661" s="579"/>
      <c r="J661" s="579"/>
      <c r="K661" s="579"/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</row>
    <row r="662" spans="2:26">
      <c r="B662" s="579"/>
      <c r="C662" s="579"/>
      <c r="D662" s="579"/>
      <c r="E662" s="579"/>
      <c r="F662" s="579"/>
      <c r="G662" s="579"/>
      <c r="H662" s="579"/>
      <c r="I662" s="579"/>
      <c r="J662" s="579"/>
      <c r="K662" s="579"/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</row>
    <row r="663" spans="2:26">
      <c r="B663" s="579"/>
      <c r="C663" s="579"/>
      <c r="D663" s="579"/>
      <c r="E663" s="579"/>
      <c r="F663" s="579"/>
      <c r="G663" s="579"/>
      <c r="H663" s="579"/>
      <c r="I663" s="579"/>
      <c r="J663" s="579"/>
      <c r="K663" s="579"/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</row>
    <row r="664" spans="2:26">
      <c r="B664" s="579"/>
      <c r="C664" s="579"/>
      <c r="D664" s="579"/>
      <c r="E664" s="579"/>
      <c r="F664" s="579"/>
      <c r="G664" s="579"/>
      <c r="H664" s="579"/>
      <c r="I664" s="579"/>
      <c r="J664" s="579"/>
      <c r="K664" s="579"/>
      <c r="L664" s="579"/>
      <c r="M664" s="57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</row>
    <row r="665" spans="2:26">
      <c r="B665" s="579"/>
      <c r="C665" s="579"/>
      <c r="D665" s="579"/>
      <c r="E665" s="579"/>
      <c r="F665" s="579"/>
      <c r="G665" s="579"/>
      <c r="H665" s="579"/>
      <c r="I665" s="579"/>
      <c r="J665" s="579"/>
      <c r="K665" s="579"/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</row>
    <row r="666" spans="2:26">
      <c r="B666" s="579"/>
      <c r="C666" s="579"/>
      <c r="D666" s="579"/>
      <c r="E666" s="579"/>
      <c r="F666" s="579"/>
      <c r="G666" s="579"/>
      <c r="H666" s="579"/>
      <c r="I666" s="579"/>
      <c r="J666" s="579"/>
      <c r="K666" s="579"/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</row>
    <row r="667" spans="2:26">
      <c r="B667" s="579"/>
      <c r="C667" s="579"/>
      <c r="D667" s="579"/>
      <c r="E667" s="579"/>
      <c r="F667" s="579"/>
      <c r="G667" s="579"/>
      <c r="H667" s="579"/>
      <c r="I667" s="579"/>
      <c r="J667" s="579"/>
      <c r="K667" s="579"/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</row>
    <row r="668" spans="2:26">
      <c r="B668" s="579"/>
      <c r="C668" s="579"/>
      <c r="D668" s="579"/>
      <c r="E668" s="579"/>
      <c r="F668" s="579"/>
      <c r="G668" s="579"/>
      <c r="H668" s="579"/>
      <c r="I668" s="579"/>
      <c r="J668" s="579"/>
      <c r="K668" s="579"/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</row>
    <row r="669" spans="2:26">
      <c r="B669" s="579"/>
      <c r="C669" s="579"/>
      <c r="D669" s="579"/>
      <c r="E669" s="579"/>
      <c r="F669" s="579"/>
      <c r="G669" s="579"/>
      <c r="H669" s="579"/>
      <c r="I669" s="579"/>
      <c r="J669" s="579"/>
      <c r="K669" s="579"/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</row>
    <row r="670" spans="2:26">
      <c r="B670" s="579"/>
      <c r="C670" s="579"/>
      <c r="D670" s="579"/>
      <c r="E670" s="579"/>
      <c r="F670" s="579"/>
      <c r="G670" s="579"/>
      <c r="H670" s="579"/>
      <c r="I670" s="579"/>
      <c r="J670" s="579"/>
      <c r="K670" s="579"/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</row>
    <row r="671" spans="2:26">
      <c r="B671" s="579"/>
      <c r="C671" s="579"/>
      <c r="D671" s="579"/>
      <c r="E671" s="579"/>
      <c r="F671" s="579"/>
      <c r="G671" s="579"/>
      <c r="H671" s="579"/>
      <c r="I671" s="579"/>
      <c r="J671" s="579"/>
      <c r="K671" s="579"/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</row>
    <row r="672" spans="2:26">
      <c r="B672" s="579"/>
      <c r="C672" s="579"/>
      <c r="D672" s="579"/>
      <c r="E672" s="579"/>
      <c r="F672" s="579"/>
      <c r="G672" s="579"/>
      <c r="H672" s="579"/>
      <c r="I672" s="579"/>
      <c r="J672" s="579"/>
      <c r="K672" s="579"/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</row>
    <row r="673" spans="2:26">
      <c r="B673" s="579"/>
      <c r="C673" s="579"/>
      <c r="D673" s="579"/>
      <c r="E673" s="579"/>
      <c r="F673" s="579"/>
      <c r="G673" s="579"/>
      <c r="H673" s="579"/>
      <c r="I673" s="579"/>
      <c r="J673" s="579"/>
      <c r="K673" s="579"/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</row>
    <row r="674" spans="2:26">
      <c r="B674" s="579"/>
      <c r="C674" s="579"/>
      <c r="D674" s="579"/>
      <c r="E674" s="579"/>
      <c r="F674" s="579"/>
      <c r="G674" s="579"/>
      <c r="H674" s="579"/>
      <c r="I674" s="579"/>
      <c r="J674" s="579"/>
      <c r="K674" s="579"/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</row>
    <row r="675" spans="2:26">
      <c r="B675" s="579"/>
      <c r="C675" s="579"/>
      <c r="D675" s="579"/>
      <c r="E675" s="579"/>
      <c r="F675" s="579"/>
      <c r="G675" s="579"/>
      <c r="H675" s="579"/>
      <c r="I675" s="579"/>
      <c r="J675" s="579"/>
      <c r="K675" s="579"/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</row>
    <row r="676" spans="2:26">
      <c r="B676" s="579"/>
      <c r="C676" s="579"/>
      <c r="D676" s="579"/>
      <c r="E676" s="579"/>
      <c r="F676" s="579"/>
      <c r="G676" s="579"/>
      <c r="H676" s="579"/>
      <c r="I676" s="579"/>
      <c r="J676" s="579"/>
      <c r="K676" s="579"/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</row>
    <row r="677" spans="2:26">
      <c r="B677" s="579"/>
      <c r="C677" s="579"/>
      <c r="D677" s="579"/>
      <c r="E677" s="579"/>
      <c r="F677" s="579"/>
      <c r="G677" s="579"/>
      <c r="H677" s="579"/>
      <c r="I677" s="579"/>
      <c r="J677" s="579"/>
      <c r="K677" s="579"/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</row>
    <row r="678" spans="2:26">
      <c r="B678" s="579"/>
      <c r="C678" s="579"/>
      <c r="D678" s="579"/>
      <c r="E678" s="579"/>
      <c r="F678" s="579"/>
      <c r="G678" s="579"/>
      <c r="H678" s="579"/>
      <c r="I678" s="579"/>
      <c r="J678" s="579"/>
      <c r="K678" s="579"/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</row>
    <row r="679" spans="2:26">
      <c r="B679" s="579"/>
      <c r="C679" s="579"/>
      <c r="D679" s="579"/>
      <c r="E679" s="579"/>
      <c r="F679" s="579"/>
      <c r="G679" s="579"/>
      <c r="H679" s="579"/>
      <c r="I679" s="579"/>
      <c r="J679" s="579"/>
      <c r="K679" s="579"/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</row>
    <row r="680" spans="2:26">
      <c r="B680" s="579"/>
      <c r="C680" s="579"/>
      <c r="D680" s="579"/>
      <c r="E680" s="579"/>
      <c r="F680" s="579"/>
      <c r="G680" s="579"/>
      <c r="H680" s="579"/>
      <c r="I680" s="579"/>
      <c r="J680" s="579"/>
      <c r="K680" s="579"/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</row>
    <row r="681" spans="2:26">
      <c r="B681" s="579"/>
      <c r="C681" s="579"/>
      <c r="D681" s="579"/>
      <c r="E681" s="579"/>
      <c r="F681" s="579"/>
      <c r="G681" s="579"/>
      <c r="H681" s="579"/>
      <c r="I681" s="579"/>
      <c r="J681" s="579"/>
      <c r="K681" s="579"/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</row>
    <row r="682" spans="2:26">
      <c r="B682" s="579"/>
      <c r="C682" s="579"/>
      <c r="D682" s="579"/>
      <c r="E682" s="579"/>
      <c r="F682" s="579"/>
      <c r="G682" s="579"/>
      <c r="H682" s="579"/>
      <c r="I682" s="579"/>
      <c r="J682" s="579"/>
      <c r="K682" s="579"/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</row>
    <row r="683" spans="2:26">
      <c r="B683" s="579"/>
      <c r="C683" s="579"/>
      <c r="D683" s="579"/>
      <c r="E683" s="579"/>
      <c r="F683" s="579"/>
      <c r="G683" s="579"/>
      <c r="H683" s="579"/>
      <c r="I683" s="579"/>
      <c r="J683" s="579"/>
      <c r="K683" s="579"/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</row>
    <row r="684" spans="2:26">
      <c r="B684" s="579"/>
      <c r="C684" s="579"/>
      <c r="D684" s="579"/>
      <c r="E684" s="579"/>
      <c r="F684" s="579"/>
      <c r="G684" s="579"/>
      <c r="H684" s="579"/>
      <c r="I684" s="579"/>
      <c r="J684" s="579"/>
      <c r="K684" s="579"/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</row>
    <row r="685" spans="2:26">
      <c r="B685" s="579"/>
      <c r="C685" s="579"/>
      <c r="D685" s="579"/>
      <c r="E685" s="579"/>
      <c r="F685" s="579"/>
      <c r="G685" s="579"/>
      <c r="H685" s="579"/>
      <c r="I685" s="579"/>
      <c r="J685" s="579"/>
      <c r="K685" s="579"/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</row>
    <row r="686" spans="2:26">
      <c r="B686" s="579"/>
      <c r="C686" s="579"/>
      <c r="D686" s="579"/>
      <c r="E686" s="579"/>
      <c r="F686" s="579"/>
      <c r="G686" s="579"/>
      <c r="H686" s="579"/>
      <c r="I686" s="579"/>
      <c r="J686" s="579"/>
      <c r="K686" s="579"/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</row>
    <row r="687" spans="2:26">
      <c r="B687" s="579"/>
      <c r="C687" s="579"/>
      <c r="D687" s="579"/>
      <c r="E687" s="579"/>
      <c r="F687" s="579"/>
      <c r="G687" s="579"/>
      <c r="H687" s="579"/>
      <c r="I687" s="579"/>
      <c r="J687" s="579"/>
      <c r="K687" s="579"/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</row>
    <row r="688" spans="2:26">
      <c r="B688" s="579"/>
      <c r="C688" s="579"/>
      <c r="D688" s="579"/>
      <c r="E688" s="579"/>
      <c r="F688" s="579"/>
      <c r="G688" s="579"/>
      <c r="H688" s="579"/>
      <c r="I688" s="579"/>
      <c r="J688" s="579"/>
      <c r="K688" s="579"/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</row>
    <row r="689" spans="2:26">
      <c r="B689" s="579"/>
      <c r="C689" s="579"/>
      <c r="D689" s="579"/>
      <c r="E689" s="579"/>
      <c r="F689" s="579"/>
      <c r="G689" s="579"/>
      <c r="H689" s="579"/>
      <c r="I689" s="579"/>
      <c r="J689" s="579"/>
      <c r="K689" s="579"/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</row>
    <row r="690" spans="2:26">
      <c r="B690" s="579"/>
      <c r="C690" s="579"/>
      <c r="D690" s="579"/>
      <c r="E690" s="579"/>
      <c r="F690" s="579"/>
      <c r="G690" s="579"/>
      <c r="H690" s="579"/>
      <c r="I690" s="579"/>
      <c r="J690" s="579"/>
      <c r="K690" s="579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</row>
    <row r="691" spans="2:26">
      <c r="B691" s="579"/>
      <c r="C691" s="579"/>
      <c r="D691" s="579"/>
      <c r="E691" s="579"/>
      <c r="F691" s="579"/>
      <c r="G691" s="579"/>
      <c r="H691" s="579"/>
      <c r="I691" s="579"/>
      <c r="J691" s="579"/>
      <c r="K691" s="579"/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</row>
    <row r="692" spans="2:26">
      <c r="B692" s="579"/>
      <c r="C692" s="579"/>
      <c r="D692" s="579"/>
      <c r="E692" s="579"/>
      <c r="F692" s="579"/>
      <c r="G692" s="579"/>
      <c r="H692" s="579"/>
      <c r="I692" s="579"/>
      <c r="J692" s="579"/>
      <c r="K692" s="579"/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</row>
    <row r="693" spans="2:26">
      <c r="B693" s="579"/>
      <c r="C693" s="579"/>
      <c r="D693" s="579"/>
      <c r="E693" s="579"/>
      <c r="F693" s="579"/>
      <c r="G693" s="579"/>
      <c r="H693" s="579"/>
      <c r="I693" s="579"/>
      <c r="J693" s="579"/>
      <c r="K693" s="579"/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</row>
    <row r="694" spans="2:26">
      <c r="B694" s="579"/>
      <c r="C694" s="579"/>
      <c r="D694" s="579"/>
      <c r="E694" s="579"/>
      <c r="F694" s="579"/>
      <c r="G694" s="579"/>
      <c r="H694" s="579"/>
      <c r="I694" s="579"/>
      <c r="J694" s="579"/>
      <c r="K694" s="579"/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</row>
    <row r="695" spans="2:26">
      <c r="B695" s="579"/>
      <c r="C695" s="579"/>
      <c r="D695" s="579"/>
      <c r="E695" s="579"/>
      <c r="F695" s="579"/>
      <c r="G695" s="579"/>
      <c r="H695" s="579"/>
      <c r="I695" s="579"/>
      <c r="J695" s="579"/>
      <c r="K695" s="579"/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</row>
    <row r="696" spans="2:26">
      <c r="B696" s="579"/>
      <c r="C696" s="579"/>
      <c r="D696" s="579"/>
      <c r="E696" s="579"/>
      <c r="F696" s="579"/>
      <c r="G696" s="579"/>
      <c r="H696" s="579"/>
      <c r="I696" s="579"/>
      <c r="J696" s="579"/>
      <c r="K696" s="579"/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</row>
    <row r="697" spans="2:26">
      <c r="B697" s="579"/>
      <c r="C697" s="579"/>
      <c r="D697" s="579"/>
      <c r="E697" s="579"/>
      <c r="F697" s="579"/>
      <c r="G697" s="579"/>
      <c r="H697" s="579"/>
      <c r="I697" s="579"/>
      <c r="J697" s="579"/>
      <c r="K697" s="579"/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</row>
    <row r="698" spans="2:26">
      <c r="B698" s="579"/>
      <c r="C698" s="579"/>
      <c r="D698" s="579"/>
      <c r="E698" s="579"/>
      <c r="F698" s="579"/>
      <c r="G698" s="579"/>
      <c r="H698" s="579"/>
      <c r="I698" s="579"/>
      <c r="J698" s="579"/>
      <c r="K698" s="579"/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</row>
    <row r="699" spans="2:26">
      <c r="B699" s="579"/>
      <c r="C699" s="579"/>
      <c r="D699" s="579"/>
      <c r="E699" s="579"/>
      <c r="F699" s="579"/>
      <c r="G699" s="579"/>
      <c r="H699" s="579"/>
      <c r="I699" s="579"/>
      <c r="J699" s="579"/>
      <c r="K699" s="579"/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</row>
    <row r="700" spans="2:26">
      <c r="B700" s="579"/>
      <c r="C700" s="579"/>
      <c r="D700" s="579"/>
      <c r="E700" s="579"/>
      <c r="F700" s="579"/>
      <c r="G700" s="579"/>
      <c r="H700" s="579"/>
      <c r="I700" s="579"/>
      <c r="J700" s="579"/>
      <c r="K700" s="579"/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</row>
    <row r="701" spans="2:26">
      <c r="B701" s="579"/>
      <c r="C701" s="579"/>
      <c r="D701" s="579"/>
      <c r="E701" s="579"/>
      <c r="F701" s="579"/>
      <c r="G701" s="579"/>
      <c r="H701" s="579"/>
      <c r="I701" s="579"/>
      <c r="J701" s="579"/>
      <c r="K701" s="579"/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</row>
    <row r="702" spans="2:26">
      <c r="B702" s="579"/>
      <c r="C702" s="579"/>
      <c r="D702" s="579"/>
      <c r="E702" s="579"/>
      <c r="F702" s="579"/>
      <c r="G702" s="579"/>
      <c r="H702" s="579"/>
      <c r="I702" s="579"/>
      <c r="J702" s="579"/>
      <c r="K702" s="579"/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</row>
    <row r="703" spans="2:26">
      <c r="B703" s="579"/>
      <c r="C703" s="579"/>
      <c r="D703" s="579"/>
      <c r="E703" s="579"/>
      <c r="F703" s="579"/>
      <c r="G703" s="579"/>
      <c r="H703" s="579"/>
      <c r="I703" s="579"/>
      <c r="J703" s="579"/>
      <c r="K703" s="579"/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</row>
    <row r="704" spans="2:26">
      <c r="B704" s="579"/>
      <c r="C704" s="579"/>
      <c r="D704" s="579"/>
      <c r="E704" s="579"/>
      <c r="F704" s="579"/>
      <c r="G704" s="579"/>
      <c r="H704" s="579"/>
      <c r="I704" s="579"/>
      <c r="J704" s="579"/>
      <c r="K704" s="579"/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</row>
    <row r="705" spans="2:26">
      <c r="B705" s="579"/>
      <c r="C705" s="579"/>
      <c r="D705" s="579"/>
      <c r="E705" s="579"/>
      <c r="F705" s="579"/>
      <c r="G705" s="579"/>
      <c r="H705" s="579"/>
      <c r="I705" s="579"/>
      <c r="J705" s="579"/>
      <c r="K705" s="579"/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</row>
    <row r="706" spans="2:26">
      <c r="B706" s="579"/>
      <c r="C706" s="579"/>
      <c r="D706" s="579"/>
      <c r="E706" s="579"/>
      <c r="F706" s="579"/>
      <c r="G706" s="579"/>
      <c r="H706" s="579"/>
      <c r="I706" s="579"/>
      <c r="J706" s="579"/>
      <c r="K706" s="579"/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</row>
    <row r="707" spans="2:26">
      <c r="B707" s="579"/>
      <c r="C707" s="579"/>
      <c r="D707" s="579"/>
      <c r="E707" s="579"/>
      <c r="F707" s="579"/>
      <c r="G707" s="579"/>
      <c r="H707" s="579"/>
      <c r="I707" s="579"/>
      <c r="J707" s="579"/>
      <c r="K707" s="579"/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</row>
    <row r="708" spans="2:26">
      <c r="B708" s="579"/>
      <c r="C708" s="579"/>
      <c r="D708" s="579"/>
      <c r="E708" s="579"/>
      <c r="F708" s="579"/>
      <c r="G708" s="579"/>
      <c r="H708" s="579"/>
      <c r="I708" s="579"/>
      <c r="J708" s="579"/>
      <c r="K708" s="579"/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</row>
    <row r="709" spans="2:26">
      <c r="B709" s="579"/>
      <c r="C709" s="579"/>
      <c r="D709" s="579"/>
      <c r="E709" s="579"/>
      <c r="F709" s="579"/>
      <c r="G709" s="579"/>
      <c r="H709" s="579"/>
      <c r="I709" s="579"/>
      <c r="J709" s="579"/>
      <c r="K709" s="579"/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</row>
    <row r="710" spans="2:26">
      <c r="B710" s="579"/>
      <c r="C710" s="579"/>
      <c r="D710" s="579"/>
      <c r="E710" s="579"/>
      <c r="F710" s="579"/>
      <c r="G710" s="579"/>
      <c r="H710" s="579"/>
      <c r="I710" s="579"/>
      <c r="J710" s="579"/>
      <c r="K710" s="579"/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</row>
    <row r="711" spans="2:26">
      <c r="B711" s="579"/>
      <c r="C711" s="579"/>
      <c r="D711" s="579"/>
      <c r="E711" s="579"/>
      <c r="F711" s="579"/>
      <c r="G711" s="579"/>
      <c r="H711" s="579"/>
      <c r="I711" s="579"/>
      <c r="J711" s="579"/>
      <c r="K711" s="579"/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</row>
    <row r="712" spans="2:26">
      <c r="B712" s="579"/>
      <c r="C712" s="579"/>
      <c r="D712" s="579"/>
      <c r="E712" s="579"/>
      <c r="F712" s="579"/>
      <c r="G712" s="579"/>
      <c r="H712" s="579"/>
      <c r="I712" s="579"/>
      <c r="J712" s="579"/>
      <c r="K712" s="579"/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</row>
    <row r="713" spans="2:26">
      <c r="B713" s="579"/>
      <c r="C713" s="579"/>
      <c r="D713" s="579"/>
      <c r="E713" s="579"/>
      <c r="F713" s="579"/>
      <c r="G713" s="579"/>
      <c r="H713" s="579"/>
      <c r="I713" s="579"/>
      <c r="J713" s="579"/>
      <c r="K713" s="579"/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</row>
    <row r="714" spans="2:26">
      <c r="B714" s="579"/>
      <c r="C714" s="579"/>
      <c r="D714" s="579"/>
      <c r="E714" s="579"/>
      <c r="F714" s="579"/>
      <c r="G714" s="579"/>
      <c r="H714" s="579"/>
      <c r="I714" s="579"/>
      <c r="J714" s="579"/>
      <c r="K714" s="579"/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</row>
    <row r="715" spans="2:26">
      <c r="B715" s="579"/>
      <c r="C715" s="579"/>
      <c r="D715" s="579"/>
      <c r="E715" s="579"/>
      <c r="F715" s="579"/>
      <c r="G715" s="579"/>
      <c r="H715" s="579"/>
      <c r="I715" s="579"/>
      <c r="J715" s="579"/>
      <c r="K715" s="579"/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</row>
    <row r="716" spans="2:26">
      <c r="B716" s="579"/>
      <c r="C716" s="579"/>
      <c r="D716" s="579"/>
      <c r="E716" s="579"/>
      <c r="F716" s="579"/>
      <c r="G716" s="579"/>
      <c r="H716" s="579"/>
      <c r="I716" s="579"/>
      <c r="J716" s="579"/>
      <c r="K716" s="579"/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</row>
    <row r="717" spans="2:26">
      <c r="B717" s="579"/>
      <c r="C717" s="579"/>
      <c r="D717" s="579"/>
      <c r="E717" s="579"/>
      <c r="F717" s="579"/>
      <c r="G717" s="579"/>
      <c r="H717" s="579"/>
      <c r="I717" s="579"/>
      <c r="J717" s="579"/>
      <c r="K717" s="579"/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</row>
    <row r="718" spans="2:26">
      <c r="B718" s="579"/>
      <c r="C718" s="579"/>
      <c r="D718" s="579"/>
      <c r="E718" s="579"/>
      <c r="F718" s="579"/>
      <c r="G718" s="579"/>
      <c r="H718" s="579"/>
      <c r="I718" s="579"/>
      <c r="J718" s="579"/>
      <c r="K718" s="579"/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</row>
    <row r="719" spans="2:26">
      <c r="B719" s="579"/>
      <c r="C719" s="579"/>
      <c r="D719" s="579"/>
      <c r="E719" s="579"/>
      <c r="F719" s="579"/>
      <c r="G719" s="579"/>
      <c r="H719" s="579"/>
      <c r="I719" s="579"/>
      <c r="J719" s="579"/>
      <c r="K719" s="579"/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</row>
    <row r="720" spans="2:26">
      <c r="B720" s="579"/>
      <c r="C720" s="579"/>
      <c r="D720" s="579"/>
      <c r="E720" s="579"/>
      <c r="F720" s="579"/>
      <c r="G720" s="579"/>
      <c r="H720" s="579"/>
      <c r="I720" s="579"/>
      <c r="J720" s="579"/>
      <c r="K720" s="579"/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</row>
    <row r="721" spans="2:26">
      <c r="B721" s="579"/>
      <c r="C721" s="579"/>
      <c r="D721" s="579"/>
      <c r="E721" s="579"/>
      <c r="F721" s="579"/>
      <c r="G721" s="579"/>
      <c r="H721" s="579"/>
      <c r="I721" s="579"/>
      <c r="J721" s="579"/>
      <c r="K721" s="579"/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</row>
    <row r="722" spans="2:26">
      <c r="B722" s="579"/>
      <c r="C722" s="579"/>
      <c r="D722" s="579"/>
      <c r="E722" s="579"/>
      <c r="F722" s="579"/>
      <c r="G722" s="579"/>
      <c r="H722" s="579"/>
      <c r="I722" s="579"/>
      <c r="J722" s="579"/>
      <c r="K722" s="579"/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</row>
    <row r="723" spans="2:26">
      <c r="B723" s="579"/>
      <c r="C723" s="579"/>
      <c r="D723" s="579"/>
      <c r="E723" s="579"/>
      <c r="F723" s="579"/>
      <c r="G723" s="579"/>
      <c r="H723" s="579"/>
      <c r="I723" s="579"/>
      <c r="J723" s="579"/>
      <c r="K723" s="579"/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</row>
    <row r="724" spans="2:26">
      <c r="B724" s="579"/>
      <c r="C724" s="579"/>
      <c r="D724" s="579"/>
      <c r="E724" s="579"/>
      <c r="F724" s="579"/>
      <c r="G724" s="579"/>
      <c r="H724" s="579"/>
      <c r="I724" s="579"/>
      <c r="J724" s="579"/>
      <c r="K724" s="579"/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</row>
    <row r="725" spans="2:26">
      <c r="B725" s="579"/>
      <c r="C725" s="579"/>
      <c r="D725" s="579"/>
      <c r="E725" s="579"/>
      <c r="F725" s="579"/>
      <c r="G725" s="579"/>
      <c r="H725" s="579"/>
      <c r="I725" s="579"/>
      <c r="J725" s="579"/>
      <c r="K725" s="579"/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</row>
    <row r="726" spans="2:26">
      <c r="B726" s="579"/>
      <c r="C726" s="579"/>
      <c r="D726" s="579"/>
      <c r="E726" s="579"/>
      <c r="F726" s="579"/>
      <c r="G726" s="579"/>
      <c r="H726" s="579"/>
      <c r="I726" s="579"/>
      <c r="J726" s="579"/>
      <c r="K726" s="579"/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</row>
    <row r="727" spans="2:26">
      <c r="B727" s="579"/>
      <c r="C727" s="579"/>
      <c r="D727" s="579"/>
      <c r="E727" s="579"/>
      <c r="F727" s="579"/>
      <c r="G727" s="579"/>
      <c r="H727" s="579"/>
      <c r="I727" s="579"/>
      <c r="J727" s="579"/>
      <c r="K727" s="579"/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</row>
    <row r="728" spans="2:26">
      <c r="B728" s="579"/>
      <c r="C728" s="579"/>
      <c r="D728" s="579"/>
      <c r="E728" s="579"/>
      <c r="F728" s="579"/>
      <c r="G728" s="579"/>
      <c r="H728" s="579"/>
      <c r="I728" s="579"/>
      <c r="J728" s="579"/>
      <c r="K728" s="579"/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</row>
    <row r="729" spans="2:26">
      <c r="B729" s="579"/>
      <c r="C729" s="579"/>
      <c r="D729" s="579"/>
      <c r="E729" s="579"/>
      <c r="F729" s="579"/>
      <c r="G729" s="579"/>
      <c r="H729" s="579"/>
      <c r="I729" s="579"/>
      <c r="J729" s="579"/>
      <c r="K729" s="579"/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</row>
    <row r="730" spans="2:26">
      <c r="B730" s="579"/>
      <c r="C730" s="579"/>
      <c r="D730" s="579"/>
      <c r="E730" s="579"/>
      <c r="F730" s="579"/>
      <c r="G730" s="579"/>
      <c r="H730" s="579"/>
      <c r="I730" s="579"/>
      <c r="J730" s="579"/>
      <c r="K730" s="579"/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</row>
    <row r="731" spans="2:26">
      <c r="B731" s="579"/>
      <c r="C731" s="579"/>
      <c r="D731" s="579"/>
      <c r="E731" s="579"/>
      <c r="F731" s="579"/>
      <c r="G731" s="579"/>
      <c r="H731" s="579"/>
      <c r="I731" s="579"/>
      <c r="J731" s="579"/>
      <c r="K731" s="579"/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</row>
    <row r="732" spans="2:26">
      <c r="B732" s="579"/>
      <c r="C732" s="579"/>
      <c r="D732" s="579"/>
      <c r="E732" s="579"/>
      <c r="F732" s="579"/>
      <c r="G732" s="579"/>
      <c r="H732" s="579"/>
      <c r="I732" s="579"/>
      <c r="J732" s="579"/>
      <c r="K732" s="579"/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</row>
    <row r="733" spans="2:26">
      <c r="B733" s="579"/>
      <c r="C733" s="579"/>
      <c r="D733" s="579"/>
      <c r="E733" s="579"/>
      <c r="F733" s="579"/>
      <c r="G733" s="579"/>
      <c r="H733" s="579"/>
      <c r="I733" s="579"/>
      <c r="J733" s="579"/>
      <c r="K733" s="579"/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</row>
    <row r="734" spans="2:26">
      <c r="B734" s="579"/>
      <c r="C734" s="579"/>
      <c r="D734" s="579"/>
      <c r="E734" s="579"/>
      <c r="F734" s="579"/>
      <c r="G734" s="579"/>
      <c r="H734" s="579"/>
      <c r="I734" s="579"/>
      <c r="J734" s="579"/>
      <c r="K734" s="579"/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</row>
    <row r="735" spans="2:26">
      <c r="B735" s="579"/>
      <c r="C735" s="579"/>
      <c r="D735" s="579"/>
      <c r="E735" s="579"/>
      <c r="F735" s="579"/>
      <c r="G735" s="579"/>
      <c r="H735" s="579"/>
      <c r="I735" s="579"/>
      <c r="J735" s="579"/>
      <c r="K735" s="579"/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</row>
    <row r="736" spans="2:26">
      <c r="B736" s="579"/>
      <c r="C736" s="579"/>
      <c r="D736" s="579"/>
      <c r="E736" s="579"/>
      <c r="F736" s="579"/>
      <c r="G736" s="579"/>
      <c r="H736" s="579"/>
      <c r="I736" s="579"/>
      <c r="J736" s="579"/>
      <c r="K736" s="579"/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</row>
    <row r="737" spans="2:26">
      <c r="B737" s="579"/>
      <c r="C737" s="579"/>
      <c r="D737" s="579"/>
      <c r="E737" s="579"/>
      <c r="F737" s="579"/>
      <c r="G737" s="579"/>
      <c r="H737" s="579"/>
      <c r="I737" s="579"/>
      <c r="J737" s="579"/>
      <c r="K737" s="579"/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</row>
    <row r="738" spans="2:26">
      <c r="B738" s="579"/>
      <c r="C738" s="579"/>
      <c r="D738" s="579"/>
      <c r="E738" s="579"/>
      <c r="F738" s="579"/>
      <c r="G738" s="579"/>
      <c r="H738" s="579"/>
      <c r="I738" s="579"/>
      <c r="J738" s="579"/>
      <c r="K738" s="579"/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</row>
    <row r="739" spans="2:26">
      <c r="B739" s="579"/>
      <c r="C739" s="579"/>
      <c r="D739" s="579"/>
      <c r="E739" s="579"/>
      <c r="F739" s="579"/>
      <c r="G739" s="579"/>
      <c r="H739" s="579"/>
      <c r="I739" s="579"/>
      <c r="J739" s="579"/>
      <c r="K739" s="579"/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</row>
    <row r="740" spans="2:26">
      <c r="B740" s="579"/>
      <c r="C740" s="579"/>
      <c r="D740" s="579"/>
      <c r="E740" s="579"/>
      <c r="F740" s="579"/>
      <c r="G740" s="579"/>
      <c r="H740" s="579"/>
      <c r="I740" s="579"/>
      <c r="J740" s="579"/>
      <c r="K740" s="579"/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</row>
    <row r="741" spans="2:26">
      <c r="B741" s="579"/>
      <c r="C741" s="579"/>
      <c r="D741" s="579"/>
      <c r="E741" s="579"/>
      <c r="F741" s="579"/>
      <c r="G741" s="579"/>
      <c r="H741" s="579"/>
      <c r="I741" s="579"/>
      <c r="J741" s="579"/>
      <c r="K741" s="579"/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</row>
    <row r="742" spans="2:26">
      <c r="B742" s="579"/>
      <c r="C742" s="579"/>
      <c r="D742" s="579"/>
      <c r="E742" s="579"/>
      <c r="F742" s="579"/>
      <c r="G742" s="579"/>
      <c r="H742" s="579"/>
      <c r="I742" s="579"/>
      <c r="J742" s="579"/>
      <c r="K742" s="579"/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</row>
    <row r="743" spans="2:26">
      <c r="B743" s="579"/>
      <c r="C743" s="579"/>
      <c r="D743" s="579"/>
      <c r="E743" s="579"/>
      <c r="F743" s="579"/>
      <c r="G743" s="579"/>
      <c r="H743" s="579"/>
      <c r="I743" s="579"/>
      <c r="J743" s="579"/>
      <c r="K743" s="579"/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</row>
    <row r="744" spans="2:26">
      <c r="B744" s="579"/>
      <c r="C744" s="579"/>
      <c r="D744" s="579"/>
      <c r="E744" s="579"/>
      <c r="F744" s="579"/>
      <c r="G744" s="579"/>
      <c r="H744" s="579"/>
      <c r="I744" s="579"/>
      <c r="J744" s="579"/>
      <c r="K744" s="579"/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</row>
    <row r="745" spans="2:26">
      <c r="B745" s="579"/>
      <c r="C745" s="579"/>
      <c r="D745" s="579"/>
      <c r="E745" s="579"/>
      <c r="F745" s="579"/>
      <c r="G745" s="579"/>
      <c r="H745" s="579"/>
      <c r="I745" s="579"/>
      <c r="J745" s="579"/>
      <c r="K745" s="579"/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</row>
    <row r="746" spans="2:26">
      <c r="B746" s="579"/>
      <c r="C746" s="579"/>
      <c r="D746" s="579"/>
      <c r="E746" s="579"/>
      <c r="F746" s="579"/>
      <c r="G746" s="579"/>
      <c r="H746" s="579"/>
      <c r="I746" s="579"/>
      <c r="J746" s="579"/>
      <c r="K746" s="579"/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</row>
    <row r="747" spans="2:26">
      <c r="B747" s="579"/>
      <c r="C747" s="579"/>
      <c r="D747" s="579"/>
      <c r="E747" s="579"/>
      <c r="F747" s="579"/>
      <c r="G747" s="579"/>
      <c r="H747" s="579"/>
      <c r="I747" s="579"/>
      <c r="J747" s="579"/>
      <c r="K747" s="579"/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</row>
    <row r="748" spans="2:26">
      <c r="B748" s="579"/>
      <c r="C748" s="579"/>
      <c r="D748" s="579"/>
      <c r="E748" s="579"/>
      <c r="F748" s="579"/>
      <c r="G748" s="579"/>
      <c r="H748" s="579"/>
      <c r="I748" s="579"/>
      <c r="J748" s="579"/>
      <c r="K748" s="579"/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</row>
    <row r="749" spans="2:26">
      <c r="B749" s="579"/>
      <c r="C749" s="579"/>
      <c r="D749" s="579"/>
      <c r="E749" s="579"/>
      <c r="F749" s="579"/>
      <c r="G749" s="579"/>
      <c r="H749" s="579"/>
      <c r="I749" s="579"/>
      <c r="J749" s="579"/>
      <c r="K749" s="579"/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</row>
    <row r="750" spans="2:26">
      <c r="B750" s="579"/>
      <c r="C750" s="579"/>
      <c r="D750" s="579"/>
      <c r="E750" s="579"/>
      <c r="F750" s="579"/>
      <c r="G750" s="579"/>
      <c r="H750" s="579"/>
      <c r="I750" s="579"/>
      <c r="J750" s="579"/>
      <c r="K750" s="579"/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</row>
    <row r="751" spans="2:26">
      <c r="B751" s="579"/>
      <c r="C751" s="579"/>
      <c r="D751" s="579"/>
      <c r="E751" s="579"/>
      <c r="F751" s="579"/>
      <c r="G751" s="579"/>
      <c r="H751" s="579"/>
      <c r="I751" s="579"/>
      <c r="J751" s="579"/>
      <c r="K751" s="579"/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</row>
    <row r="752" spans="2:26">
      <c r="B752" s="579"/>
      <c r="C752" s="579"/>
      <c r="D752" s="579"/>
      <c r="E752" s="579"/>
      <c r="F752" s="579"/>
      <c r="G752" s="579"/>
      <c r="H752" s="579"/>
      <c r="I752" s="579"/>
      <c r="J752" s="579"/>
      <c r="K752" s="579"/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</row>
    <row r="753" spans="2:26">
      <c r="B753" s="579"/>
      <c r="C753" s="579"/>
      <c r="D753" s="579"/>
      <c r="E753" s="579"/>
      <c r="F753" s="579"/>
      <c r="G753" s="579"/>
      <c r="H753" s="579"/>
      <c r="I753" s="579"/>
      <c r="J753" s="579"/>
      <c r="K753" s="579"/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</row>
    <row r="754" spans="2:26">
      <c r="B754" s="579"/>
      <c r="C754" s="579"/>
      <c r="D754" s="579"/>
      <c r="E754" s="579"/>
      <c r="F754" s="579"/>
      <c r="G754" s="579"/>
      <c r="H754" s="579"/>
      <c r="I754" s="579"/>
      <c r="J754" s="579"/>
      <c r="K754" s="579"/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</row>
    <row r="755" spans="2:26">
      <c r="B755" s="579"/>
      <c r="C755" s="579"/>
      <c r="D755" s="579"/>
      <c r="E755" s="579"/>
      <c r="F755" s="579"/>
      <c r="G755" s="579"/>
      <c r="H755" s="579"/>
      <c r="I755" s="579"/>
      <c r="J755" s="579"/>
      <c r="K755" s="579"/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</row>
    <row r="756" spans="2:26">
      <c r="B756" s="579"/>
      <c r="C756" s="579"/>
      <c r="D756" s="579"/>
      <c r="E756" s="579"/>
      <c r="F756" s="579"/>
      <c r="G756" s="579"/>
      <c r="H756" s="579"/>
      <c r="I756" s="579"/>
      <c r="J756" s="579"/>
      <c r="K756" s="579"/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</row>
    <row r="757" spans="2:26">
      <c r="B757" s="579"/>
      <c r="C757" s="579"/>
      <c r="D757" s="579"/>
      <c r="E757" s="579"/>
      <c r="F757" s="579"/>
      <c r="G757" s="579"/>
      <c r="H757" s="579"/>
      <c r="I757" s="579"/>
      <c r="J757" s="579"/>
      <c r="K757" s="579"/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</row>
    <row r="758" spans="2:26">
      <c r="B758" s="579"/>
      <c r="C758" s="579"/>
      <c r="D758" s="579"/>
      <c r="E758" s="579"/>
      <c r="F758" s="579"/>
      <c r="G758" s="579"/>
      <c r="H758" s="579"/>
      <c r="I758" s="579"/>
      <c r="J758" s="579"/>
      <c r="K758" s="579"/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</row>
    <row r="759" spans="2:26">
      <c r="B759" s="579"/>
      <c r="C759" s="579"/>
      <c r="D759" s="579"/>
      <c r="E759" s="579"/>
      <c r="F759" s="579"/>
      <c r="G759" s="579"/>
      <c r="H759" s="579"/>
      <c r="I759" s="579"/>
      <c r="J759" s="579"/>
      <c r="K759" s="579"/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</row>
    <row r="760" spans="2:26">
      <c r="B760" s="579"/>
      <c r="C760" s="579"/>
      <c r="D760" s="579"/>
      <c r="E760" s="579"/>
      <c r="F760" s="579"/>
      <c r="G760" s="579"/>
      <c r="H760" s="579"/>
      <c r="I760" s="579"/>
      <c r="J760" s="579"/>
      <c r="K760" s="579"/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</row>
    <row r="761" spans="2:26">
      <c r="B761" s="579"/>
      <c r="C761" s="579"/>
      <c r="D761" s="579"/>
      <c r="E761" s="579"/>
      <c r="F761" s="579"/>
      <c r="G761" s="579"/>
      <c r="H761" s="579"/>
      <c r="I761" s="579"/>
      <c r="J761" s="579"/>
      <c r="K761" s="579"/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</row>
    <row r="762" spans="2:26">
      <c r="B762" s="579"/>
      <c r="C762" s="579"/>
      <c r="D762" s="579"/>
      <c r="E762" s="579"/>
      <c r="F762" s="579"/>
      <c r="G762" s="579"/>
      <c r="H762" s="579"/>
      <c r="I762" s="579"/>
      <c r="J762" s="579"/>
      <c r="K762" s="579"/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</row>
    <row r="763" spans="2:26">
      <c r="B763" s="579"/>
      <c r="C763" s="579"/>
      <c r="D763" s="579"/>
      <c r="E763" s="579"/>
      <c r="F763" s="579"/>
      <c r="G763" s="579"/>
      <c r="H763" s="579"/>
      <c r="I763" s="579"/>
      <c r="J763" s="579"/>
      <c r="K763" s="579"/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</row>
    <row r="764" spans="2:26">
      <c r="B764" s="579"/>
      <c r="C764" s="579"/>
      <c r="D764" s="579"/>
      <c r="E764" s="579"/>
      <c r="F764" s="579"/>
      <c r="G764" s="579"/>
      <c r="H764" s="579"/>
      <c r="I764" s="579"/>
      <c r="J764" s="579"/>
      <c r="K764" s="579"/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</row>
    <row r="765" spans="2:26">
      <c r="B765" s="579"/>
      <c r="C765" s="579"/>
      <c r="D765" s="579"/>
      <c r="E765" s="579"/>
      <c r="F765" s="579"/>
      <c r="G765" s="579"/>
      <c r="H765" s="579"/>
      <c r="I765" s="579"/>
      <c r="J765" s="579"/>
      <c r="K765" s="579"/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</row>
    <row r="766" spans="2:26">
      <c r="B766" s="579"/>
      <c r="C766" s="579"/>
      <c r="D766" s="579"/>
      <c r="E766" s="579"/>
      <c r="F766" s="579"/>
      <c r="G766" s="579"/>
      <c r="H766" s="579"/>
      <c r="I766" s="579"/>
      <c r="J766" s="579"/>
      <c r="K766" s="579"/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</row>
    <row r="767" spans="2:26">
      <c r="B767" s="579"/>
      <c r="C767" s="579"/>
      <c r="D767" s="579"/>
      <c r="E767" s="579"/>
      <c r="F767" s="579"/>
      <c r="G767" s="579"/>
      <c r="H767" s="579"/>
      <c r="I767" s="579"/>
      <c r="J767" s="579"/>
      <c r="K767" s="579"/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</row>
    <row r="768" spans="2:26">
      <c r="B768" s="579"/>
      <c r="C768" s="579"/>
      <c r="D768" s="579"/>
      <c r="E768" s="579"/>
      <c r="F768" s="579"/>
      <c r="G768" s="579"/>
      <c r="H768" s="579"/>
      <c r="I768" s="579"/>
      <c r="J768" s="579"/>
      <c r="K768" s="579"/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</row>
    <row r="769" spans="2:26">
      <c r="B769" s="579"/>
      <c r="C769" s="579"/>
      <c r="D769" s="579"/>
      <c r="E769" s="579"/>
      <c r="F769" s="579"/>
      <c r="G769" s="579"/>
      <c r="H769" s="579"/>
      <c r="I769" s="579"/>
      <c r="J769" s="579"/>
      <c r="K769" s="579"/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</row>
    <row r="770" spans="2:26">
      <c r="B770" s="579"/>
      <c r="C770" s="579"/>
      <c r="D770" s="579"/>
      <c r="E770" s="579"/>
      <c r="F770" s="579"/>
      <c r="G770" s="579"/>
      <c r="H770" s="579"/>
      <c r="I770" s="579"/>
      <c r="J770" s="579"/>
      <c r="K770" s="579"/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</row>
    <row r="771" spans="2:26">
      <c r="B771" s="579"/>
      <c r="C771" s="579"/>
      <c r="D771" s="579"/>
      <c r="E771" s="579"/>
      <c r="F771" s="579"/>
      <c r="G771" s="579"/>
      <c r="H771" s="579"/>
      <c r="I771" s="579"/>
      <c r="J771" s="579"/>
      <c r="K771" s="579"/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</row>
    <row r="772" spans="2:26">
      <c r="B772" s="579"/>
      <c r="C772" s="579"/>
      <c r="D772" s="579"/>
      <c r="E772" s="579"/>
      <c r="F772" s="579"/>
      <c r="G772" s="579"/>
      <c r="H772" s="579"/>
      <c r="I772" s="579"/>
      <c r="J772" s="579"/>
      <c r="K772" s="579"/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</row>
    <row r="773" spans="2:26">
      <c r="B773" s="579"/>
      <c r="C773" s="579"/>
      <c r="D773" s="579"/>
      <c r="E773" s="579"/>
      <c r="F773" s="579"/>
      <c r="G773" s="579"/>
      <c r="H773" s="579"/>
      <c r="I773" s="579"/>
      <c r="J773" s="579"/>
      <c r="K773" s="579"/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</row>
    <row r="774" spans="2:26">
      <c r="B774" s="579"/>
      <c r="C774" s="579"/>
      <c r="D774" s="579"/>
      <c r="E774" s="579"/>
      <c r="F774" s="579"/>
      <c r="G774" s="579"/>
      <c r="H774" s="579"/>
      <c r="I774" s="579"/>
      <c r="J774" s="579"/>
      <c r="K774" s="579"/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</row>
    <row r="775" spans="2:26">
      <c r="B775" s="579"/>
      <c r="C775" s="579"/>
      <c r="D775" s="579"/>
      <c r="E775" s="579"/>
      <c r="F775" s="579"/>
      <c r="G775" s="579"/>
      <c r="H775" s="579"/>
      <c r="I775" s="579"/>
      <c r="J775" s="579"/>
      <c r="K775" s="579"/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</row>
    <row r="776" spans="2:26">
      <c r="B776" s="579"/>
      <c r="C776" s="579"/>
      <c r="D776" s="579"/>
      <c r="E776" s="579"/>
      <c r="F776" s="579"/>
      <c r="G776" s="579"/>
      <c r="H776" s="579"/>
      <c r="I776" s="579"/>
      <c r="J776" s="579"/>
      <c r="K776" s="579"/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</row>
    <row r="777" spans="2:26">
      <c r="B777" s="579"/>
      <c r="C777" s="579"/>
      <c r="D777" s="579"/>
      <c r="E777" s="579"/>
      <c r="F777" s="579"/>
      <c r="G777" s="579"/>
      <c r="H777" s="579"/>
      <c r="I777" s="579"/>
      <c r="J777" s="579"/>
      <c r="K777" s="579"/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</row>
    <row r="778" spans="2:26">
      <c r="B778" s="579"/>
      <c r="C778" s="579"/>
      <c r="D778" s="579"/>
      <c r="E778" s="579"/>
      <c r="F778" s="579"/>
      <c r="G778" s="579"/>
      <c r="H778" s="579"/>
      <c r="I778" s="579"/>
      <c r="J778" s="579"/>
      <c r="K778" s="579"/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</row>
    <row r="779" spans="2:26">
      <c r="B779" s="579"/>
      <c r="C779" s="579"/>
      <c r="D779" s="579"/>
      <c r="E779" s="579"/>
      <c r="F779" s="579"/>
      <c r="G779" s="579"/>
      <c r="H779" s="579"/>
      <c r="I779" s="579"/>
      <c r="J779" s="579"/>
      <c r="K779" s="579"/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</row>
    <row r="780" spans="2:26">
      <c r="B780" s="579"/>
      <c r="C780" s="579"/>
      <c r="D780" s="579"/>
      <c r="E780" s="579"/>
      <c r="F780" s="579"/>
      <c r="G780" s="579"/>
      <c r="H780" s="579"/>
      <c r="I780" s="579"/>
      <c r="J780" s="579"/>
      <c r="K780" s="579"/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</row>
    <row r="781" spans="2:26">
      <c r="B781" s="579"/>
      <c r="C781" s="579"/>
      <c r="D781" s="579"/>
      <c r="E781" s="579"/>
      <c r="F781" s="579"/>
      <c r="G781" s="579"/>
      <c r="H781" s="579"/>
      <c r="I781" s="579"/>
      <c r="J781" s="579"/>
      <c r="K781" s="579"/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</row>
    <row r="782" spans="2:26">
      <c r="B782" s="579"/>
      <c r="C782" s="579"/>
      <c r="D782" s="579"/>
      <c r="E782" s="579"/>
      <c r="F782" s="579"/>
      <c r="G782" s="579"/>
      <c r="H782" s="579"/>
      <c r="I782" s="579"/>
      <c r="J782" s="579"/>
      <c r="K782" s="579"/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</row>
    <row r="783" spans="2:26">
      <c r="B783" s="579"/>
      <c r="C783" s="579"/>
      <c r="D783" s="579"/>
      <c r="E783" s="579"/>
      <c r="F783" s="579"/>
      <c r="G783" s="579"/>
      <c r="H783" s="579"/>
      <c r="I783" s="579"/>
      <c r="J783" s="579"/>
      <c r="K783" s="579"/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</row>
    <row r="784" spans="2:26">
      <c r="B784" s="579"/>
      <c r="C784" s="579"/>
      <c r="D784" s="579"/>
      <c r="E784" s="579"/>
      <c r="F784" s="579"/>
      <c r="G784" s="579"/>
      <c r="H784" s="579"/>
      <c r="I784" s="579"/>
      <c r="J784" s="579"/>
      <c r="K784" s="579"/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</row>
    <row r="785" spans="2:26">
      <c r="B785" s="579"/>
      <c r="C785" s="579"/>
      <c r="D785" s="579"/>
      <c r="E785" s="579"/>
      <c r="F785" s="579"/>
      <c r="G785" s="579"/>
      <c r="H785" s="579"/>
      <c r="I785" s="579"/>
      <c r="J785" s="579"/>
      <c r="K785" s="579"/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</row>
    <row r="786" spans="2:26">
      <c r="B786" s="579"/>
      <c r="C786" s="579"/>
      <c r="D786" s="579"/>
      <c r="E786" s="579"/>
      <c r="F786" s="579"/>
      <c r="G786" s="579"/>
      <c r="H786" s="579"/>
      <c r="I786" s="579"/>
      <c r="J786" s="579"/>
      <c r="K786" s="579"/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</row>
    <row r="787" spans="2:26">
      <c r="B787" s="579"/>
      <c r="C787" s="579"/>
      <c r="D787" s="579"/>
      <c r="E787" s="579"/>
      <c r="F787" s="579"/>
      <c r="G787" s="579"/>
      <c r="H787" s="579"/>
      <c r="I787" s="579"/>
      <c r="J787" s="579"/>
      <c r="K787" s="579"/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</row>
    <row r="788" spans="2:26">
      <c r="B788" s="579"/>
      <c r="C788" s="579"/>
      <c r="D788" s="579"/>
      <c r="E788" s="579"/>
      <c r="F788" s="579"/>
      <c r="G788" s="579"/>
      <c r="H788" s="579"/>
      <c r="I788" s="579"/>
      <c r="J788" s="579"/>
      <c r="K788" s="579"/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</row>
    <row r="789" spans="2:26">
      <c r="B789" s="579"/>
      <c r="C789" s="579"/>
      <c r="D789" s="579"/>
      <c r="E789" s="579"/>
      <c r="F789" s="579"/>
      <c r="G789" s="579"/>
      <c r="H789" s="579"/>
      <c r="I789" s="579"/>
      <c r="J789" s="579"/>
      <c r="K789" s="579"/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</row>
    <row r="790" spans="2:26">
      <c r="B790" s="579"/>
      <c r="C790" s="579"/>
      <c r="D790" s="579"/>
      <c r="E790" s="579"/>
      <c r="F790" s="579"/>
      <c r="G790" s="579"/>
      <c r="H790" s="579"/>
      <c r="I790" s="579"/>
      <c r="J790" s="579"/>
      <c r="K790" s="579"/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</row>
    <row r="791" spans="2:26">
      <c r="B791" s="579"/>
      <c r="C791" s="579"/>
      <c r="D791" s="579"/>
      <c r="E791" s="579"/>
      <c r="F791" s="579"/>
      <c r="G791" s="579"/>
      <c r="H791" s="579"/>
      <c r="I791" s="579"/>
      <c r="J791" s="579"/>
      <c r="K791" s="579"/>
      <c r="L791" s="579"/>
      <c r="M791" s="579"/>
      <c r="N791" s="579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</row>
    <row r="792" spans="2:26">
      <c r="B792" s="579"/>
      <c r="C792" s="579"/>
      <c r="D792" s="579"/>
      <c r="E792" s="579"/>
      <c r="F792" s="579"/>
      <c r="G792" s="579"/>
      <c r="H792" s="579"/>
      <c r="I792" s="579"/>
      <c r="J792" s="579"/>
      <c r="K792" s="579"/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</row>
    <row r="793" spans="2:26">
      <c r="B793" s="579"/>
      <c r="C793" s="579"/>
      <c r="D793" s="579"/>
      <c r="E793" s="579"/>
      <c r="F793" s="579"/>
      <c r="G793" s="579"/>
      <c r="H793" s="579"/>
      <c r="I793" s="579"/>
      <c r="J793" s="579"/>
      <c r="K793" s="579"/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</row>
    <row r="794" spans="2:26">
      <c r="B794" s="579"/>
      <c r="C794" s="579"/>
      <c r="D794" s="579"/>
      <c r="E794" s="579"/>
      <c r="F794" s="579"/>
      <c r="G794" s="579"/>
      <c r="H794" s="579"/>
      <c r="I794" s="579"/>
      <c r="J794" s="579"/>
      <c r="K794" s="579"/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</row>
    <row r="795" spans="2:26">
      <c r="B795" s="579"/>
      <c r="C795" s="579"/>
      <c r="D795" s="579"/>
      <c r="E795" s="579"/>
      <c r="F795" s="579"/>
      <c r="G795" s="579"/>
      <c r="H795" s="579"/>
      <c r="I795" s="579"/>
      <c r="J795" s="579"/>
      <c r="K795" s="579"/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</row>
    <row r="796" spans="2:26">
      <c r="B796" s="579"/>
      <c r="C796" s="579"/>
      <c r="D796" s="579"/>
      <c r="E796" s="579"/>
      <c r="F796" s="579"/>
      <c r="G796" s="579"/>
      <c r="H796" s="579"/>
      <c r="I796" s="579"/>
      <c r="J796" s="579"/>
      <c r="K796" s="579"/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</row>
    <row r="797" spans="2:26">
      <c r="B797" s="579"/>
      <c r="C797" s="579"/>
      <c r="D797" s="579"/>
      <c r="E797" s="579"/>
      <c r="F797" s="579"/>
      <c r="G797" s="579"/>
      <c r="H797" s="579"/>
      <c r="I797" s="579"/>
      <c r="J797" s="579"/>
      <c r="K797" s="579"/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</row>
    <row r="798" spans="2:26">
      <c r="B798" s="579"/>
      <c r="C798" s="579"/>
      <c r="D798" s="579"/>
      <c r="E798" s="579"/>
      <c r="F798" s="579"/>
      <c r="G798" s="579"/>
      <c r="H798" s="579"/>
      <c r="I798" s="579"/>
      <c r="J798" s="579"/>
      <c r="K798" s="579"/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</row>
    <row r="799" spans="2:26">
      <c r="B799" s="579"/>
      <c r="C799" s="579"/>
      <c r="D799" s="579"/>
      <c r="E799" s="579"/>
      <c r="F799" s="579"/>
      <c r="G799" s="579"/>
      <c r="H799" s="579"/>
      <c r="I799" s="579"/>
      <c r="J799" s="579"/>
      <c r="K799" s="579"/>
      <c r="L799" s="579"/>
      <c r="M799" s="579"/>
      <c r="N799" s="579"/>
      <c r="O799" s="579"/>
      <c r="P799" s="579"/>
      <c r="Q799" s="579"/>
      <c r="R799" s="579"/>
      <c r="S799" s="579"/>
      <c r="T799" s="579"/>
      <c r="U799" s="579"/>
      <c r="V799" s="579"/>
      <c r="W799" s="579"/>
      <c r="X799" s="579"/>
      <c r="Y799" s="579"/>
      <c r="Z799" s="579"/>
    </row>
    <row r="800" spans="2:26">
      <c r="B800" s="579"/>
      <c r="C800" s="579"/>
      <c r="D800" s="579"/>
      <c r="E800" s="579"/>
      <c r="F800" s="579"/>
      <c r="G800" s="579"/>
      <c r="H800" s="579"/>
      <c r="I800" s="579"/>
      <c r="J800" s="579"/>
      <c r="K800" s="579"/>
      <c r="L800" s="579"/>
      <c r="M800" s="579"/>
      <c r="N800" s="579"/>
      <c r="O800" s="579"/>
      <c r="P800" s="579"/>
      <c r="Q800" s="579"/>
      <c r="R800" s="579"/>
      <c r="S800" s="579"/>
      <c r="T800" s="579"/>
      <c r="U800" s="579"/>
      <c r="V800" s="579"/>
      <c r="W800" s="579"/>
      <c r="X800" s="579"/>
      <c r="Y800" s="579"/>
      <c r="Z800" s="579"/>
    </row>
    <row r="801" spans="2:26">
      <c r="B801" s="579"/>
      <c r="C801" s="579"/>
      <c r="D801" s="579"/>
      <c r="E801" s="579"/>
      <c r="F801" s="579"/>
      <c r="G801" s="579"/>
      <c r="H801" s="579"/>
      <c r="I801" s="579"/>
      <c r="J801" s="579"/>
      <c r="K801" s="579"/>
      <c r="L801" s="579"/>
      <c r="M801" s="579"/>
      <c r="N801" s="579"/>
      <c r="O801" s="579"/>
      <c r="P801" s="579"/>
      <c r="Q801" s="579"/>
      <c r="R801" s="579"/>
      <c r="S801" s="579"/>
      <c r="T801" s="579"/>
      <c r="U801" s="579"/>
      <c r="V801" s="579"/>
      <c r="W801" s="579"/>
      <c r="X801" s="579"/>
      <c r="Y801" s="579"/>
      <c r="Z801" s="579"/>
    </row>
    <row r="802" spans="2:26">
      <c r="B802" s="579"/>
      <c r="C802" s="579"/>
      <c r="D802" s="579"/>
      <c r="E802" s="579"/>
      <c r="F802" s="579"/>
      <c r="G802" s="579"/>
      <c r="H802" s="579"/>
      <c r="I802" s="579"/>
      <c r="J802" s="579"/>
      <c r="K802" s="579"/>
      <c r="L802" s="579"/>
      <c r="M802" s="579"/>
      <c r="N802" s="579"/>
      <c r="O802" s="579"/>
      <c r="P802" s="579"/>
      <c r="Q802" s="579"/>
      <c r="R802" s="579"/>
      <c r="S802" s="579"/>
      <c r="T802" s="579"/>
      <c r="U802" s="579"/>
      <c r="V802" s="579"/>
      <c r="W802" s="579"/>
      <c r="X802" s="579"/>
      <c r="Y802" s="579"/>
      <c r="Z802" s="579"/>
    </row>
    <row r="803" spans="2:26">
      <c r="B803" s="579"/>
      <c r="C803" s="579"/>
      <c r="D803" s="579"/>
      <c r="E803" s="579"/>
      <c r="F803" s="579"/>
      <c r="G803" s="579"/>
      <c r="H803" s="579"/>
      <c r="I803" s="579"/>
      <c r="J803" s="579"/>
      <c r="K803" s="579"/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</row>
    <row r="804" spans="2:26">
      <c r="B804" s="579"/>
      <c r="C804" s="579"/>
      <c r="D804" s="579"/>
      <c r="E804" s="579"/>
      <c r="F804" s="579"/>
      <c r="G804" s="579"/>
      <c r="H804" s="579"/>
      <c r="I804" s="579"/>
      <c r="J804" s="579"/>
      <c r="K804" s="579"/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</row>
    <row r="805" spans="2:26">
      <c r="B805" s="579"/>
      <c r="C805" s="579"/>
      <c r="D805" s="579"/>
      <c r="E805" s="579"/>
      <c r="F805" s="579"/>
      <c r="G805" s="579"/>
      <c r="H805" s="579"/>
      <c r="I805" s="579"/>
      <c r="J805" s="579"/>
      <c r="K805" s="579"/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</row>
    <row r="806" spans="2:26">
      <c r="B806" s="579"/>
      <c r="C806" s="579"/>
      <c r="D806" s="579"/>
      <c r="E806" s="579"/>
      <c r="F806" s="579"/>
      <c r="G806" s="579"/>
      <c r="H806" s="579"/>
      <c r="I806" s="579"/>
      <c r="J806" s="579"/>
      <c r="K806" s="579"/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</row>
    <row r="807" spans="2:26">
      <c r="B807" s="579"/>
      <c r="C807" s="579"/>
      <c r="D807" s="579"/>
      <c r="E807" s="579"/>
      <c r="F807" s="579"/>
      <c r="G807" s="579"/>
      <c r="H807" s="579"/>
      <c r="I807" s="579"/>
      <c r="J807" s="579"/>
      <c r="K807" s="579"/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</row>
    <row r="808" spans="2:26">
      <c r="B808" s="579"/>
      <c r="C808" s="579"/>
      <c r="D808" s="579"/>
      <c r="E808" s="579"/>
      <c r="F808" s="579"/>
      <c r="G808" s="579"/>
      <c r="H808" s="579"/>
      <c r="I808" s="579"/>
      <c r="J808" s="579"/>
      <c r="K808" s="579"/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</row>
    <row r="809" spans="2:26">
      <c r="B809" s="579"/>
      <c r="C809" s="579"/>
      <c r="D809" s="579"/>
      <c r="E809" s="579"/>
      <c r="F809" s="579"/>
      <c r="G809" s="579"/>
      <c r="H809" s="579"/>
      <c r="I809" s="579"/>
      <c r="J809" s="579"/>
      <c r="K809" s="579"/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</row>
    <row r="810" spans="2:26">
      <c r="B810" s="579"/>
      <c r="C810" s="579"/>
      <c r="D810" s="579"/>
      <c r="E810" s="579"/>
      <c r="F810" s="579"/>
      <c r="G810" s="579"/>
      <c r="H810" s="579"/>
      <c r="I810" s="579"/>
      <c r="J810" s="579"/>
      <c r="K810" s="579"/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</row>
    <row r="811" spans="2:26">
      <c r="B811" s="579"/>
      <c r="C811" s="579"/>
      <c r="D811" s="579"/>
      <c r="E811" s="579"/>
      <c r="F811" s="579"/>
      <c r="G811" s="579"/>
      <c r="H811" s="579"/>
      <c r="I811" s="579"/>
      <c r="J811" s="579"/>
      <c r="K811" s="579"/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</row>
    <row r="812" spans="2:26">
      <c r="B812" s="579"/>
      <c r="C812" s="579"/>
      <c r="D812" s="579"/>
      <c r="E812" s="579"/>
      <c r="F812" s="579"/>
      <c r="G812" s="579"/>
      <c r="H812" s="579"/>
      <c r="I812" s="579"/>
      <c r="J812" s="579"/>
      <c r="K812" s="579"/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</row>
    <row r="813" spans="2:26">
      <c r="B813" s="579"/>
      <c r="C813" s="579"/>
      <c r="D813" s="579"/>
      <c r="E813" s="579"/>
      <c r="F813" s="579"/>
      <c r="G813" s="579"/>
      <c r="H813" s="579"/>
      <c r="I813" s="579"/>
      <c r="J813" s="579"/>
      <c r="K813" s="579"/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</row>
    <row r="814" spans="2:26">
      <c r="B814" s="579"/>
      <c r="C814" s="579"/>
      <c r="D814" s="579"/>
      <c r="E814" s="579"/>
      <c r="F814" s="579"/>
      <c r="G814" s="579"/>
      <c r="H814" s="579"/>
      <c r="I814" s="579"/>
      <c r="J814" s="579"/>
      <c r="K814" s="579"/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</row>
    <row r="815" spans="2:26">
      <c r="B815" s="579"/>
      <c r="C815" s="579"/>
      <c r="D815" s="579"/>
      <c r="E815" s="579"/>
      <c r="F815" s="579"/>
      <c r="G815" s="579"/>
      <c r="H815" s="579"/>
      <c r="I815" s="579"/>
      <c r="J815" s="579"/>
      <c r="K815" s="579"/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</row>
    <row r="816" spans="2:26">
      <c r="B816" s="579"/>
      <c r="C816" s="579"/>
      <c r="D816" s="579"/>
      <c r="E816" s="579"/>
      <c r="F816" s="579"/>
      <c r="G816" s="579"/>
      <c r="H816" s="579"/>
      <c r="I816" s="579"/>
      <c r="J816" s="579"/>
      <c r="K816" s="579"/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</row>
    <row r="817" spans="2:26">
      <c r="B817" s="579"/>
      <c r="C817" s="579"/>
      <c r="D817" s="579"/>
      <c r="E817" s="579"/>
      <c r="F817" s="579"/>
      <c r="G817" s="579"/>
      <c r="H817" s="579"/>
      <c r="I817" s="579"/>
      <c r="J817" s="579"/>
      <c r="K817" s="579"/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</row>
    <row r="818" spans="2:26">
      <c r="B818" s="579"/>
      <c r="C818" s="579"/>
      <c r="D818" s="579"/>
      <c r="E818" s="579"/>
      <c r="F818" s="579"/>
      <c r="G818" s="579"/>
      <c r="H818" s="579"/>
      <c r="I818" s="579"/>
      <c r="J818" s="579"/>
      <c r="K818" s="579"/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</row>
    <row r="819" spans="2:26">
      <c r="B819" s="579"/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</row>
    <row r="820" spans="2:26">
      <c r="B820" s="579"/>
      <c r="C820" s="579"/>
      <c r="D820" s="579"/>
      <c r="E820" s="579"/>
      <c r="F820" s="579"/>
      <c r="G820" s="579"/>
      <c r="H820" s="579"/>
      <c r="I820" s="579"/>
      <c r="J820" s="579"/>
      <c r="K820" s="579"/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</row>
    <row r="821" spans="2:26">
      <c r="B821" s="579"/>
      <c r="C821" s="579"/>
      <c r="D821" s="579"/>
      <c r="E821" s="579"/>
      <c r="F821" s="579"/>
      <c r="G821" s="579"/>
      <c r="H821" s="579"/>
      <c r="I821" s="579"/>
      <c r="J821" s="579"/>
      <c r="K821" s="579"/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</row>
    <row r="822" spans="2:26">
      <c r="B822" s="579"/>
      <c r="C822" s="579"/>
      <c r="D822" s="579"/>
      <c r="E822" s="579"/>
      <c r="F822" s="579"/>
      <c r="G822" s="579"/>
      <c r="H822" s="579"/>
      <c r="I822" s="579"/>
      <c r="J822" s="579"/>
      <c r="K822" s="579"/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</row>
    <row r="823" spans="2:26">
      <c r="B823" s="579"/>
      <c r="C823" s="579"/>
      <c r="D823" s="579"/>
      <c r="E823" s="579"/>
      <c r="F823" s="579"/>
      <c r="G823" s="579"/>
      <c r="H823" s="579"/>
      <c r="I823" s="579"/>
      <c r="J823" s="579"/>
      <c r="K823" s="579"/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</row>
    <row r="824" spans="2:26">
      <c r="B824" s="579"/>
      <c r="C824" s="579"/>
      <c r="D824" s="579"/>
      <c r="E824" s="579"/>
      <c r="F824" s="579"/>
      <c r="G824" s="579"/>
      <c r="H824" s="579"/>
      <c r="I824" s="579"/>
      <c r="J824" s="579"/>
      <c r="K824" s="579"/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</row>
    <row r="825" spans="2:26">
      <c r="B825" s="579"/>
      <c r="C825" s="579"/>
      <c r="D825" s="579"/>
      <c r="E825" s="579"/>
      <c r="F825" s="579"/>
      <c r="G825" s="579"/>
      <c r="H825" s="579"/>
      <c r="I825" s="579"/>
      <c r="J825" s="579"/>
      <c r="K825" s="579"/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</row>
    <row r="826" spans="2:26">
      <c r="B826" s="579"/>
      <c r="C826" s="579"/>
      <c r="D826" s="579"/>
      <c r="E826" s="579"/>
      <c r="F826" s="579"/>
      <c r="G826" s="579"/>
      <c r="H826" s="579"/>
      <c r="I826" s="579"/>
      <c r="J826" s="579"/>
      <c r="K826" s="579"/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</row>
    <row r="827" spans="2:26">
      <c r="B827" s="579"/>
      <c r="C827" s="579"/>
      <c r="D827" s="579"/>
      <c r="E827" s="579"/>
      <c r="F827" s="579"/>
      <c r="G827" s="579"/>
      <c r="H827" s="579"/>
      <c r="I827" s="579"/>
      <c r="J827" s="579"/>
      <c r="K827" s="579"/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</row>
    <row r="828" spans="2:26"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</row>
    <row r="829" spans="2:26">
      <c r="B829" s="579"/>
      <c r="C829" s="579"/>
      <c r="D829" s="579"/>
      <c r="E829" s="579"/>
      <c r="F829" s="579"/>
      <c r="G829" s="579"/>
      <c r="H829" s="579"/>
      <c r="I829" s="579"/>
      <c r="J829" s="579"/>
      <c r="K829" s="579"/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</row>
    <row r="830" spans="2:26">
      <c r="B830" s="579"/>
      <c r="C830" s="579"/>
      <c r="D830" s="579"/>
      <c r="E830" s="579"/>
      <c r="F830" s="579"/>
      <c r="G830" s="579"/>
      <c r="H830" s="579"/>
      <c r="I830" s="579"/>
      <c r="J830" s="579"/>
      <c r="K830" s="579"/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</row>
    <row r="831" spans="2:26">
      <c r="B831" s="579"/>
      <c r="C831" s="579"/>
      <c r="D831" s="579"/>
      <c r="E831" s="579"/>
      <c r="F831" s="579"/>
      <c r="G831" s="579"/>
      <c r="H831" s="579"/>
      <c r="I831" s="579"/>
      <c r="J831" s="579"/>
      <c r="K831" s="579"/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</row>
    <row r="832" spans="2:26">
      <c r="B832" s="579"/>
      <c r="C832" s="579"/>
      <c r="D832" s="579"/>
      <c r="E832" s="579"/>
      <c r="F832" s="579"/>
      <c r="G832" s="579"/>
      <c r="H832" s="579"/>
      <c r="I832" s="579"/>
      <c r="J832" s="579"/>
      <c r="K832" s="579"/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</row>
    <row r="833" spans="2:26">
      <c r="B833" s="579"/>
      <c r="C833" s="579"/>
      <c r="D833" s="579"/>
      <c r="E833" s="579"/>
      <c r="F833" s="579"/>
      <c r="G833" s="579"/>
      <c r="H833" s="579"/>
      <c r="I833" s="579"/>
      <c r="J833" s="579"/>
      <c r="K833" s="579"/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</row>
    <row r="834" spans="2:26">
      <c r="B834" s="579"/>
      <c r="C834" s="579"/>
      <c r="D834" s="579"/>
      <c r="E834" s="579"/>
      <c r="F834" s="579"/>
      <c r="G834" s="579"/>
      <c r="H834" s="579"/>
      <c r="I834" s="579"/>
      <c r="J834" s="579"/>
      <c r="K834" s="579"/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</row>
    <row r="835" spans="2:26">
      <c r="B835" s="579"/>
      <c r="C835" s="579"/>
      <c r="D835" s="579"/>
      <c r="E835" s="579"/>
      <c r="F835" s="579"/>
      <c r="G835" s="579"/>
      <c r="H835" s="579"/>
      <c r="I835" s="579"/>
      <c r="J835" s="579"/>
      <c r="K835" s="579"/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</row>
    <row r="836" spans="2:26">
      <c r="B836" s="579"/>
      <c r="C836" s="579"/>
      <c r="D836" s="579"/>
      <c r="E836" s="579"/>
      <c r="F836" s="579"/>
      <c r="G836" s="579"/>
      <c r="H836" s="579"/>
      <c r="I836" s="579"/>
      <c r="J836" s="579"/>
      <c r="K836" s="579"/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</row>
    <row r="837" spans="2:26">
      <c r="B837" s="579"/>
      <c r="C837" s="579"/>
      <c r="D837" s="579"/>
      <c r="E837" s="579"/>
      <c r="F837" s="579"/>
      <c r="G837" s="579"/>
      <c r="H837" s="579"/>
      <c r="I837" s="579"/>
      <c r="J837" s="579"/>
      <c r="K837" s="579"/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</row>
    <row r="838" spans="2:26">
      <c r="B838" s="579"/>
      <c r="C838" s="579"/>
      <c r="D838" s="579"/>
      <c r="E838" s="579"/>
      <c r="F838" s="579"/>
      <c r="G838" s="579"/>
      <c r="H838" s="579"/>
      <c r="I838" s="579"/>
      <c r="J838" s="579"/>
      <c r="K838" s="579"/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</row>
    <row r="839" spans="2:26">
      <c r="B839" s="579"/>
      <c r="C839" s="579"/>
      <c r="D839" s="579"/>
      <c r="E839" s="579"/>
      <c r="F839" s="579"/>
      <c r="G839" s="579"/>
      <c r="H839" s="579"/>
      <c r="I839" s="579"/>
      <c r="J839" s="579"/>
      <c r="K839" s="579"/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</row>
    <row r="840" spans="2:26">
      <c r="B840" s="579"/>
      <c r="C840" s="579"/>
      <c r="D840" s="579"/>
      <c r="E840" s="579"/>
      <c r="F840" s="579"/>
      <c r="G840" s="579"/>
      <c r="H840" s="579"/>
      <c r="I840" s="579"/>
      <c r="J840" s="579"/>
      <c r="K840" s="579"/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</row>
    <row r="841" spans="2:26">
      <c r="B841" s="579"/>
      <c r="C841" s="579"/>
      <c r="D841" s="579"/>
      <c r="E841" s="579"/>
      <c r="F841" s="579"/>
      <c r="G841" s="579"/>
      <c r="H841" s="579"/>
      <c r="I841" s="579"/>
      <c r="J841" s="579"/>
      <c r="K841" s="579"/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</row>
    <row r="842" spans="2:26">
      <c r="B842" s="579"/>
      <c r="C842" s="579"/>
      <c r="D842" s="579"/>
      <c r="E842" s="579"/>
      <c r="F842" s="579"/>
      <c r="G842" s="579"/>
      <c r="H842" s="579"/>
      <c r="I842" s="579"/>
      <c r="J842" s="579"/>
      <c r="K842" s="579"/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</row>
    <row r="843" spans="2:26">
      <c r="B843" s="579"/>
      <c r="C843" s="579"/>
      <c r="D843" s="579"/>
      <c r="E843" s="579"/>
      <c r="F843" s="579"/>
      <c r="G843" s="579"/>
      <c r="H843" s="579"/>
      <c r="I843" s="579"/>
      <c r="J843" s="579"/>
      <c r="K843" s="579"/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</row>
    <row r="844" spans="2:26">
      <c r="B844" s="579"/>
      <c r="C844" s="579"/>
      <c r="D844" s="579"/>
      <c r="E844" s="579"/>
      <c r="F844" s="579"/>
      <c r="G844" s="579"/>
      <c r="H844" s="579"/>
      <c r="I844" s="579"/>
      <c r="J844" s="579"/>
      <c r="K844" s="579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</row>
    <row r="845" spans="2:26">
      <c r="B845" s="579"/>
      <c r="C845" s="579"/>
      <c r="D845" s="579"/>
      <c r="E845" s="579"/>
      <c r="F845" s="579"/>
      <c r="G845" s="579"/>
      <c r="H845" s="579"/>
      <c r="I845" s="579"/>
      <c r="J845" s="579"/>
      <c r="K845" s="579"/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</row>
    <row r="846" spans="2:26">
      <c r="B846" s="579"/>
      <c r="C846" s="579"/>
      <c r="D846" s="579"/>
      <c r="E846" s="579"/>
      <c r="F846" s="579"/>
      <c r="G846" s="579"/>
      <c r="H846" s="579"/>
      <c r="I846" s="579"/>
      <c r="J846" s="579"/>
      <c r="K846" s="579"/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</row>
    <row r="847" spans="2:26">
      <c r="B847" s="579"/>
      <c r="C847" s="579"/>
      <c r="D847" s="579"/>
      <c r="E847" s="579"/>
      <c r="F847" s="579"/>
      <c r="G847" s="579"/>
      <c r="H847" s="579"/>
      <c r="I847" s="579"/>
      <c r="J847" s="579"/>
      <c r="K847" s="579"/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</row>
    <row r="848" spans="2:26">
      <c r="B848" s="579"/>
      <c r="C848" s="579"/>
      <c r="D848" s="579"/>
      <c r="E848" s="579"/>
      <c r="F848" s="579"/>
      <c r="G848" s="579"/>
      <c r="H848" s="579"/>
      <c r="I848" s="579"/>
      <c r="J848" s="579"/>
      <c r="K848" s="579"/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</row>
    <row r="849" spans="2:26"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</row>
    <row r="850" spans="2:26">
      <c r="B850" s="579"/>
      <c r="C850" s="579"/>
      <c r="D850" s="579"/>
      <c r="E850" s="579"/>
      <c r="F850" s="579"/>
      <c r="G850" s="579"/>
      <c r="H850" s="579"/>
      <c r="I850" s="579"/>
      <c r="J850" s="579"/>
      <c r="K850" s="579"/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</row>
    <row r="851" spans="2:26">
      <c r="B851" s="579"/>
      <c r="C851" s="579"/>
      <c r="D851" s="579"/>
      <c r="E851" s="579"/>
      <c r="F851" s="579"/>
      <c r="G851" s="579"/>
      <c r="H851" s="579"/>
      <c r="I851" s="579"/>
      <c r="J851" s="579"/>
      <c r="K851" s="579"/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</row>
    <row r="852" spans="2:26"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</row>
    <row r="853" spans="2:26">
      <c r="B853" s="579"/>
      <c r="C853" s="579"/>
      <c r="D853" s="579"/>
      <c r="E853" s="579"/>
      <c r="F853" s="579"/>
      <c r="G853" s="579"/>
      <c r="H853" s="579"/>
      <c r="I853" s="579"/>
      <c r="J853" s="579"/>
      <c r="K853" s="579"/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</row>
    <row r="854" spans="2:26">
      <c r="B854" s="579"/>
      <c r="C854" s="579"/>
      <c r="D854" s="579"/>
      <c r="E854" s="579"/>
      <c r="F854" s="579"/>
      <c r="G854" s="579"/>
      <c r="H854" s="579"/>
      <c r="I854" s="579"/>
      <c r="J854" s="579"/>
      <c r="K854" s="579"/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</row>
    <row r="855" spans="2:26">
      <c r="B855" s="579"/>
      <c r="C855" s="579"/>
      <c r="D855" s="579"/>
      <c r="E855" s="579"/>
      <c r="F855" s="579"/>
      <c r="G855" s="579"/>
      <c r="H855" s="579"/>
      <c r="I855" s="579"/>
      <c r="J855" s="579"/>
      <c r="K855" s="579"/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</row>
    <row r="856" spans="2:26">
      <c r="B856" s="579"/>
      <c r="C856" s="579"/>
      <c r="D856" s="579"/>
      <c r="E856" s="579"/>
      <c r="F856" s="579"/>
      <c r="G856" s="579"/>
      <c r="H856" s="579"/>
      <c r="I856" s="579"/>
      <c r="J856" s="579"/>
      <c r="K856" s="579"/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</row>
    <row r="857" spans="2:26"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</row>
    <row r="858" spans="2:26">
      <c r="B858" s="579"/>
      <c r="C858" s="579"/>
      <c r="D858" s="579"/>
      <c r="E858" s="579"/>
      <c r="F858" s="579"/>
      <c r="G858" s="579"/>
      <c r="H858" s="579"/>
      <c r="I858" s="579"/>
      <c r="J858" s="579"/>
      <c r="K858" s="579"/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</row>
    <row r="859" spans="2:26">
      <c r="B859" s="579"/>
      <c r="C859" s="579"/>
      <c r="D859" s="579"/>
      <c r="E859" s="579"/>
      <c r="F859" s="579"/>
      <c r="G859" s="579"/>
      <c r="H859" s="579"/>
      <c r="I859" s="579"/>
      <c r="J859" s="579"/>
      <c r="K859" s="579"/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</row>
    <row r="860" spans="2:26">
      <c r="B860" s="579"/>
      <c r="C860" s="579"/>
      <c r="D860" s="579"/>
      <c r="E860" s="579"/>
      <c r="F860" s="579"/>
      <c r="G860" s="579"/>
      <c r="H860" s="579"/>
      <c r="I860" s="579"/>
      <c r="J860" s="579"/>
      <c r="K860" s="579"/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</row>
    <row r="861" spans="2:26">
      <c r="B861" s="579"/>
      <c r="C861" s="579"/>
      <c r="D861" s="579"/>
      <c r="E861" s="579"/>
      <c r="F861" s="579"/>
      <c r="G861" s="579"/>
      <c r="H861" s="579"/>
      <c r="I861" s="579"/>
      <c r="J861" s="579"/>
      <c r="K861" s="579"/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</row>
    <row r="862" spans="2:26">
      <c r="B862" s="579"/>
      <c r="C862" s="579"/>
      <c r="D862" s="579"/>
      <c r="E862" s="579"/>
      <c r="F862" s="579"/>
      <c r="G862" s="579"/>
      <c r="H862" s="579"/>
      <c r="I862" s="579"/>
      <c r="J862" s="579"/>
      <c r="K862" s="579"/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</row>
    <row r="863" spans="2:26">
      <c r="B863" s="579"/>
      <c r="C863" s="579"/>
      <c r="D863" s="579"/>
      <c r="E863" s="579"/>
      <c r="F863" s="579"/>
      <c r="G863" s="579"/>
      <c r="H863" s="579"/>
      <c r="I863" s="579"/>
      <c r="J863" s="579"/>
      <c r="K863" s="579"/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</row>
    <row r="864" spans="2:26">
      <c r="B864" s="579"/>
      <c r="C864" s="579"/>
      <c r="D864" s="579"/>
      <c r="E864" s="579"/>
      <c r="F864" s="579"/>
      <c r="G864" s="579"/>
      <c r="H864" s="579"/>
      <c r="I864" s="579"/>
      <c r="J864" s="579"/>
      <c r="K864" s="579"/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</row>
    <row r="865" spans="2:26">
      <c r="B865" s="579"/>
      <c r="C865" s="579"/>
      <c r="D865" s="579"/>
      <c r="E865" s="579"/>
      <c r="F865" s="579"/>
      <c r="G865" s="579"/>
      <c r="H865" s="579"/>
      <c r="I865" s="579"/>
      <c r="J865" s="579"/>
      <c r="K865" s="579"/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</row>
    <row r="866" spans="2:26">
      <c r="B866" s="579"/>
      <c r="C866" s="579"/>
      <c r="D866" s="579"/>
      <c r="E866" s="579"/>
      <c r="F866" s="579"/>
      <c r="G866" s="579"/>
      <c r="H866" s="579"/>
      <c r="I866" s="579"/>
      <c r="J866" s="579"/>
      <c r="K866" s="579"/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</row>
    <row r="867" spans="2:26">
      <c r="B867" s="579"/>
      <c r="C867" s="579"/>
      <c r="D867" s="579"/>
      <c r="E867" s="579"/>
      <c r="F867" s="579"/>
      <c r="G867" s="579"/>
      <c r="H867" s="579"/>
      <c r="I867" s="579"/>
      <c r="J867" s="579"/>
      <c r="K867" s="579"/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</row>
    <row r="868" spans="2:26">
      <c r="B868" s="579"/>
      <c r="C868" s="579"/>
      <c r="D868" s="579"/>
      <c r="E868" s="579"/>
      <c r="F868" s="579"/>
      <c r="G868" s="579"/>
      <c r="H868" s="579"/>
      <c r="I868" s="579"/>
      <c r="J868" s="579"/>
      <c r="K868" s="579"/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</row>
    <row r="869" spans="2:26">
      <c r="B869" s="579"/>
      <c r="C869" s="579"/>
      <c r="D869" s="579"/>
      <c r="E869" s="579"/>
      <c r="F869" s="579"/>
      <c r="G869" s="579"/>
      <c r="H869" s="579"/>
      <c r="I869" s="579"/>
      <c r="J869" s="579"/>
      <c r="K869" s="579"/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</row>
    <row r="870" spans="2:26">
      <c r="B870" s="579"/>
      <c r="C870" s="579"/>
      <c r="D870" s="579"/>
      <c r="E870" s="579"/>
      <c r="F870" s="579"/>
      <c r="G870" s="579"/>
      <c r="H870" s="579"/>
      <c r="I870" s="579"/>
      <c r="J870" s="579"/>
      <c r="K870" s="579"/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</row>
    <row r="871" spans="2:26">
      <c r="B871" s="579"/>
      <c r="C871" s="579"/>
      <c r="D871" s="579"/>
      <c r="E871" s="579"/>
      <c r="F871" s="579"/>
      <c r="G871" s="579"/>
      <c r="H871" s="579"/>
      <c r="I871" s="579"/>
      <c r="J871" s="579"/>
      <c r="K871" s="579"/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</row>
    <row r="872" spans="2:26">
      <c r="B872" s="579"/>
      <c r="C872" s="579"/>
      <c r="D872" s="579"/>
      <c r="E872" s="579"/>
      <c r="F872" s="579"/>
      <c r="G872" s="579"/>
      <c r="H872" s="579"/>
      <c r="I872" s="579"/>
      <c r="J872" s="579"/>
      <c r="K872" s="579"/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</row>
    <row r="873" spans="2:26">
      <c r="B873" s="579"/>
      <c r="C873" s="579"/>
      <c r="D873" s="579"/>
      <c r="E873" s="579"/>
      <c r="F873" s="579"/>
      <c r="G873" s="579"/>
      <c r="H873" s="579"/>
      <c r="I873" s="579"/>
      <c r="J873" s="579"/>
      <c r="K873" s="579"/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</row>
    <row r="874" spans="2:26">
      <c r="B874" s="579"/>
      <c r="C874" s="579"/>
      <c r="D874" s="579"/>
      <c r="E874" s="579"/>
      <c r="F874" s="579"/>
      <c r="G874" s="579"/>
      <c r="H874" s="579"/>
      <c r="I874" s="579"/>
      <c r="J874" s="579"/>
      <c r="K874" s="579"/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</row>
    <row r="875" spans="2:26">
      <c r="B875" s="579"/>
      <c r="C875" s="579"/>
      <c r="D875" s="579"/>
      <c r="E875" s="579"/>
      <c r="F875" s="579"/>
      <c r="G875" s="579"/>
      <c r="H875" s="579"/>
      <c r="I875" s="579"/>
      <c r="J875" s="579"/>
      <c r="K875" s="579"/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</row>
    <row r="876" spans="2:26">
      <c r="B876" s="579"/>
      <c r="C876" s="579"/>
      <c r="D876" s="579"/>
      <c r="E876" s="579"/>
      <c r="F876" s="579"/>
      <c r="G876" s="579"/>
      <c r="H876" s="579"/>
      <c r="I876" s="579"/>
      <c r="J876" s="579"/>
      <c r="K876" s="579"/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</row>
    <row r="877" spans="2:26">
      <c r="B877" s="579"/>
      <c r="C877" s="579"/>
      <c r="D877" s="579"/>
      <c r="E877" s="579"/>
      <c r="F877" s="579"/>
      <c r="G877" s="579"/>
      <c r="H877" s="579"/>
      <c r="I877" s="579"/>
      <c r="J877" s="579"/>
      <c r="K877" s="579"/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</row>
    <row r="878" spans="2:26">
      <c r="B878" s="579"/>
      <c r="C878" s="579"/>
      <c r="D878" s="579"/>
      <c r="E878" s="579"/>
      <c r="F878" s="579"/>
      <c r="G878" s="579"/>
      <c r="H878" s="579"/>
      <c r="I878" s="579"/>
      <c r="J878" s="579"/>
      <c r="K878" s="579"/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</row>
    <row r="879" spans="2:26">
      <c r="B879" s="579"/>
      <c r="C879" s="579"/>
      <c r="D879" s="579"/>
      <c r="E879" s="579"/>
      <c r="F879" s="579"/>
      <c r="G879" s="579"/>
      <c r="H879" s="579"/>
      <c r="I879" s="579"/>
      <c r="J879" s="579"/>
      <c r="K879" s="579"/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</row>
    <row r="880" spans="2:26">
      <c r="B880" s="579"/>
      <c r="C880" s="579"/>
      <c r="D880" s="579"/>
      <c r="E880" s="579"/>
      <c r="F880" s="579"/>
      <c r="G880" s="579"/>
      <c r="H880" s="579"/>
      <c r="I880" s="579"/>
      <c r="J880" s="579"/>
      <c r="K880" s="579"/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</row>
    <row r="881" spans="2:26">
      <c r="B881" s="579"/>
      <c r="C881" s="579"/>
      <c r="D881" s="579"/>
      <c r="E881" s="579"/>
      <c r="F881" s="579"/>
      <c r="G881" s="579"/>
      <c r="H881" s="579"/>
      <c r="I881" s="579"/>
      <c r="J881" s="579"/>
      <c r="K881" s="579"/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</row>
    <row r="882" spans="2:26">
      <c r="B882" s="579"/>
      <c r="C882" s="579"/>
      <c r="D882" s="579"/>
      <c r="E882" s="579"/>
      <c r="F882" s="579"/>
      <c r="G882" s="579"/>
      <c r="H882" s="579"/>
      <c r="I882" s="579"/>
      <c r="J882" s="579"/>
      <c r="K882" s="579"/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</row>
    <row r="883" spans="2:26">
      <c r="B883" s="579"/>
      <c r="C883" s="579"/>
      <c r="D883" s="579"/>
      <c r="E883" s="579"/>
      <c r="F883" s="579"/>
      <c r="G883" s="579"/>
      <c r="H883" s="579"/>
      <c r="I883" s="579"/>
      <c r="J883" s="579"/>
      <c r="K883" s="579"/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</row>
    <row r="884" spans="2:26">
      <c r="B884" s="579"/>
      <c r="C884" s="579"/>
      <c r="D884" s="579"/>
      <c r="E884" s="579"/>
      <c r="F884" s="579"/>
      <c r="G884" s="579"/>
      <c r="H884" s="579"/>
      <c r="I884" s="579"/>
      <c r="J884" s="579"/>
      <c r="K884" s="579"/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</row>
    <row r="885" spans="2:26">
      <c r="B885" s="579"/>
      <c r="C885" s="579"/>
      <c r="D885" s="579"/>
      <c r="E885" s="579"/>
      <c r="F885" s="579"/>
      <c r="G885" s="579"/>
      <c r="H885" s="579"/>
      <c r="I885" s="579"/>
      <c r="J885" s="579"/>
      <c r="K885" s="579"/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</row>
    <row r="886" spans="2:26">
      <c r="B886" s="579"/>
      <c r="C886" s="579"/>
      <c r="D886" s="579"/>
      <c r="E886" s="579"/>
      <c r="F886" s="579"/>
      <c r="G886" s="579"/>
      <c r="H886" s="579"/>
      <c r="I886" s="579"/>
      <c r="J886" s="579"/>
      <c r="K886" s="579"/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</row>
    <row r="887" spans="2:26"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</row>
    <row r="888" spans="2:26">
      <c r="B888" s="579"/>
      <c r="C888" s="579"/>
      <c r="D888" s="579"/>
      <c r="E888" s="579"/>
      <c r="F888" s="579"/>
      <c r="G888" s="579"/>
      <c r="H888" s="579"/>
      <c r="I888" s="579"/>
      <c r="J888" s="579"/>
      <c r="K888" s="579"/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</row>
    <row r="889" spans="2:26">
      <c r="B889" s="579"/>
      <c r="C889" s="579"/>
      <c r="D889" s="579"/>
      <c r="E889" s="579"/>
      <c r="F889" s="579"/>
      <c r="G889" s="579"/>
      <c r="H889" s="579"/>
      <c r="I889" s="579"/>
      <c r="J889" s="579"/>
      <c r="K889" s="579"/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</row>
    <row r="890" spans="2:26">
      <c r="B890" s="579"/>
      <c r="C890" s="579"/>
      <c r="D890" s="579"/>
      <c r="E890" s="579"/>
      <c r="F890" s="579"/>
      <c r="G890" s="579"/>
      <c r="H890" s="579"/>
      <c r="I890" s="579"/>
      <c r="J890" s="579"/>
      <c r="K890" s="579"/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</row>
    <row r="891" spans="2:26">
      <c r="B891" s="579"/>
      <c r="C891" s="579"/>
      <c r="D891" s="579"/>
      <c r="E891" s="579"/>
      <c r="F891" s="579"/>
      <c r="G891" s="579"/>
      <c r="H891" s="579"/>
      <c r="I891" s="579"/>
      <c r="J891" s="579"/>
      <c r="K891" s="579"/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</row>
    <row r="892" spans="2:26">
      <c r="B892" s="579"/>
      <c r="C892" s="579"/>
      <c r="D892" s="579"/>
      <c r="E892" s="579"/>
      <c r="F892" s="579"/>
      <c r="G892" s="579"/>
      <c r="H892" s="579"/>
      <c r="I892" s="579"/>
      <c r="J892" s="579"/>
      <c r="K892" s="579"/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</row>
    <row r="893" spans="2:26">
      <c r="B893" s="579"/>
      <c r="C893" s="579"/>
      <c r="D893" s="579"/>
      <c r="E893" s="579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</row>
    <row r="894" spans="2:26"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</row>
    <row r="895" spans="2:26">
      <c r="B895" s="579"/>
      <c r="C895" s="579"/>
      <c r="D895" s="579"/>
      <c r="E895" s="579"/>
      <c r="F895" s="579"/>
      <c r="G895" s="579"/>
      <c r="H895" s="579"/>
      <c r="I895" s="579"/>
      <c r="J895" s="579"/>
      <c r="K895" s="579"/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</row>
    <row r="896" spans="2:26">
      <c r="B896" s="579"/>
      <c r="C896" s="579"/>
      <c r="D896" s="579"/>
      <c r="E896" s="579"/>
      <c r="F896" s="579"/>
      <c r="G896" s="579"/>
      <c r="H896" s="579"/>
      <c r="I896" s="579"/>
      <c r="J896" s="579"/>
      <c r="K896" s="579"/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</row>
    <row r="897" spans="2:26">
      <c r="B897" s="579"/>
      <c r="C897" s="579"/>
      <c r="D897" s="579"/>
      <c r="E897" s="579"/>
      <c r="F897" s="579"/>
      <c r="G897" s="579"/>
      <c r="H897" s="579"/>
      <c r="I897" s="579"/>
      <c r="J897" s="579"/>
      <c r="K897" s="579"/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</row>
    <row r="898" spans="2:26"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</row>
    <row r="899" spans="2:26">
      <c r="B899" s="579"/>
      <c r="C899" s="579"/>
      <c r="D899" s="579"/>
      <c r="E899" s="579"/>
      <c r="F899" s="579"/>
      <c r="G899" s="579"/>
      <c r="H899" s="579"/>
      <c r="I899" s="579"/>
      <c r="J899" s="579"/>
      <c r="K899" s="579"/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</row>
    <row r="900" spans="2:26"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</row>
    <row r="901" spans="2:26">
      <c r="B901" s="579"/>
      <c r="C901" s="579"/>
      <c r="D901" s="579"/>
      <c r="E901" s="579"/>
      <c r="F901" s="579"/>
      <c r="G901" s="579"/>
      <c r="H901" s="579"/>
      <c r="I901" s="579"/>
      <c r="J901" s="579"/>
      <c r="K901" s="579"/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</row>
    <row r="902" spans="2:26">
      <c r="B902" s="579"/>
      <c r="C902" s="579"/>
      <c r="D902" s="579"/>
      <c r="E902" s="579"/>
      <c r="F902" s="579"/>
      <c r="G902" s="579"/>
      <c r="H902" s="579"/>
      <c r="I902" s="579"/>
      <c r="J902" s="579"/>
      <c r="K902" s="579"/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</row>
    <row r="903" spans="2:26">
      <c r="B903" s="579"/>
      <c r="C903" s="579"/>
      <c r="D903" s="579"/>
      <c r="E903" s="579"/>
      <c r="F903" s="579"/>
      <c r="G903" s="579"/>
      <c r="H903" s="579"/>
      <c r="I903" s="579"/>
      <c r="J903" s="579"/>
      <c r="K903" s="579"/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</row>
    <row r="904" spans="2:26">
      <c r="B904" s="579"/>
      <c r="C904" s="579"/>
      <c r="D904" s="579"/>
      <c r="E904" s="579"/>
      <c r="F904" s="579"/>
      <c r="G904" s="579"/>
      <c r="H904" s="579"/>
      <c r="I904" s="579"/>
      <c r="J904" s="579"/>
      <c r="K904" s="579"/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</row>
    <row r="905" spans="2:26">
      <c r="B905" s="579"/>
      <c r="C905" s="579"/>
      <c r="D905" s="579"/>
      <c r="E905" s="579"/>
      <c r="F905" s="579"/>
      <c r="G905" s="579"/>
      <c r="H905" s="579"/>
      <c r="I905" s="579"/>
      <c r="J905" s="579"/>
      <c r="K905" s="579"/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</row>
    <row r="906" spans="2:26">
      <c r="B906" s="579"/>
      <c r="C906" s="579"/>
      <c r="D906" s="579"/>
      <c r="E906" s="579"/>
      <c r="F906" s="579"/>
      <c r="G906" s="579"/>
      <c r="H906" s="579"/>
      <c r="I906" s="579"/>
      <c r="J906" s="579"/>
      <c r="K906" s="579"/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</row>
    <row r="907" spans="2:26">
      <c r="B907" s="579"/>
      <c r="C907" s="579"/>
      <c r="D907" s="579"/>
      <c r="E907" s="579"/>
      <c r="F907" s="579"/>
      <c r="G907" s="579"/>
      <c r="H907" s="579"/>
      <c r="I907" s="579"/>
      <c r="J907" s="579"/>
      <c r="K907" s="579"/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</row>
    <row r="908" spans="2:26">
      <c r="B908" s="579"/>
      <c r="C908" s="579"/>
      <c r="D908" s="579"/>
      <c r="E908" s="579"/>
      <c r="F908" s="579"/>
      <c r="G908" s="579"/>
      <c r="H908" s="579"/>
      <c r="I908" s="579"/>
      <c r="J908" s="579"/>
      <c r="K908" s="579"/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</row>
    <row r="909" spans="2:26">
      <c r="B909" s="579"/>
      <c r="C909" s="579"/>
      <c r="D909" s="579"/>
      <c r="E909" s="579"/>
      <c r="F909" s="579"/>
      <c r="G909" s="579"/>
      <c r="H909" s="579"/>
      <c r="I909" s="579"/>
      <c r="J909" s="579"/>
      <c r="K909" s="579"/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</row>
    <row r="910" spans="2:26">
      <c r="B910" s="579"/>
      <c r="C910" s="579"/>
      <c r="D910" s="579"/>
      <c r="E910" s="579"/>
      <c r="F910" s="579"/>
      <c r="G910" s="579"/>
      <c r="H910" s="579"/>
      <c r="I910" s="579"/>
      <c r="J910" s="579"/>
      <c r="K910" s="579"/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</row>
    <row r="911" spans="2:26">
      <c r="B911" s="579"/>
      <c r="C911" s="579"/>
      <c r="D911" s="579"/>
      <c r="E911" s="579"/>
      <c r="F911" s="579"/>
      <c r="G911" s="579"/>
      <c r="H911" s="579"/>
      <c r="I911" s="579"/>
      <c r="J911" s="579"/>
      <c r="K911" s="579"/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</row>
    <row r="912" spans="2:26">
      <c r="B912" s="579"/>
      <c r="C912" s="579"/>
      <c r="D912" s="579"/>
      <c r="E912" s="579"/>
      <c r="F912" s="579"/>
      <c r="G912" s="579"/>
      <c r="H912" s="579"/>
      <c r="I912" s="579"/>
      <c r="J912" s="579"/>
      <c r="K912" s="579"/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</row>
    <row r="913" spans="2:26">
      <c r="B913" s="579"/>
      <c r="C913" s="579"/>
      <c r="D913" s="579"/>
      <c r="E913" s="579"/>
      <c r="F913" s="579"/>
      <c r="G913" s="579"/>
      <c r="H913" s="579"/>
      <c r="I913" s="579"/>
      <c r="J913" s="579"/>
      <c r="K913" s="579"/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</row>
    <row r="914" spans="2:26">
      <c r="B914" s="579"/>
      <c r="C914" s="579"/>
      <c r="D914" s="579"/>
      <c r="E914" s="579"/>
      <c r="F914" s="579"/>
      <c r="G914" s="579"/>
      <c r="H914" s="579"/>
      <c r="I914" s="579"/>
      <c r="J914" s="579"/>
      <c r="K914" s="579"/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</row>
    <row r="915" spans="2:26">
      <c r="B915" s="579"/>
      <c r="C915" s="579"/>
      <c r="D915" s="579"/>
      <c r="E915" s="579"/>
      <c r="F915" s="579"/>
      <c r="G915" s="579"/>
      <c r="H915" s="579"/>
      <c r="I915" s="579"/>
      <c r="J915" s="579"/>
      <c r="K915" s="579"/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</row>
    <row r="916" spans="2:26">
      <c r="B916" s="579"/>
      <c r="C916" s="579"/>
      <c r="D916" s="579"/>
      <c r="E916" s="579"/>
      <c r="F916" s="579"/>
      <c r="G916" s="579"/>
      <c r="H916" s="579"/>
      <c r="I916" s="579"/>
      <c r="J916" s="579"/>
      <c r="K916" s="579"/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</row>
    <row r="917" spans="2:26">
      <c r="B917" s="579"/>
      <c r="C917" s="579"/>
      <c r="D917" s="579"/>
      <c r="E917" s="579"/>
      <c r="F917" s="579"/>
      <c r="G917" s="579"/>
      <c r="H917" s="579"/>
      <c r="I917" s="579"/>
      <c r="J917" s="579"/>
      <c r="K917" s="579"/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</row>
    <row r="918" spans="2:26">
      <c r="B918" s="579"/>
      <c r="C918" s="579"/>
      <c r="D918" s="579"/>
      <c r="E918" s="579"/>
      <c r="F918" s="579"/>
      <c r="G918" s="579"/>
      <c r="H918" s="579"/>
      <c r="I918" s="579"/>
      <c r="J918" s="579"/>
      <c r="K918" s="579"/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</row>
    <row r="919" spans="2:26">
      <c r="B919" s="579"/>
      <c r="C919" s="579"/>
      <c r="D919" s="579"/>
      <c r="E919" s="579"/>
      <c r="F919" s="579"/>
      <c r="G919" s="579"/>
      <c r="H919" s="579"/>
      <c r="I919" s="579"/>
      <c r="J919" s="579"/>
      <c r="K919" s="579"/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</row>
    <row r="920" spans="2:26">
      <c r="B920" s="579"/>
      <c r="C920" s="579"/>
      <c r="D920" s="579"/>
      <c r="E920" s="579"/>
      <c r="F920" s="579"/>
      <c r="G920" s="579"/>
      <c r="H920" s="579"/>
      <c r="I920" s="579"/>
      <c r="J920" s="579"/>
      <c r="K920" s="579"/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</row>
    <row r="921" spans="2:26">
      <c r="B921" s="579"/>
      <c r="C921" s="579"/>
      <c r="D921" s="579"/>
      <c r="E921" s="579"/>
      <c r="F921" s="579"/>
      <c r="G921" s="579"/>
      <c r="H921" s="579"/>
      <c r="I921" s="579"/>
      <c r="J921" s="579"/>
      <c r="K921" s="579"/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</row>
    <row r="922" spans="2:26">
      <c r="B922" s="579"/>
      <c r="C922" s="579"/>
      <c r="D922" s="579"/>
      <c r="E922" s="579"/>
      <c r="F922" s="579"/>
      <c r="G922" s="579"/>
      <c r="H922" s="579"/>
      <c r="I922" s="579"/>
      <c r="J922" s="579"/>
      <c r="K922" s="579"/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</row>
    <row r="923" spans="2:26">
      <c r="B923" s="579"/>
      <c r="C923" s="579"/>
      <c r="D923" s="579"/>
      <c r="E923" s="579"/>
      <c r="F923" s="579"/>
      <c r="G923" s="579"/>
      <c r="H923" s="579"/>
      <c r="I923" s="579"/>
      <c r="J923" s="579"/>
      <c r="K923" s="579"/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</row>
    <row r="924" spans="2:26">
      <c r="B924" s="579"/>
      <c r="C924" s="579"/>
      <c r="D924" s="579"/>
      <c r="E924" s="579"/>
      <c r="F924" s="579"/>
      <c r="G924" s="579"/>
      <c r="H924" s="579"/>
      <c r="I924" s="579"/>
      <c r="J924" s="579"/>
      <c r="K924" s="579"/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</row>
    <row r="925" spans="2:26">
      <c r="B925" s="579"/>
      <c r="C925" s="579"/>
      <c r="D925" s="579"/>
      <c r="E925" s="579"/>
      <c r="F925" s="579"/>
      <c r="G925" s="579"/>
      <c r="H925" s="579"/>
      <c r="I925" s="579"/>
      <c r="J925" s="579"/>
      <c r="K925" s="579"/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</row>
    <row r="926" spans="2:26">
      <c r="B926" s="579"/>
      <c r="C926" s="579"/>
      <c r="D926" s="579"/>
      <c r="E926" s="579"/>
      <c r="F926" s="579"/>
      <c r="G926" s="579"/>
      <c r="H926" s="579"/>
      <c r="I926" s="579"/>
      <c r="J926" s="579"/>
      <c r="K926" s="579"/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</row>
    <row r="927" spans="2:26">
      <c r="B927" s="579"/>
      <c r="C927" s="579"/>
      <c r="D927" s="579"/>
      <c r="E927" s="579"/>
      <c r="F927" s="579"/>
      <c r="G927" s="579"/>
      <c r="H927" s="579"/>
      <c r="I927" s="579"/>
      <c r="J927" s="579"/>
      <c r="K927" s="579"/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</row>
    <row r="928" spans="2:26">
      <c r="B928" s="579"/>
      <c r="C928" s="579"/>
      <c r="D928" s="579"/>
      <c r="E928" s="579"/>
      <c r="F928" s="579"/>
      <c r="G928" s="579"/>
      <c r="H928" s="579"/>
      <c r="I928" s="579"/>
      <c r="J928" s="579"/>
      <c r="K928" s="579"/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</row>
    <row r="929" spans="2:26">
      <c r="B929" s="579"/>
      <c r="C929" s="579"/>
      <c r="D929" s="579"/>
      <c r="E929" s="579"/>
      <c r="F929" s="579"/>
      <c r="G929" s="579"/>
      <c r="H929" s="579"/>
      <c r="I929" s="579"/>
      <c r="J929" s="579"/>
      <c r="K929" s="579"/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</row>
    <row r="930" spans="2:26">
      <c r="B930" s="579"/>
      <c r="C930" s="579"/>
      <c r="D930" s="579"/>
      <c r="E930" s="579"/>
      <c r="F930" s="579"/>
      <c r="G930" s="579"/>
      <c r="H930" s="579"/>
      <c r="I930" s="579"/>
      <c r="J930" s="579"/>
      <c r="K930" s="579"/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</row>
    <row r="931" spans="2:26">
      <c r="B931" s="579"/>
      <c r="C931" s="579"/>
      <c r="D931" s="579"/>
      <c r="E931" s="579"/>
      <c r="F931" s="579"/>
      <c r="G931" s="579"/>
      <c r="H931" s="579"/>
      <c r="I931" s="579"/>
      <c r="J931" s="579"/>
      <c r="K931" s="579"/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</row>
    <row r="932" spans="2:26">
      <c r="B932" s="579"/>
      <c r="C932" s="579"/>
      <c r="D932" s="579"/>
      <c r="E932" s="579"/>
      <c r="F932" s="579"/>
      <c r="G932" s="579"/>
      <c r="H932" s="579"/>
      <c r="I932" s="579"/>
      <c r="J932" s="579"/>
      <c r="K932" s="579"/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</row>
    <row r="933" spans="2:26">
      <c r="B933" s="579"/>
      <c r="C933" s="579"/>
      <c r="D933" s="579"/>
      <c r="E933" s="579"/>
      <c r="F933" s="579"/>
      <c r="G933" s="579"/>
      <c r="H933" s="579"/>
      <c r="I933" s="579"/>
      <c r="J933" s="579"/>
      <c r="K933" s="579"/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</row>
    <row r="934" spans="2:26">
      <c r="B934" s="579"/>
      <c r="C934" s="579"/>
      <c r="D934" s="579"/>
      <c r="E934" s="579"/>
      <c r="F934" s="579"/>
      <c r="G934" s="579"/>
      <c r="H934" s="579"/>
      <c r="I934" s="579"/>
      <c r="J934" s="579"/>
      <c r="K934" s="579"/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</row>
    <row r="935" spans="2:26">
      <c r="B935" s="579"/>
      <c r="C935" s="579"/>
      <c r="D935" s="579"/>
      <c r="E935" s="579"/>
      <c r="F935" s="579"/>
      <c r="G935" s="579"/>
      <c r="H935" s="579"/>
      <c r="I935" s="579"/>
      <c r="J935" s="579"/>
      <c r="K935" s="579"/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</row>
    <row r="936" spans="2:26">
      <c r="B936" s="579"/>
      <c r="C936" s="579"/>
      <c r="D936" s="579"/>
      <c r="E936" s="579"/>
      <c r="F936" s="579"/>
      <c r="G936" s="579"/>
      <c r="H936" s="579"/>
      <c r="I936" s="579"/>
      <c r="J936" s="579"/>
      <c r="K936" s="579"/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</row>
    <row r="937" spans="2:26">
      <c r="B937" s="579"/>
      <c r="C937" s="579"/>
      <c r="D937" s="579"/>
      <c r="E937" s="579"/>
      <c r="F937" s="579"/>
      <c r="G937" s="579"/>
      <c r="H937" s="579"/>
      <c r="I937" s="579"/>
      <c r="J937" s="579"/>
      <c r="K937" s="579"/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</row>
    <row r="938" spans="2:26">
      <c r="B938" s="579"/>
      <c r="C938" s="579"/>
      <c r="D938" s="579"/>
      <c r="E938" s="579"/>
      <c r="F938" s="579"/>
      <c r="G938" s="579"/>
      <c r="H938" s="579"/>
      <c r="I938" s="579"/>
      <c r="J938" s="579"/>
      <c r="K938" s="579"/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</row>
    <row r="939" spans="2:26">
      <c r="B939" s="579"/>
      <c r="C939" s="579"/>
      <c r="D939" s="579"/>
      <c r="E939" s="579"/>
      <c r="F939" s="579"/>
      <c r="G939" s="579"/>
      <c r="H939" s="579"/>
      <c r="I939" s="579"/>
      <c r="J939" s="579"/>
      <c r="K939" s="579"/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</row>
    <row r="940" spans="2:26">
      <c r="B940" s="579"/>
      <c r="C940" s="579"/>
      <c r="D940" s="579"/>
      <c r="E940" s="579"/>
      <c r="F940" s="579"/>
      <c r="G940" s="579"/>
      <c r="H940" s="579"/>
      <c r="I940" s="579"/>
      <c r="J940" s="579"/>
      <c r="K940" s="579"/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</row>
    <row r="941" spans="2:26">
      <c r="B941" s="579"/>
      <c r="C941" s="579"/>
      <c r="D941" s="579"/>
      <c r="E941" s="579"/>
      <c r="F941" s="579"/>
      <c r="G941" s="579"/>
      <c r="H941" s="579"/>
      <c r="I941" s="579"/>
      <c r="J941" s="579"/>
      <c r="K941" s="579"/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</row>
    <row r="942" spans="2:26">
      <c r="B942" s="579"/>
      <c r="C942" s="579"/>
      <c r="D942" s="579"/>
      <c r="E942" s="579"/>
      <c r="F942" s="579"/>
      <c r="G942" s="579"/>
      <c r="H942" s="579"/>
      <c r="I942" s="579"/>
      <c r="J942" s="579"/>
      <c r="K942" s="579"/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</row>
    <row r="943" spans="2:26">
      <c r="B943" s="579"/>
      <c r="C943" s="579"/>
      <c r="D943" s="579"/>
      <c r="E943" s="579"/>
      <c r="F943" s="579"/>
      <c r="G943" s="579"/>
      <c r="H943" s="579"/>
      <c r="I943" s="579"/>
      <c r="J943" s="579"/>
      <c r="K943" s="579"/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</row>
    <row r="944" spans="2:26">
      <c r="B944" s="579"/>
      <c r="C944" s="579"/>
      <c r="D944" s="579"/>
      <c r="E944" s="579"/>
      <c r="F944" s="579"/>
      <c r="G944" s="579"/>
      <c r="H944" s="579"/>
      <c r="I944" s="579"/>
      <c r="J944" s="579"/>
      <c r="K944" s="579"/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</row>
    <row r="945" spans="2:26">
      <c r="B945" s="579"/>
      <c r="C945" s="579"/>
      <c r="D945" s="579"/>
      <c r="E945" s="579"/>
      <c r="F945" s="579"/>
      <c r="G945" s="579"/>
      <c r="H945" s="579"/>
      <c r="I945" s="579"/>
      <c r="J945" s="579"/>
      <c r="K945" s="579"/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</row>
    <row r="946" spans="2:26">
      <c r="B946" s="579"/>
      <c r="C946" s="579"/>
      <c r="D946" s="579"/>
      <c r="E946" s="579"/>
      <c r="F946" s="579"/>
      <c r="G946" s="579"/>
      <c r="H946" s="579"/>
      <c r="I946" s="579"/>
      <c r="J946" s="579"/>
      <c r="K946" s="579"/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</row>
    <row r="947" spans="2:26">
      <c r="B947" s="579"/>
      <c r="C947" s="579"/>
      <c r="D947" s="579"/>
      <c r="E947" s="579"/>
      <c r="F947" s="579"/>
      <c r="G947" s="579"/>
      <c r="H947" s="579"/>
      <c r="I947" s="579"/>
      <c r="J947" s="579"/>
      <c r="K947" s="579"/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</row>
    <row r="948" spans="2:26">
      <c r="B948" s="579"/>
      <c r="C948" s="579"/>
      <c r="D948" s="579"/>
      <c r="E948" s="579"/>
      <c r="F948" s="579"/>
      <c r="G948" s="579"/>
      <c r="H948" s="579"/>
      <c r="I948" s="579"/>
      <c r="J948" s="579"/>
      <c r="K948" s="579"/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</row>
    <row r="949" spans="2:26">
      <c r="B949" s="579"/>
      <c r="C949" s="579"/>
      <c r="D949" s="579"/>
      <c r="E949" s="579"/>
      <c r="F949" s="579"/>
      <c r="G949" s="579"/>
      <c r="H949" s="579"/>
      <c r="I949" s="579"/>
      <c r="J949" s="579"/>
      <c r="K949" s="579"/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</row>
    <row r="950" spans="2:26">
      <c r="B950" s="579"/>
      <c r="C950" s="579"/>
      <c r="D950" s="579"/>
      <c r="E950" s="579"/>
      <c r="F950" s="579"/>
      <c r="G950" s="579"/>
      <c r="H950" s="579"/>
      <c r="I950" s="579"/>
      <c r="J950" s="579"/>
      <c r="K950" s="579"/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</row>
    <row r="951" spans="2:26">
      <c r="B951" s="579"/>
      <c r="C951" s="579"/>
      <c r="D951" s="579"/>
      <c r="E951" s="579"/>
      <c r="F951" s="579"/>
      <c r="G951" s="579"/>
      <c r="H951" s="579"/>
      <c r="I951" s="579"/>
      <c r="J951" s="579"/>
      <c r="K951" s="579"/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</row>
    <row r="952" spans="2:26">
      <c r="B952" s="579"/>
      <c r="C952" s="579"/>
      <c r="D952" s="579"/>
      <c r="E952" s="579"/>
      <c r="F952" s="579"/>
      <c r="G952" s="579"/>
      <c r="H952" s="579"/>
      <c r="I952" s="579"/>
      <c r="J952" s="579"/>
      <c r="K952" s="579"/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</row>
    <row r="953" spans="2:26">
      <c r="B953" s="579"/>
      <c r="C953" s="579"/>
      <c r="D953" s="579"/>
      <c r="E953" s="579"/>
      <c r="F953" s="579"/>
      <c r="G953" s="579"/>
      <c r="H953" s="579"/>
      <c r="I953" s="579"/>
      <c r="J953" s="579"/>
      <c r="K953" s="579"/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</row>
    <row r="954" spans="2:26">
      <c r="B954" s="579"/>
      <c r="C954" s="579"/>
      <c r="D954" s="579"/>
      <c r="E954" s="579"/>
      <c r="F954" s="579"/>
      <c r="G954" s="579"/>
      <c r="H954" s="579"/>
      <c r="I954" s="579"/>
      <c r="J954" s="579"/>
      <c r="K954" s="579"/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</row>
    <row r="955" spans="2:26">
      <c r="B955" s="579"/>
      <c r="C955" s="579"/>
      <c r="D955" s="579"/>
      <c r="E955" s="579"/>
      <c r="F955" s="579"/>
      <c r="G955" s="579"/>
      <c r="H955" s="579"/>
      <c r="I955" s="579"/>
      <c r="J955" s="579"/>
      <c r="K955" s="579"/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</row>
    <row r="956" spans="2:26">
      <c r="B956" s="579"/>
      <c r="C956" s="579"/>
      <c r="D956" s="579"/>
      <c r="E956" s="579"/>
      <c r="F956" s="579"/>
      <c r="G956" s="579"/>
      <c r="H956" s="579"/>
      <c r="I956" s="579"/>
      <c r="J956" s="579"/>
      <c r="K956" s="579"/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</row>
    <row r="957" spans="2:26">
      <c r="B957" s="579"/>
      <c r="C957" s="579"/>
      <c r="D957" s="579"/>
      <c r="E957" s="579"/>
      <c r="F957" s="579"/>
      <c r="G957" s="579"/>
      <c r="H957" s="579"/>
      <c r="I957" s="579"/>
      <c r="J957" s="579"/>
      <c r="K957" s="579"/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</row>
    <row r="958" spans="2:26">
      <c r="B958" s="579"/>
      <c r="C958" s="579"/>
      <c r="D958" s="579"/>
      <c r="E958" s="579"/>
      <c r="F958" s="579"/>
      <c r="G958" s="579"/>
      <c r="H958" s="579"/>
      <c r="I958" s="579"/>
      <c r="J958" s="579"/>
      <c r="K958" s="579"/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</row>
    <row r="959" spans="2:26">
      <c r="B959" s="579"/>
      <c r="C959" s="579"/>
      <c r="D959" s="579"/>
      <c r="E959" s="579"/>
      <c r="F959" s="579"/>
      <c r="G959" s="579"/>
      <c r="H959" s="579"/>
      <c r="I959" s="579"/>
      <c r="J959" s="579"/>
      <c r="K959" s="579"/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</row>
    <row r="960" spans="2:26">
      <c r="B960" s="579"/>
      <c r="C960" s="579"/>
      <c r="D960" s="579"/>
      <c r="E960" s="579"/>
      <c r="F960" s="579"/>
      <c r="G960" s="579"/>
      <c r="H960" s="579"/>
      <c r="I960" s="579"/>
      <c r="J960" s="579"/>
      <c r="K960" s="579"/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</row>
    <row r="961" spans="2:26">
      <c r="B961" s="579"/>
      <c r="C961" s="579"/>
      <c r="D961" s="579"/>
      <c r="E961" s="579"/>
      <c r="F961" s="579"/>
      <c r="G961" s="579"/>
      <c r="H961" s="579"/>
      <c r="I961" s="579"/>
      <c r="J961" s="579"/>
      <c r="K961" s="579"/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</row>
    <row r="962" spans="2:26">
      <c r="B962" s="579"/>
      <c r="C962" s="579"/>
      <c r="D962" s="579"/>
      <c r="E962" s="579"/>
      <c r="F962" s="579"/>
      <c r="G962" s="579"/>
      <c r="H962" s="579"/>
      <c r="I962" s="579"/>
      <c r="J962" s="579"/>
      <c r="K962" s="579"/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</row>
    <row r="963" spans="2:26">
      <c r="B963" s="579"/>
      <c r="C963" s="579"/>
      <c r="D963" s="579"/>
      <c r="E963" s="579"/>
      <c r="F963" s="579"/>
      <c r="G963" s="579"/>
      <c r="H963" s="579"/>
      <c r="I963" s="579"/>
      <c r="J963" s="579"/>
      <c r="K963" s="579"/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</row>
    <row r="964" spans="2:26">
      <c r="B964" s="579"/>
      <c r="C964" s="579"/>
      <c r="D964" s="579"/>
      <c r="E964" s="579"/>
      <c r="F964" s="579"/>
      <c r="G964" s="579"/>
      <c r="H964" s="579"/>
      <c r="I964" s="579"/>
      <c r="J964" s="579"/>
      <c r="K964" s="579"/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</row>
    <row r="965" spans="2:26">
      <c r="B965" s="579"/>
      <c r="C965" s="579"/>
      <c r="D965" s="579"/>
      <c r="E965" s="579"/>
      <c r="F965" s="579"/>
      <c r="G965" s="579"/>
      <c r="H965" s="579"/>
      <c r="I965" s="579"/>
      <c r="J965" s="579"/>
      <c r="K965" s="579"/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</row>
    <row r="966" spans="2:26">
      <c r="B966" s="579"/>
      <c r="C966" s="579"/>
      <c r="D966" s="579"/>
      <c r="E966" s="579"/>
      <c r="F966" s="579"/>
      <c r="G966" s="579"/>
      <c r="H966" s="579"/>
      <c r="I966" s="579"/>
      <c r="J966" s="579"/>
      <c r="K966" s="579"/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</row>
    <row r="967" spans="2:26">
      <c r="B967" s="579"/>
      <c r="C967" s="579"/>
      <c r="D967" s="579"/>
      <c r="E967" s="579"/>
      <c r="F967" s="579"/>
      <c r="G967" s="579"/>
      <c r="H967" s="579"/>
      <c r="I967" s="579"/>
      <c r="J967" s="579"/>
      <c r="K967" s="579"/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</row>
    <row r="968" spans="2:26">
      <c r="B968" s="579"/>
      <c r="C968" s="579"/>
      <c r="D968" s="579"/>
      <c r="E968" s="579"/>
      <c r="F968" s="579"/>
      <c r="G968" s="579"/>
      <c r="H968" s="579"/>
      <c r="I968" s="579"/>
      <c r="J968" s="579"/>
      <c r="K968" s="579"/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</row>
    <row r="969" spans="2:26">
      <c r="B969" s="579"/>
      <c r="C969" s="579"/>
      <c r="D969" s="579"/>
      <c r="E969" s="579"/>
      <c r="F969" s="579"/>
      <c r="G969" s="579"/>
      <c r="H969" s="579"/>
      <c r="I969" s="579"/>
      <c r="J969" s="579"/>
      <c r="K969" s="579"/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</row>
    <row r="970" spans="2:26">
      <c r="B970" s="579"/>
      <c r="C970" s="579"/>
      <c r="D970" s="579"/>
      <c r="E970" s="579"/>
      <c r="F970" s="579"/>
      <c r="G970" s="579"/>
      <c r="H970" s="579"/>
      <c r="I970" s="579"/>
      <c r="J970" s="579"/>
      <c r="K970" s="579"/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</row>
    <row r="971" spans="2:26">
      <c r="B971" s="579"/>
      <c r="C971" s="579"/>
      <c r="D971" s="579"/>
      <c r="E971" s="579"/>
      <c r="F971" s="579"/>
      <c r="G971" s="579"/>
      <c r="H971" s="579"/>
      <c r="I971" s="579"/>
      <c r="J971" s="579"/>
      <c r="K971" s="579"/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</row>
    <row r="972" spans="2:26">
      <c r="B972" s="579"/>
      <c r="C972" s="579"/>
      <c r="D972" s="579"/>
      <c r="E972" s="579"/>
      <c r="F972" s="579"/>
      <c r="G972" s="579"/>
      <c r="H972" s="579"/>
      <c r="I972" s="579"/>
      <c r="J972" s="579"/>
      <c r="K972" s="579"/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</row>
    <row r="973" spans="2:26">
      <c r="B973" s="579"/>
      <c r="C973" s="579"/>
      <c r="D973" s="579"/>
      <c r="E973" s="579"/>
      <c r="F973" s="579"/>
      <c r="G973" s="579"/>
      <c r="H973" s="579"/>
      <c r="I973" s="579"/>
      <c r="J973" s="579"/>
      <c r="K973" s="579"/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</row>
    <row r="974" spans="2:26">
      <c r="B974" s="579"/>
      <c r="C974" s="579"/>
      <c r="D974" s="579"/>
      <c r="E974" s="579"/>
      <c r="F974" s="579"/>
      <c r="G974" s="579"/>
      <c r="H974" s="579"/>
      <c r="I974" s="579"/>
      <c r="J974" s="579"/>
      <c r="K974" s="579"/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</row>
    <row r="975" spans="2:26">
      <c r="B975" s="579"/>
      <c r="C975" s="579"/>
      <c r="D975" s="579"/>
      <c r="E975" s="579"/>
      <c r="F975" s="579"/>
      <c r="G975" s="579"/>
      <c r="H975" s="579"/>
      <c r="I975" s="579"/>
      <c r="J975" s="579"/>
      <c r="K975" s="579"/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</row>
    <row r="976" spans="2:26">
      <c r="B976" s="579"/>
      <c r="C976" s="579"/>
      <c r="D976" s="579"/>
      <c r="E976" s="579"/>
      <c r="F976" s="579"/>
      <c r="G976" s="579"/>
      <c r="H976" s="579"/>
      <c r="I976" s="579"/>
      <c r="J976" s="579"/>
      <c r="K976" s="579"/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</row>
    <row r="977" spans="2:26">
      <c r="B977" s="579"/>
      <c r="C977" s="579"/>
      <c r="D977" s="579"/>
      <c r="E977" s="579"/>
      <c r="F977" s="579"/>
      <c r="G977" s="579"/>
      <c r="H977" s="579"/>
      <c r="I977" s="579"/>
      <c r="J977" s="579"/>
      <c r="K977" s="579"/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</row>
    <row r="978" spans="2:26">
      <c r="B978" s="579"/>
      <c r="C978" s="579"/>
      <c r="D978" s="579"/>
      <c r="E978" s="579"/>
      <c r="F978" s="579"/>
      <c r="G978" s="579"/>
      <c r="H978" s="579"/>
      <c r="I978" s="579"/>
      <c r="J978" s="579"/>
      <c r="K978" s="579"/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</row>
    <row r="979" spans="2:26">
      <c r="B979" s="579"/>
      <c r="C979" s="579"/>
      <c r="D979" s="579"/>
      <c r="E979" s="579"/>
      <c r="F979" s="579"/>
      <c r="G979" s="579"/>
      <c r="H979" s="579"/>
      <c r="I979" s="579"/>
      <c r="J979" s="579"/>
      <c r="K979" s="579"/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</row>
    <row r="980" spans="2:26">
      <c r="B980" s="579"/>
      <c r="C980" s="579"/>
      <c r="D980" s="579"/>
      <c r="E980" s="579"/>
      <c r="F980" s="579"/>
      <c r="G980" s="579"/>
      <c r="H980" s="579"/>
      <c r="I980" s="579"/>
      <c r="J980" s="579"/>
      <c r="K980" s="579"/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</row>
    <row r="981" spans="2:26">
      <c r="B981" s="579"/>
      <c r="C981" s="579"/>
      <c r="D981" s="579"/>
      <c r="E981" s="579"/>
      <c r="F981" s="579"/>
      <c r="G981" s="579"/>
      <c r="H981" s="579"/>
      <c r="I981" s="579"/>
      <c r="J981" s="579"/>
      <c r="K981" s="579"/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</row>
    <row r="982" spans="2:26">
      <c r="B982" s="579"/>
      <c r="C982" s="579"/>
      <c r="D982" s="579"/>
      <c r="E982" s="579"/>
      <c r="F982" s="579"/>
      <c r="G982" s="579"/>
      <c r="H982" s="579"/>
      <c r="I982" s="579"/>
      <c r="J982" s="579"/>
      <c r="K982" s="579"/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</row>
    <row r="983" spans="2:26">
      <c r="B983" s="579"/>
      <c r="C983" s="579"/>
      <c r="D983" s="579"/>
      <c r="E983" s="579"/>
      <c r="F983" s="579"/>
      <c r="G983" s="579"/>
      <c r="H983" s="579"/>
      <c r="I983" s="579"/>
      <c r="J983" s="579"/>
      <c r="K983" s="579"/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</row>
    <row r="984" spans="2:26">
      <c r="B984" s="579"/>
      <c r="C984" s="579"/>
      <c r="D984" s="579"/>
      <c r="E984" s="579"/>
      <c r="F984" s="579"/>
      <c r="G984" s="579"/>
      <c r="H984" s="579"/>
      <c r="I984" s="579"/>
      <c r="J984" s="579"/>
      <c r="K984" s="579"/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</row>
    <row r="985" spans="2:26">
      <c r="B985" s="579"/>
      <c r="C985" s="579"/>
      <c r="D985" s="579"/>
      <c r="E985" s="579"/>
      <c r="F985" s="579"/>
      <c r="G985" s="579"/>
      <c r="H985" s="579"/>
      <c r="I985" s="579"/>
      <c r="J985" s="579"/>
      <c r="K985" s="579"/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</row>
    <row r="986" spans="2:26">
      <c r="B986" s="579"/>
      <c r="C986" s="579"/>
      <c r="D986" s="579"/>
      <c r="E986" s="579"/>
      <c r="F986" s="579"/>
      <c r="G986" s="579"/>
      <c r="H986" s="579"/>
      <c r="I986" s="579"/>
      <c r="J986" s="579"/>
      <c r="K986" s="579"/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</row>
    <row r="987" spans="2:26">
      <c r="B987" s="579"/>
      <c r="C987" s="579"/>
      <c r="D987" s="579"/>
      <c r="E987" s="579"/>
      <c r="F987" s="579"/>
      <c r="G987" s="579"/>
      <c r="H987" s="579"/>
      <c r="I987" s="579"/>
      <c r="J987" s="579"/>
      <c r="K987" s="579"/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</row>
    <row r="988" spans="2:26">
      <c r="B988" s="579"/>
      <c r="C988" s="579"/>
      <c r="D988" s="579"/>
      <c r="E988" s="579"/>
      <c r="F988" s="579"/>
      <c r="G988" s="579"/>
      <c r="H988" s="579"/>
      <c r="I988" s="579"/>
      <c r="J988" s="579"/>
      <c r="K988" s="579"/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</row>
    <row r="989" spans="2:26">
      <c r="B989" s="579"/>
      <c r="C989" s="579"/>
      <c r="D989" s="579"/>
      <c r="E989" s="579"/>
      <c r="F989" s="579"/>
      <c r="G989" s="579"/>
      <c r="H989" s="579"/>
      <c r="I989" s="579"/>
      <c r="J989" s="579"/>
      <c r="K989" s="579"/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</row>
    <row r="990" spans="2:26">
      <c r="B990" s="579"/>
      <c r="C990" s="579"/>
      <c r="D990" s="579"/>
      <c r="E990" s="579"/>
      <c r="F990" s="579"/>
      <c r="G990" s="579"/>
      <c r="H990" s="579"/>
      <c r="I990" s="579"/>
      <c r="J990" s="579"/>
      <c r="K990" s="579"/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</row>
    <row r="991" spans="2:26">
      <c r="B991" s="579"/>
      <c r="C991" s="579"/>
      <c r="D991" s="579"/>
      <c r="E991" s="579"/>
      <c r="F991" s="579"/>
      <c r="G991" s="579"/>
      <c r="H991" s="579"/>
      <c r="I991" s="579"/>
      <c r="J991" s="579"/>
      <c r="K991" s="579"/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</row>
    <row r="992" spans="2:26">
      <c r="B992" s="579"/>
      <c r="C992" s="579"/>
      <c r="D992" s="579"/>
      <c r="E992" s="579"/>
      <c r="F992" s="579"/>
      <c r="G992" s="579"/>
      <c r="H992" s="579"/>
      <c r="I992" s="579"/>
      <c r="J992" s="579"/>
      <c r="K992" s="579"/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</row>
    <row r="993" spans="2:26">
      <c r="B993" s="579"/>
      <c r="C993" s="579"/>
      <c r="D993" s="579"/>
      <c r="E993" s="579"/>
      <c r="F993" s="579"/>
      <c r="G993" s="579"/>
      <c r="H993" s="579"/>
      <c r="I993" s="579"/>
      <c r="J993" s="579"/>
      <c r="K993" s="579"/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</row>
    <row r="994" spans="2:26">
      <c r="B994" s="579"/>
      <c r="C994" s="579"/>
      <c r="D994" s="579"/>
      <c r="E994" s="579"/>
      <c r="F994" s="579"/>
      <c r="G994" s="579"/>
      <c r="H994" s="579"/>
      <c r="I994" s="579"/>
      <c r="J994" s="579"/>
      <c r="K994" s="579"/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</row>
    <row r="995" spans="2:26">
      <c r="B995" s="579"/>
      <c r="C995" s="579"/>
      <c r="D995" s="579"/>
      <c r="E995" s="579"/>
      <c r="F995" s="579"/>
      <c r="G995" s="579"/>
      <c r="H995" s="579"/>
      <c r="I995" s="579"/>
      <c r="J995" s="579"/>
      <c r="K995" s="579"/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</row>
    <row r="996" spans="2:26">
      <c r="B996" s="579"/>
      <c r="C996" s="579"/>
      <c r="D996" s="579"/>
      <c r="E996" s="579"/>
      <c r="F996" s="579"/>
      <c r="G996" s="579"/>
      <c r="H996" s="579"/>
      <c r="I996" s="579"/>
      <c r="J996" s="579"/>
      <c r="K996" s="579"/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</row>
    <row r="997" spans="2:26">
      <c r="B997" s="579"/>
      <c r="C997" s="579"/>
      <c r="D997" s="579"/>
      <c r="E997" s="579"/>
      <c r="F997" s="579"/>
      <c r="G997" s="579"/>
      <c r="H997" s="579"/>
      <c r="I997" s="579"/>
      <c r="J997" s="579"/>
      <c r="K997" s="579"/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</row>
    <row r="998" spans="2:26">
      <c r="B998" s="579"/>
      <c r="C998" s="579"/>
      <c r="D998" s="579"/>
      <c r="E998" s="579"/>
      <c r="F998" s="579"/>
      <c r="G998" s="579"/>
      <c r="H998" s="579"/>
      <c r="I998" s="579"/>
      <c r="J998" s="579"/>
      <c r="K998" s="579"/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</row>
    <row r="999" spans="2:26">
      <c r="B999" s="579"/>
      <c r="C999" s="579"/>
      <c r="D999" s="579"/>
      <c r="E999" s="579"/>
      <c r="F999" s="579"/>
      <c r="G999" s="579"/>
      <c r="H999" s="579"/>
      <c r="I999" s="579"/>
      <c r="J999" s="579"/>
      <c r="K999" s="579"/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</row>
    <row r="1000" spans="2:26">
      <c r="B1000" s="579"/>
      <c r="C1000" s="579"/>
      <c r="D1000" s="579"/>
      <c r="E1000" s="579"/>
      <c r="F1000" s="579"/>
      <c r="G1000" s="579"/>
      <c r="H1000" s="579"/>
      <c r="I1000" s="579"/>
      <c r="J1000" s="579"/>
      <c r="K1000" s="579"/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</row>
    <row r="1001" spans="2:26"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</row>
    <row r="1002" spans="2:26">
      <c r="L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</row>
  </sheetData>
  <mergeCells count="7">
    <mergeCell ref="C90:E90"/>
    <mergeCell ref="C1:K1"/>
    <mergeCell ref="C3:K3"/>
    <mergeCell ref="C20:K20"/>
    <mergeCell ref="C47:E47"/>
    <mergeCell ref="B51:K51"/>
    <mergeCell ref="C83:K83"/>
  </mergeCells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CC00-F2C7-49C1-A04E-1F6ADAB0EBA8}">
  <dimension ref="B1:AO97"/>
  <sheetViews>
    <sheetView showGridLines="0" topLeftCell="N17" zoomScale="70" zoomScaleNormal="70" workbookViewId="0">
      <selection activeCell="AD34" sqref="AD34"/>
    </sheetView>
  </sheetViews>
  <sheetFormatPr defaultColWidth="9.21875" defaultRowHeight="19.149999999999999"/>
  <cols>
    <col min="1" max="1" width="10.77734375" style="580" customWidth="1"/>
    <col min="2" max="2" width="15.21875" style="580" customWidth="1"/>
    <col min="3" max="3" width="10.6640625" style="580" customWidth="1"/>
    <col min="4" max="4" width="9.33203125" style="580" customWidth="1"/>
    <col min="5" max="5" width="9.109375" style="580" customWidth="1"/>
    <col min="6" max="6" width="9.21875" style="580" customWidth="1"/>
    <col min="7" max="7" width="11.33203125" style="580" customWidth="1"/>
    <col min="8" max="8" width="10.109375" style="580" customWidth="1"/>
    <col min="9" max="9" width="9.6640625" style="580" customWidth="1"/>
    <col min="10" max="10" width="8.77734375" style="580" customWidth="1"/>
    <col min="11" max="11" width="9.6640625" style="580" customWidth="1"/>
    <col min="12" max="12" width="8.33203125" style="726" customWidth="1"/>
    <col min="13" max="13" width="9.21875" style="580" customWidth="1"/>
    <col min="14" max="14" width="8.77734375" style="580" customWidth="1"/>
    <col min="15" max="16" width="8.33203125" style="580" customWidth="1"/>
    <col min="17" max="17" width="8.33203125" style="727" customWidth="1"/>
    <col min="18" max="18" width="9.33203125" style="727" customWidth="1"/>
    <col min="19" max="19" width="8.44140625" style="727" customWidth="1"/>
    <col min="20" max="20" width="8.77734375" style="727" customWidth="1"/>
    <col min="21" max="21" width="9" style="727" customWidth="1"/>
    <col min="22" max="22" width="9.21875" style="727" customWidth="1"/>
    <col min="23" max="23" width="10.21875" style="727" customWidth="1"/>
    <col min="24" max="24" width="9.5546875" style="727" customWidth="1"/>
    <col min="25" max="25" width="9.77734375" style="727" customWidth="1"/>
    <col min="26" max="26" width="12.33203125" style="727" bestFit="1" customWidth="1"/>
    <col min="27" max="27" width="9.5546875" style="727" customWidth="1"/>
    <col min="28" max="30" width="10.6640625" style="727" customWidth="1"/>
    <col min="31" max="32" width="11.77734375" style="727" customWidth="1"/>
    <col min="33" max="33" width="11.109375" style="727" bestFit="1" customWidth="1"/>
    <col min="34" max="34" width="11.109375" style="580" customWidth="1"/>
    <col min="35" max="35" width="17.44140625" style="580" customWidth="1"/>
    <col min="36" max="36" width="14.6640625" style="580" customWidth="1"/>
    <col min="37" max="37" width="14.21875" style="580" customWidth="1"/>
    <col min="38" max="38" width="15.21875" style="580" customWidth="1"/>
    <col min="39" max="39" width="15" style="580" customWidth="1"/>
    <col min="40" max="40" width="14" style="580" customWidth="1"/>
    <col min="41" max="41" width="15.44140625" style="580" customWidth="1"/>
    <col min="42" max="42" width="15.109375" style="580" customWidth="1"/>
    <col min="43" max="43" width="11.5546875" style="580" customWidth="1"/>
    <col min="44" max="16384" width="9.21875" style="580"/>
  </cols>
  <sheetData>
    <row r="1" spans="2:41" hidden="1"/>
    <row r="2" spans="2:41" hidden="1"/>
    <row r="4" spans="2:41" ht="76.900000000000006">
      <c r="B4" s="709" t="s">
        <v>1</v>
      </c>
      <c r="C4" s="710" t="s">
        <v>421</v>
      </c>
      <c r="D4" s="711" t="s">
        <v>422</v>
      </c>
      <c r="E4" s="712" t="s">
        <v>423</v>
      </c>
      <c r="F4" s="710" t="s">
        <v>424</v>
      </c>
      <c r="G4" s="710" t="s">
        <v>523</v>
      </c>
      <c r="H4" s="713" t="s">
        <v>426</v>
      </c>
      <c r="I4" s="714" t="s">
        <v>427</v>
      </c>
      <c r="J4" s="715" t="s">
        <v>428</v>
      </c>
      <c r="K4" s="713" t="s">
        <v>429</v>
      </c>
      <c r="L4" s="725" t="s">
        <v>430</v>
      </c>
      <c r="M4" s="714" t="s">
        <v>431</v>
      </c>
      <c r="N4" s="1057" t="s">
        <v>432</v>
      </c>
      <c r="O4" s="1058" t="s">
        <v>433</v>
      </c>
      <c r="P4" s="1059" t="s">
        <v>434</v>
      </c>
      <c r="Q4" s="1060" t="s">
        <v>435</v>
      </c>
      <c r="R4" s="744" t="s">
        <v>436</v>
      </c>
      <c r="S4" s="713" t="s">
        <v>437</v>
      </c>
      <c r="T4" s="710" t="s">
        <v>438</v>
      </c>
      <c r="U4" s="789" t="s">
        <v>439</v>
      </c>
      <c r="V4" s="1121" t="s">
        <v>440</v>
      </c>
      <c r="W4" s="710" t="s">
        <v>441</v>
      </c>
      <c r="X4" s="710" t="s">
        <v>442</v>
      </c>
      <c r="Y4" s="711" t="s">
        <v>443</v>
      </c>
      <c r="Z4" s="712" t="s">
        <v>390</v>
      </c>
      <c r="AA4" s="710" t="s">
        <v>391</v>
      </c>
      <c r="AB4" s="710" t="s">
        <v>392</v>
      </c>
      <c r="AC4" s="789" t="s">
        <v>393</v>
      </c>
      <c r="AD4" s="1121" t="s">
        <v>444</v>
      </c>
      <c r="AE4" s="710" t="s">
        <v>445</v>
      </c>
      <c r="AF4" s="710" t="s">
        <v>446</v>
      </c>
      <c r="AG4" s="789" t="s">
        <v>394</v>
      </c>
      <c r="AH4" s="728"/>
    </row>
    <row r="5" spans="2:41" ht="21.6">
      <c r="B5" s="716">
        <v>44651</v>
      </c>
      <c r="C5" s="749">
        <v>20.47</v>
      </c>
      <c r="D5" s="750">
        <v>15.22</v>
      </c>
      <c r="E5" s="750">
        <v>5.15</v>
      </c>
      <c r="F5" s="749">
        <v>3.58</v>
      </c>
      <c r="G5" s="1042">
        <f>SUM(Table25234678910111012131214121516151718192021222324[[#This Row],[Jones Creek Target (Mbopd)]:[Egwa Target (Mbopd)]])</f>
        <v>44.419999999999995</v>
      </c>
      <c r="H5" s="1068">
        <v>14.638</v>
      </c>
      <c r="I5" s="1068">
        <v>11.715</v>
      </c>
      <c r="J5" s="1068">
        <v>3.6836000000000002</v>
      </c>
      <c r="K5" s="1069">
        <v>0</v>
      </c>
      <c r="L5" s="1068">
        <f t="shared" ref="L5:L17" si="0">H5+I5+J5+K5</f>
        <v>30.0366</v>
      </c>
      <c r="M5" s="1123">
        <v>0</v>
      </c>
      <c r="N5" s="1124">
        <f>Table25234678910111012131214121516151718192021222324[[#This Row],[Jones Creek Target (Mbopd)]]-Table25234678910111012131214121516151718192021222324[[#This Row],[Jones Creek (Mbopd)]]</f>
        <v>5.831999999999999</v>
      </c>
      <c r="O5" s="1044">
        <f>Table25234678910111012131214121516151718192021222324[[#This Row],[Odidi Target (Mbopd)]]-Table25234678910111012131214121516151718192021222324[[#This Row],[Odidi (Mbopd)]]</f>
        <v>3.5050000000000008</v>
      </c>
      <c r="P5" s="1044">
        <f>Table25234678910111012131214121516151718192021222324[[#This Row],[Batan Target (Mbopd)]]-Table25234678910111012131214121516151718192021222324[[#This Row],[Batan (Mbopd)]]</f>
        <v>1.4664000000000001</v>
      </c>
      <c r="Q5" s="1044">
        <f>Table25234678910111012131214121516151718192021222324[[#This Row],[Egwa Target (Mbopd)]]-Table25234678910111012131214121516151718192021222324[[#This Row],[Egwa (Mbopd)]]</f>
        <v>3.58</v>
      </c>
      <c r="R5" s="1068">
        <v>7.5522999999999998</v>
      </c>
      <c r="S5" s="1044">
        <v>29.51</v>
      </c>
      <c r="T5" s="1068">
        <v>0.7</v>
      </c>
      <c r="U5" s="1045">
        <v>0</v>
      </c>
      <c r="V5" s="1046">
        <v>0.84</v>
      </c>
      <c r="W5" s="1044">
        <v>0</v>
      </c>
      <c r="X5" s="1068">
        <v>0.1</v>
      </c>
      <c r="Y5" s="1045">
        <v>0</v>
      </c>
      <c r="Z5" s="1046">
        <f>+Table25234678910111012131214121516151718192021222324[[#This Row],[J/C Prod gas (MMscf)]]-Table25234678910111012131214121516151718192021222324[[#This Row],[J/C Utilised gas (MMscf)]]</f>
        <v>6.7122999999999999</v>
      </c>
      <c r="AA5" s="1044">
        <f>+Table25234678910111012131214121516151718192021222324[[#This Row],[Odid Prod gas (MMscf)]]-Table25234678910111012131214121516151718192021222324[[#This Row],[Gas Export (MMscf/d)]]</f>
        <v>29.51</v>
      </c>
      <c r="AB5" s="1044">
        <f>+Table25234678910111012131214121516151718192021222324[[#This Row],[Batn Prod gas (MMscf)]]-Table25234678910111012131214121516151718192021222324[[#This Row],[Batn Utilised gas (MMscf)]]</f>
        <v>0.6</v>
      </c>
      <c r="AC5" s="747">
        <f>+Table25234678910111012131214121516151718192021222324[[#This Row],[Egwa Prod gas (MMscf)]]-Table25234678910111012131214121516151718192021222324[[#This Row],[Egwa Utilised gas (MMscf)]]</f>
        <v>0</v>
      </c>
      <c r="AD5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37.762300000000003</v>
      </c>
      <c r="AE5" s="1044">
        <f>+Table25234678910111012131214121516151718192021222324[[#This Row],[Gas Export (MMscf/d)]]</f>
        <v>0</v>
      </c>
      <c r="AF5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0.94</v>
      </c>
      <c r="AG5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36.822300000000006</v>
      </c>
      <c r="AH5" s="142"/>
    </row>
    <row r="6" spans="2:41" ht="21.6">
      <c r="B6" s="716">
        <v>44652</v>
      </c>
      <c r="C6" s="749">
        <v>20.47</v>
      </c>
      <c r="D6" s="750">
        <v>15.22</v>
      </c>
      <c r="E6" s="750">
        <v>5.15</v>
      </c>
      <c r="F6" s="749">
        <v>3.58</v>
      </c>
      <c r="G6" s="1042">
        <f>SUM(Table25234678910111012131214121516151718192021222324[[#This Row],[Jones Creek Target (Mbopd)]:[Egwa Target (Mbopd)]])</f>
        <v>44.419999999999995</v>
      </c>
      <c r="H6" s="1068">
        <v>14.651</v>
      </c>
      <c r="I6" s="1068">
        <v>11.558</v>
      </c>
      <c r="J6" s="1068">
        <v>3.1560000000000001</v>
      </c>
      <c r="K6" s="1069">
        <v>0</v>
      </c>
      <c r="L6" s="1068">
        <f t="shared" si="0"/>
        <v>29.364999999999998</v>
      </c>
      <c r="M6" s="1123">
        <v>0.54500000000000004</v>
      </c>
      <c r="N6" s="1124">
        <f>Table25234678910111012131214121516151718192021222324[[#This Row],[Jones Creek Target (Mbopd)]]-Table25234678910111012131214121516151718192021222324[[#This Row],[Jones Creek (Mbopd)]]</f>
        <v>5.8189999999999991</v>
      </c>
      <c r="O6" s="1044">
        <f>Table25234678910111012131214121516151718192021222324[[#This Row],[Odidi Target (Mbopd)]]-Table25234678910111012131214121516151718192021222324[[#This Row],[Odidi (Mbopd)]]</f>
        <v>3.6620000000000008</v>
      </c>
      <c r="P6" s="1044">
        <f>Table25234678910111012131214121516151718192021222324[[#This Row],[Batan Target (Mbopd)]]-Table25234678910111012131214121516151718192021222324[[#This Row],[Batan (Mbopd)]]</f>
        <v>1.9940000000000002</v>
      </c>
      <c r="Q6" s="1044">
        <f>Table25234678910111012131214121516151718192021222324[[#This Row],[Egwa Target (Mbopd)]]-Table25234678910111012131214121516151718192021222324[[#This Row],[Egwa (Mbopd)]]</f>
        <v>3.58</v>
      </c>
      <c r="R6" s="1043">
        <v>7.55</v>
      </c>
      <c r="S6" s="1044">
        <v>23.26</v>
      </c>
      <c r="T6" s="1068">
        <v>0.98</v>
      </c>
      <c r="U6" s="1045">
        <v>0</v>
      </c>
      <c r="V6" s="1046">
        <v>0.84</v>
      </c>
      <c r="W6" s="1044">
        <v>0</v>
      </c>
      <c r="X6" s="1068">
        <v>0.7</v>
      </c>
      <c r="Y6" s="1045">
        <v>0</v>
      </c>
      <c r="Z6" s="1046">
        <f>+Table25234678910111012131214121516151718192021222324[[#This Row],[J/C Prod gas (MMscf)]]-Table25234678910111012131214121516151718192021222324[[#This Row],[J/C Utilised gas (MMscf)]]</f>
        <v>6.71</v>
      </c>
      <c r="AA6" s="1044">
        <f>+Table25234678910111012131214121516151718192021222324[[#This Row],[Odid Prod gas (MMscf)]]-Table25234678910111012131214121516151718192021222324[[#This Row],[Gas Export (MMscf/d)]]</f>
        <v>22.715</v>
      </c>
      <c r="AB6" s="1044">
        <f>+Table25234678910111012131214121516151718192021222324[[#This Row],[Batn Prod gas (MMscf)]]-Table25234678910111012131214121516151718192021222324[[#This Row],[Batn Utilised gas (MMscf)]]</f>
        <v>0.28000000000000003</v>
      </c>
      <c r="AC6" s="747">
        <f>+Table25234678910111012131214121516151718192021222324[[#This Row],[Egwa Prod gas (MMscf)]]-Table25234678910111012131214121516151718192021222324[[#This Row],[Egwa Utilised gas (MMscf)]]</f>
        <v>0</v>
      </c>
      <c r="AD6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31.790000000000003</v>
      </c>
      <c r="AE6" s="1044">
        <f>+Table25234678910111012131214121516151718192021222324[[#This Row],[Gas Export (MMscf/d)]]</f>
        <v>0.54500000000000004</v>
      </c>
      <c r="AF6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6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29.705000000000002</v>
      </c>
      <c r="AH6" s="142"/>
    </row>
    <row r="7" spans="2:41" ht="21.6">
      <c r="B7" s="716">
        <v>44653</v>
      </c>
      <c r="C7" s="749">
        <v>20.47</v>
      </c>
      <c r="D7" s="750">
        <v>15.22</v>
      </c>
      <c r="E7" s="750">
        <v>5.15</v>
      </c>
      <c r="F7" s="749">
        <v>3.58</v>
      </c>
      <c r="G7" s="1042">
        <f>SUM(Table25234678910111012131214121516151718192021222324[[#This Row],[Jones Creek Target (Mbopd)]:[Egwa Target (Mbopd)]])</f>
        <v>44.419999999999995</v>
      </c>
      <c r="H7" s="1068">
        <v>14.548</v>
      </c>
      <c r="I7" s="1068">
        <v>10.260999999999999</v>
      </c>
      <c r="J7" s="1068">
        <v>3.5590000000000002</v>
      </c>
      <c r="K7" s="1069">
        <v>0</v>
      </c>
      <c r="L7" s="1068">
        <f t="shared" si="0"/>
        <v>28.367999999999999</v>
      </c>
      <c r="M7" s="1123">
        <v>4.78</v>
      </c>
      <c r="N7" s="1124">
        <f>Table25234678910111012131214121516151718192021222324[[#This Row],[Jones Creek Target (Mbopd)]]-Table25234678910111012131214121516151718192021222324[[#This Row],[Jones Creek (Mbopd)]]</f>
        <v>5.9219999999999988</v>
      </c>
      <c r="O7" s="1044">
        <f>Table25234678910111012131214121516151718192021222324[[#This Row],[Odidi Target (Mbopd)]]-Table25234678910111012131214121516151718192021222324[[#This Row],[Odidi (Mbopd)]]</f>
        <v>4.9590000000000014</v>
      </c>
      <c r="P7" s="1044">
        <f>Table25234678910111012131214121516151718192021222324[[#This Row],[Batan Target (Mbopd)]]-Table25234678910111012131214121516151718192021222324[[#This Row],[Batan (Mbopd)]]</f>
        <v>1.5910000000000002</v>
      </c>
      <c r="Q7" s="1044">
        <f>Table25234678910111012131214121516151718192021222324[[#This Row],[Egwa Target (Mbopd)]]-Table25234678910111012131214121516151718192021222324[[#This Row],[Egwa (Mbopd)]]</f>
        <v>3.58</v>
      </c>
      <c r="R7" s="1043">
        <v>7.55</v>
      </c>
      <c r="S7" s="1044">
        <v>21.98</v>
      </c>
      <c r="T7" s="1044">
        <v>1.07</v>
      </c>
      <c r="U7" s="1045">
        <v>0</v>
      </c>
      <c r="V7" s="1046">
        <v>0.84</v>
      </c>
      <c r="W7" s="1046">
        <v>0</v>
      </c>
      <c r="X7" s="1068">
        <v>0.7</v>
      </c>
      <c r="Y7" s="1045">
        <v>0</v>
      </c>
      <c r="Z7" s="1046">
        <f>+Table25234678910111012131214121516151718192021222324[[#This Row],[J/C Prod gas (MMscf)]]-Table25234678910111012131214121516151718192021222324[[#This Row],[J/C Utilised gas (MMscf)]]</f>
        <v>6.71</v>
      </c>
      <c r="AA7" s="1044">
        <f>+Table25234678910111012131214121516151718192021222324[[#This Row],[Odid Prod gas (MMscf)]]-Table25234678910111012131214121516151718192021222324[[#This Row],[Gas Export (MMscf/d)]]</f>
        <v>17.2</v>
      </c>
      <c r="AB7" s="1044">
        <f>+Table25234678910111012131214121516151718192021222324[[#This Row],[Batn Prod gas (MMscf)]]-Table25234678910111012131214121516151718192021222324[[#This Row],[Batn Utilised gas (MMscf)]]</f>
        <v>0.37000000000000011</v>
      </c>
      <c r="AC7" s="747">
        <f>+Table25234678910111012131214121516151718192021222324[[#This Row],[Egwa Prod gas (MMscf)]]-Table25234678910111012131214121516151718192021222324[[#This Row],[Egwa Utilised gas (MMscf)]]</f>
        <v>0</v>
      </c>
      <c r="AD7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30.6</v>
      </c>
      <c r="AE7" s="1044">
        <f>+Table25234678910111012131214121516151718192021222324[[#This Row],[Gas Export (MMscf/d)]]</f>
        <v>4.78</v>
      </c>
      <c r="AF7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7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24.28</v>
      </c>
      <c r="AH7" s="142"/>
    </row>
    <row r="8" spans="2:41" ht="24.6">
      <c r="B8" s="716">
        <v>44654</v>
      </c>
      <c r="C8" s="749">
        <v>20.47</v>
      </c>
      <c r="D8" s="750">
        <v>15.22</v>
      </c>
      <c r="E8" s="750">
        <v>5.15</v>
      </c>
      <c r="F8" s="749">
        <v>3.58</v>
      </c>
      <c r="G8" s="1042">
        <f>SUM(Table25234678910111012131214121516151718192021222324[[#This Row],[Jones Creek Target (Mbopd)]:[Egwa Target (Mbopd)]])</f>
        <v>44.419999999999995</v>
      </c>
      <c r="H8" s="1068">
        <v>14.271000000000001</v>
      </c>
      <c r="I8" s="1068">
        <v>10.007999999999999</v>
      </c>
      <c r="J8" s="1068">
        <v>3.597</v>
      </c>
      <c r="K8" s="1069">
        <v>0</v>
      </c>
      <c r="L8" s="1068">
        <f t="shared" si="0"/>
        <v>27.876000000000001</v>
      </c>
      <c r="M8" s="1123">
        <v>9.5380000000000003</v>
      </c>
      <c r="N8" s="1124">
        <f>Table25234678910111012131214121516151718192021222324[[#This Row],[Jones Creek Target (Mbopd)]]-Table25234678910111012131214121516151718192021222324[[#This Row],[Jones Creek (Mbopd)]]</f>
        <v>6.1989999999999981</v>
      </c>
      <c r="O8" s="1044">
        <f>Table25234678910111012131214121516151718192021222324[[#This Row],[Odidi Target (Mbopd)]]-Table25234678910111012131214121516151718192021222324[[#This Row],[Odidi (Mbopd)]]</f>
        <v>5.2120000000000015</v>
      </c>
      <c r="P8" s="1044">
        <f>Table25234678910111012131214121516151718192021222324[[#This Row],[Batan Target (Mbopd)]]-Table25234678910111012131214121516151718192021222324[[#This Row],[Batan (Mbopd)]]</f>
        <v>1.5530000000000004</v>
      </c>
      <c r="Q8" s="1044">
        <f>Table25234678910111012131214121516151718192021222324[[#This Row],[Egwa Target (Mbopd)]]-Table25234678910111012131214121516151718192021222324[[#This Row],[Egwa (Mbopd)]]</f>
        <v>3.58</v>
      </c>
      <c r="R8" s="1043">
        <v>7.55</v>
      </c>
      <c r="S8" s="1044">
        <v>20.8</v>
      </c>
      <c r="T8" s="1044">
        <v>1.07</v>
      </c>
      <c r="U8" s="1045">
        <v>0</v>
      </c>
      <c r="V8" s="1046">
        <v>0.84</v>
      </c>
      <c r="W8" s="1046">
        <v>0</v>
      </c>
      <c r="X8" s="1068">
        <v>0.7</v>
      </c>
      <c r="Y8" s="1045">
        <v>0</v>
      </c>
      <c r="Z8" s="1046">
        <f>+Table25234678910111012131214121516151718192021222324[[#This Row],[J/C Prod gas (MMscf)]]-Table25234678910111012131214121516151718192021222324[[#This Row],[J/C Utilised gas (MMscf)]]</f>
        <v>6.71</v>
      </c>
      <c r="AA8" s="1044">
        <f>+Table25234678910111012131214121516151718192021222324[[#This Row],[Odid Prod gas (MMscf)]]-Table25234678910111012131214121516151718192021222324[[#This Row],[Gas Export (MMscf/d)]]</f>
        <v>11.262</v>
      </c>
      <c r="AB8" s="1044">
        <f>+Table25234678910111012131214121516151718192021222324[[#This Row],[Batn Prod gas (MMscf)]]-Table25234678910111012131214121516151718192021222324[[#This Row],[Batn Utilised gas (MMscf)]]</f>
        <v>0.37000000000000011</v>
      </c>
      <c r="AC8" s="747">
        <f>+Table25234678910111012131214121516151718192021222324[[#This Row],[Egwa Prod gas (MMscf)]]-Table25234678910111012131214121516151718192021222324[[#This Row],[Egwa Utilised gas (MMscf)]]</f>
        <v>0</v>
      </c>
      <c r="AD8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29.42</v>
      </c>
      <c r="AE8" s="1044">
        <f>+Table25234678910111012131214121516151718192021222324[[#This Row],[Gas Export (MMscf/d)]]</f>
        <v>9.5380000000000003</v>
      </c>
      <c r="AF8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8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18.342000000000002</v>
      </c>
      <c r="AH8" s="142"/>
      <c r="AI8" s="142"/>
      <c r="AJ8" s="1351" t="s">
        <v>0</v>
      </c>
      <c r="AK8" s="1351"/>
      <c r="AL8" s="1351"/>
      <c r="AM8" s="1351"/>
      <c r="AN8" s="1351"/>
      <c r="AO8" s="1351"/>
    </row>
    <row r="9" spans="2:41" ht="43.15">
      <c r="B9" s="716">
        <v>44655</v>
      </c>
      <c r="C9" s="749">
        <v>20.47</v>
      </c>
      <c r="D9" s="750">
        <v>15.22</v>
      </c>
      <c r="E9" s="750">
        <v>5.15</v>
      </c>
      <c r="F9" s="749">
        <v>3.58</v>
      </c>
      <c r="G9" s="1042">
        <f>SUM(Table25234678910111012131214121516151718192021222324[[#This Row],[Jones Creek Target (Mbopd)]:[Egwa Target (Mbopd)]])</f>
        <v>44.419999999999995</v>
      </c>
      <c r="H9" s="1068">
        <v>14.875</v>
      </c>
      <c r="I9" s="1068">
        <v>9.56</v>
      </c>
      <c r="J9" s="1068">
        <v>3.286</v>
      </c>
      <c r="K9" s="1123">
        <v>0</v>
      </c>
      <c r="L9" s="1068">
        <f t="shared" si="0"/>
        <v>27.721000000000004</v>
      </c>
      <c r="M9" s="1123">
        <v>9.7200000000000006</v>
      </c>
      <c r="N9" s="1124">
        <f>Table25234678910111012131214121516151718192021222324[[#This Row],[Jones Creek Target (Mbopd)]]-Table25234678910111012131214121516151718192021222324[[#This Row],[Jones Creek (Mbopd)]]</f>
        <v>5.5949999999999989</v>
      </c>
      <c r="O9" s="1044">
        <f>Table25234678910111012131214121516151718192021222324[[#This Row],[Odidi Target (Mbopd)]]-Table25234678910111012131214121516151718192021222324[[#This Row],[Odidi (Mbopd)]]</f>
        <v>5.66</v>
      </c>
      <c r="P9" s="1044">
        <f>Table25234678910111012131214121516151718192021222324[[#This Row],[Batan Target (Mbopd)]]-Table25234678910111012131214121516151718192021222324[[#This Row],[Batan (Mbopd)]]</f>
        <v>1.8640000000000003</v>
      </c>
      <c r="Q9" s="1044">
        <f>Table25234678910111012131214121516151718192021222324[[#This Row],[Egwa Target (Mbopd)]]-Table25234678910111012131214121516151718192021222324[[#This Row],[Egwa (Mbopd)]]</f>
        <v>3.58</v>
      </c>
      <c r="R9" s="1043">
        <v>7.82</v>
      </c>
      <c r="S9" s="1044">
        <v>19.96</v>
      </c>
      <c r="T9" s="1044">
        <v>1.07</v>
      </c>
      <c r="U9" s="1045">
        <v>0</v>
      </c>
      <c r="V9" s="1046">
        <v>0.84</v>
      </c>
      <c r="W9" s="1046">
        <v>0</v>
      </c>
      <c r="X9" s="1068">
        <v>0.7</v>
      </c>
      <c r="Y9" s="1045">
        <v>0</v>
      </c>
      <c r="Z9" s="1046">
        <f>+Table25234678910111012131214121516151718192021222324[[#This Row],[J/C Prod gas (MMscf)]]-Table25234678910111012131214121516151718192021222324[[#This Row],[J/C Utilised gas (MMscf)]]</f>
        <v>6.98</v>
      </c>
      <c r="AA9" s="1044">
        <f>+Table25234678910111012131214121516151718192021222324[[#This Row],[Odid Prod gas (MMscf)]]-Table25234678910111012131214121516151718192021222324[[#This Row],[Gas Export (MMscf/d)]]</f>
        <v>10.24</v>
      </c>
      <c r="AB9" s="1044">
        <f>+Table25234678910111012131214121516151718192021222324[[#This Row],[Batn Prod gas (MMscf)]]-Table25234678910111012131214121516151718192021222324[[#This Row],[Batn Utilised gas (MMscf)]]</f>
        <v>0.37000000000000011</v>
      </c>
      <c r="AC9" s="747">
        <f>+Table25234678910111012131214121516151718192021222324[[#This Row],[Egwa Prod gas (MMscf)]]-Table25234678910111012131214121516151718192021222324[[#This Row],[Egwa Utilised gas (MMscf)]]</f>
        <v>0</v>
      </c>
      <c r="AD9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28.85</v>
      </c>
      <c r="AE9" s="1044">
        <f>+Table25234678910111012131214121516151718192021222324[[#This Row],[Gas Export (MMscf/d)]]</f>
        <v>9.7200000000000006</v>
      </c>
      <c r="AF9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9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17.59</v>
      </c>
      <c r="AH9" s="142"/>
      <c r="AI9" s="142"/>
      <c r="AJ9" s="1038" t="s">
        <v>14</v>
      </c>
      <c r="AK9" s="1038" t="s">
        <v>147</v>
      </c>
      <c r="AL9" s="1038" t="s">
        <v>147</v>
      </c>
      <c r="AM9" s="1038" t="s">
        <v>147</v>
      </c>
      <c r="AN9" s="1038" t="s">
        <v>147</v>
      </c>
      <c r="AO9" s="1038" t="s">
        <v>147</v>
      </c>
    </row>
    <row r="10" spans="2:41" ht="36" customHeight="1">
      <c r="B10" s="716">
        <v>44656</v>
      </c>
      <c r="C10" s="749">
        <v>20.47</v>
      </c>
      <c r="D10" s="750">
        <v>15.22</v>
      </c>
      <c r="E10" s="750">
        <v>5.15</v>
      </c>
      <c r="F10" s="749">
        <v>3.58</v>
      </c>
      <c r="G10" s="1042">
        <f>SUM(Table25234678910111012131214121516151718192021222324[[#This Row],[Jones Creek Target (Mbopd)]:[Egwa Target (Mbopd)]])</f>
        <v>44.419999999999995</v>
      </c>
      <c r="H10" s="1068">
        <v>13.816000000000001</v>
      </c>
      <c r="I10" s="1068">
        <v>10.134</v>
      </c>
      <c r="J10" s="1068">
        <v>3.5680000000000001</v>
      </c>
      <c r="K10" s="1123">
        <v>0</v>
      </c>
      <c r="L10" s="1068">
        <f t="shared" si="0"/>
        <v>27.518000000000004</v>
      </c>
      <c r="M10" s="1123">
        <v>5.4740000000000002</v>
      </c>
      <c r="N10" s="1124">
        <f>Table25234678910111012131214121516151718192021222324[[#This Row],[Jones Creek Target (Mbopd)]]-Table25234678910111012131214121516151718192021222324[[#This Row],[Jones Creek (Mbopd)]]</f>
        <v>6.6539999999999981</v>
      </c>
      <c r="O10" s="1044">
        <f>Table25234678910111012131214121516151718192021222324[[#This Row],[Odidi Target (Mbopd)]]-Table25234678910111012131214121516151718192021222324[[#This Row],[Odidi (Mbopd)]]</f>
        <v>5.0860000000000003</v>
      </c>
      <c r="P10" s="1044">
        <f>Table25234678910111012131214121516151718192021222324[[#This Row],[Batan Target (Mbopd)]]-Table25234678910111012131214121516151718192021222324[[#This Row],[Batan (Mbopd)]]</f>
        <v>1.5820000000000003</v>
      </c>
      <c r="Q10" s="1044">
        <f>Table25234678910111012131214121516151718192021222324[[#This Row],[Egwa Target (Mbopd)]]-Table25234678910111012131214121516151718192021222324[[#This Row],[Egwa (Mbopd)]]</f>
        <v>3.58</v>
      </c>
      <c r="R10" s="1043">
        <v>7.82</v>
      </c>
      <c r="S10" s="1044">
        <v>20.8</v>
      </c>
      <c r="T10" s="1044">
        <v>1.07</v>
      </c>
      <c r="U10" s="1045">
        <v>0</v>
      </c>
      <c r="V10" s="1046">
        <v>0.84</v>
      </c>
      <c r="W10" s="1046">
        <v>0</v>
      </c>
      <c r="X10" s="1068">
        <v>0.7</v>
      </c>
      <c r="Y10" s="1045">
        <v>0</v>
      </c>
      <c r="Z10" s="1046">
        <f>+Table25234678910111012131214121516151718192021222324[[#This Row],[J/C Prod gas (MMscf)]]-Table25234678910111012131214121516151718192021222324[[#This Row],[J/C Utilised gas (MMscf)]]</f>
        <v>6.98</v>
      </c>
      <c r="AA10" s="1044">
        <f>+Table25234678910111012131214121516151718192021222324[[#This Row],[Odid Prod gas (MMscf)]]-Table25234678910111012131214121516151718192021222324[[#This Row],[Gas Export (MMscf/d)]]</f>
        <v>15.326000000000001</v>
      </c>
      <c r="AB10" s="1044">
        <f>+Table25234678910111012131214121516151718192021222324[[#This Row],[Batn Prod gas (MMscf)]]-Table25234678910111012131214121516151718192021222324[[#This Row],[Batn Utilised gas (MMscf)]]</f>
        <v>0.37000000000000011</v>
      </c>
      <c r="AC10" s="747">
        <f>+Table25234678910111012131214121516151718192021222324[[#This Row],[Egwa Prod gas (MMscf)]]-Table25234678910111012131214121516151718192021222324[[#This Row],[Egwa Utilised gas (MMscf)]]</f>
        <v>0</v>
      </c>
      <c r="AD10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29.69</v>
      </c>
      <c r="AE10" s="1044">
        <f>+Table25234678910111012131214121516151718192021222324[[#This Row],[Gas Export (MMscf/d)]]</f>
        <v>5.4740000000000002</v>
      </c>
      <c r="AF10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10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22.676000000000002</v>
      </c>
      <c r="AH10" s="142"/>
      <c r="AI10" s="1037"/>
      <c r="AJ10" s="1081" t="s">
        <v>148</v>
      </c>
      <c r="AK10" s="1082">
        <f>B26</f>
        <v>44672</v>
      </c>
      <c r="AL10" s="1082">
        <f>AK10+1</f>
        <v>44673</v>
      </c>
      <c r="AM10" s="1082">
        <f>AL10+1</f>
        <v>44674</v>
      </c>
      <c r="AN10" s="1082">
        <f>AM10+1</f>
        <v>44675</v>
      </c>
      <c r="AO10" s="1082">
        <f>AN10+1</f>
        <v>44676</v>
      </c>
    </row>
    <row r="11" spans="2:41" ht="21.6">
      <c r="B11" s="716">
        <v>44657</v>
      </c>
      <c r="C11" s="749">
        <v>20.47</v>
      </c>
      <c r="D11" s="750">
        <v>15.22</v>
      </c>
      <c r="E11" s="750">
        <v>5.15</v>
      </c>
      <c r="F11" s="749">
        <v>3.58</v>
      </c>
      <c r="G11" s="1042">
        <f>SUM(Table25234678910111012131214121516151718192021222324[[#This Row],[Jones Creek Target (Mbopd)]:[Egwa Target (Mbopd)]])</f>
        <v>44.419999999999995</v>
      </c>
      <c r="H11" s="1068">
        <v>14.111560000000001</v>
      </c>
      <c r="I11" s="1068">
        <v>8.4770000000000003</v>
      </c>
      <c r="J11" s="1068">
        <v>3.4621</v>
      </c>
      <c r="K11" s="1123">
        <v>0</v>
      </c>
      <c r="L11" s="1068">
        <f t="shared" si="0"/>
        <v>26.050660000000001</v>
      </c>
      <c r="M11" s="1123">
        <v>1.4550000000000001</v>
      </c>
      <c r="N11" s="1124">
        <f>Table25234678910111012131214121516151718192021222324[[#This Row],[Jones Creek Target (Mbopd)]]-Table25234678910111012131214121516151718192021222324[[#This Row],[Jones Creek (Mbopd)]]</f>
        <v>6.3584399999999981</v>
      </c>
      <c r="O11" s="1044">
        <f>Table25234678910111012131214121516151718192021222324[[#This Row],[Odidi Target (Mbopd)]]-Table25234678910111012131214121516151718192021222324[[#This Row],[Odidi (Mbopd)]]</f>
        <v>6.7430000000000003</v>
      </c>
      <c r="P11" s="1044">
        <f>Table25234678910111012131214121516151718192021222324[[#This Row],[Batan Target (Mbopd)]]-Table25234678910111012131214121516151718192021222324[[#This Row],[Batan (Mbopd)]]</f>
        <v>1.6879000000000004</v>
      </c>
      <c r="Q11" s="1044">
        <f>Table25234678910111012131214121516151718192021222324[[#This Row],[Egwa Target (Mbopd)]]-Table25234678910111012131214121516151718192021222324[[#This Row],[Egwa (Mbopd)]]</f>
        <v>3.58</v>
      </c>
      <c r="R11" s="1043">
        <v>7.82</v>
      </c>
      <c r="S11" s="1044">
        <v>19.21</v>
      </c>
      <c r="T11" s="1044">
        <v>1.07</v>
      </c>
      <c r="U11" s="1045">
        <v>0</v>
      </c>
      <c r="V11" s="1046">
        <v>0.84</v>
      </c>
      <c r="W11" s="1046">
        <v>0</v>
      </c>
      <c r="X11" s="1068">
        <v>0.7</v>
      </c>
      <c r="Y11" s="1045">
        <v>0</v>
      </c>
      <c r="Z11" s="1046">
        <f>+Table25234678910111012131214121516151718192021222324[[#This Row],[J/C Prod gas (MMscf)]]-Table25234678910111012131214121516151718192021222324[[#This Row],[J/C Utilised gas (MMscf)]]</f>
        <v>6.98</v>
      </c>
      <c r="AA11" s="1044">
        <f>+Table25234678910111012131214121516151718192021222324[[#This Row],[Odid Prod gas (MMscf)]]-Table25234678910111012131214121516151718192021222324[[#This Row],[Gas Export (MMscf/d)]]</f>
        <v>17.755000000000003</v>
      </c>
      <c r="AB11" s="1044">
        <f>+Table25234678910111012131214121516151718192021222324[[#This Row],[Batn Prod gas (MMscf)]]-Table25234678910111012131214121516151718192021222324[[#This Row],[Batn Utilised gas (MMscf)]]</f>
        <v>0.37000000000000011</v>
      </c>
      <c r="AC11" s="747">
        <f>+Table25234678910111012131214121516151718192021222324[[#This Row],[Egwa Prod gas (MMscf)]]-Table25234678910111012131214121516151718192021222324[[#This Row],[Egwa Utilised gas (MMscf)]]</f>
        <v>0</v>
      </c>
      <c r="AD11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28.1</v>
      </c>
      <c r="AE11" s="1044">
        <f>+Table25234678910111012131214121516151718192021222324[[#This Row],[Gas Export (MMscf/d)]]</f>
        <v>1.4550000000000001</v>
      </c>
      <c r="AF11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11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25.105000000000004</v>
      </c>
      <c r="AH11" s="142"/>
      <c r="AI11" s="1080" t="s">
        <v>17</v>
      </c>
      <c r="AJ11" s="1125">
        <v>20.47</v>
      </c>
      <c r="AK11" s="1044">
        <v>0</v>
      </c>
      <c r="AL11" s="1143">
        <v>0</v>
      </c>
      <c r="AM11" s="1044">
        <v>0</v>
      </c>
      <c r="AN11" s="1143">
        <v>15.46</v>
      </c>
      <c r="AO11" s="1044">
        <v>8.9890000000000008</v>
      </c>
    </row>
    <row r="12" spans="2:41" ht="21.6">
      <c r="B12" s="716">
        <v>44658</v>
      </c>
      <c r="C12" s="749">
        <v>20.47</v>
      </c>
      <c r="D12" s="750">
        <v>15.22</v>
      </c>
      <c r="E12" s="750">
        <v>5.15</v>
      </c>
      <c r="F12" s="749">
        <v>3.58</v>
      </c>
      <c r="G12" s="1042">
        <f>SUM(Table25234678910111012131214121516151718192021222324[[#This Row],[Jones Creek Target (Mbopd)]:[Egwa Target (Mbopd)]])</f>
        <v>44.419999999999995</v>
      </c>
      <c r="H12" s="1068">
        <v>14.999000000000001</v>
      </c>
      <c r="I12" s="1068">
        <v>7.4290000000000003</v>
      </c>
      <c r="J12" s="1068">
        <v>3.3610000000000002</v>
      </c>
      <c r="K12" s="1123">
        <v>0</v>
      </c>
      <c r="L12" s="1068">
        <f t="shared" si="0"/>
        <v>25.789000000000001</v>
      </c>
      <c r="M12" s="1123">
        <v>0</v>
      </c>
      <c r="N12" s="1124">
        <f>Table25234678910111012131214121516151718192021222324[[#This Row],[Jones Creek Target (Mbopd)]]-Table25234678910111012131214121516151718192021222324[[#This Row],[Jones Creek (Mbopd)]]</f>
        <v>5.4709999999999983</v>
      </c>
      <c r="O12" s="1044">
        <f>Table25234678910111012131214121516151718192021222324[[#This Row],[Odidi Target (Mbopd)]]-Table25234678910111012131214121516151718192021222324[[#This Row],[Odidi (Mbopd)]]</f>
        <v>7.7910000000000004</v>
      </c>
      <c r="P12" s="1044">
        <f>Table25234678910111012131214121516151718192021222324[[#This Row],[Batan Target (Mbopd)]]-Table25234678910111012131214121516151718192021222324[[#This Row],[Batan (Mbopd)]]</f>
        <v>1.7890000000000001</v>
      </c>
      <c r="Q12" s="1044">
        <f>Table25234678910111012131214121516151718192021222324[[#This Row],[Egwa Target (Mbopd)]]-Table25234678910111012131214121516151718192021222324[[#This Row],[Egwa (Mbopd)]]</f>
        <v>3.58</v>
      </c>
      <c r="R12" s="1043">
        <v>7.82</v>
      </c>
      <c r="S12" s="1044">
        <v>18.04</v>
      </c>
      <c r="T12" s="1044">
        <v>1.07</v>
      </c>
      <c r="U12" s="1045">
        <v>0</v>
      </c>
      <c r="V12" s="1046">
        <v>0.84</v>
      </c>
      <c r="W12" s="1046">
        <v>0</v>
      </c>
      <c r="X12" s="1068">
        <v>0.7</v>
      </c>
      <c r="Y12" s="1045">
        <v>0</v>
      </c>
      <c r="Z12" s="1046">
        <f>+Table25234678910111012131214121516151718192021222324[[#This Row],[J/C Prod gas (MMscf)]]-Table25234678910111012131214121516151718192021222324[[#This Row],[J/C Utilised gas (MMscf)]]</f>
        <v>6.98</v>
      </c>
      <c r="AA12" s="1044">
        <f>+Table25234678910111012131214121516151718192021222324[[#This Row],[Odid Prod gas (MMscf)]]-Table25234678910111012131214121516151718192021222324[[#This Row],[Gas Export (MMscf/d)]]</f>
        <v>18.04</v>
      </c>
      <c r="AB12" s="1044">
        <f>+Table25234678910111012131214121516151718192021222324[[#This Row],[Batn Prod gas (MMscf)]]-Table25234678910111012131214121516151718192021222324[[#This Row],[Batn Utilised gas (MMscf)]]</f>
        <v>0.37000000000000011</v>
      </c>
      <c r="AC12" s="747">
        <f>+Table25234678910111012131214121516151718192021222324[[#This Row],[Egwa Prod gas (MMscf)]]-Table25234678910111012131214121516151718192021222324[[#This Row],[Egwa Utilised gas (MMscf)]]</f>
        <v>0</v>
      </c>
      <c r="AD12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26.93</v>
      </c>
      <c r="AE12" s="1044">
        <f>+Table25234678910111012131214121516151718192021222324[[#This Row],[Gas Export (MMscf/d)]]</f>
        <v>0</v>
      </c>
      <c r="AF12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12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25.39</v>
      </c>
      <c r="AI12" s="1080" t="s">
        <v>19</v>
      </c>
      <c r="AJ12" s="1125">
        <v>15.22</v>
      </c>
      <c r="AK12" s="1044">
        <v>0</v>
      </c>
      <c r="AL12" s="1143">
        <v>0</v>
      </c>
      <c r="AM12" s="1044">
        <v>0</v>
      </c>
      <c r="AN12" s="1143">
        <v>0</v>
      </c>
      <c r="AO12" s="1044">
        <v>0</v>
      </c>
    </row>
    <row r="13" spans="2:41" ht="21.6">
      <c r="B13" s="716">
        <v>44659</v>
      </c>
      <c r="C13" s="749">
        <v>20.47</v>
      </c>
      <c r="D13" s="750">
        <v>15.22</v>
      </c>
      <c r="E13" s="750">
        <v>5.15</v>
      </c>
      <c r="F13" s="749">
        <v>3.58</v>
      </c>
      <c r="G13" s="1042">
        <f>SUM(Table25234678910111012131214121516151718192021222324[[#This Row],[Jones Creek Target (Mbopd)]:[Egwa Target (Mbopd)]])</f>
        <v>44.419999999999995</v>
      </c>
      <c r="H13" s="1068">
        <v>15.211</v>
      </c>
      <c r="I13" s="1068">
        <v>3.8180000000000001</v>
      </c>
      <c r="J13" s="1068">
        <v>3.6030000000000002</v>
      </c>
      <c r="K13" s="1123">
        <v>0</v>
      </c>
      <c r="L13" s="1068">
        <f t="shared" si="0"/>
        <v>22.632000000000001</v>
      </c>
      <c r="M13" s="1123">
        <v>0</v>
      </c>
      <c r="N13" s="1124">
        <f>Table25234678910111012131214121516151718192021222324[[#This Row],[Jones Creek Target (Mbopd)]]-Table25234678910111012131214121516151718192021222324[[#This Row],[Jones Creek (Mbopd)]]</f>
        <v>5.2589999999999986</v>
      </c>
      <c r="O13" s="1044">
        <f>Table25234678910111012131214121516151718192021222324[[#This Row],[Odidi Target (Mbopd)]]-Table25234678910111012131214121516151718192021222324[[#This Row],[Odidi (Mbopd)]]</f>
        <v>11.402000000000001</v>
      </c>
      <c r="P13" s="1044">
        <f>Table25234678910111012131214121516151718192021222324[[#This Row],[Batan Target (Mbopd)]]-Table25234678910111012131214121516151718192021222324[[#This Row],[Batan (Mbopd)]]</f>
        <v>1.5470000000000002</v>
      </c>
      <c r="Q13" s="1044">
        <f>Table25234678910111012131214121516151718192021222324[[#This Row],[Egwa Target (Mbopd)]]-Table25234678910111012131214121516151718192021222324[[#This Row],[Egwa (Mbopd)]]</f>
        <v>3.58</v>
      </c>
      <c r="R13" s="1043">
        <v>7.82</v>
      </c>
      <c r="S13" s="1044">
        <v>9.52</v>
      </c>
      <c r="T13" s="1044">
        <v>1.07</v>
      </c>
      <c r="U13" s="1045">
        <v>0</v>
      </c>
      <c r="V13" s="1046">
        <v>0.84</v>
      </c>
      <c r="W13" s="1046">
        <v>0</v>
      </c>
      <c r="X13" s="1068">
        <v>0.7</v>
      </c>
      <c r="Y13" s="1045">
        <v>0</v>
      </c>
      <c r="Z13" s="1046">
        <f>+Table25234678910111012131214121516151718192021222324[[#This Row],[J/C Prod gas (MMscf)]]-Table25234678910111012131214121516151718192021222324[[#This Row],[J/C Utilised gas (MMscf)]]</f>
        <v>6.98</v>
      </c>
      <c r="AA13" s="1044">
        <f>+Table25234678910111012131214121516151718192021222324[[#This Row],[Odid Prod gas (MMscf)]]-Table25234678910111012131214121516151718192021222324[[#This Row],[Gas Export (MMscf/d)]]</f>
        <v>9.52</v>
      </c>
      <c r="AB13" s="1044">
        <f>+Table25234678910111012131214121516151718192021222324[[#This Row],[Batn Prod gas (MMscf)]]-Table25234678910111012131214121516151718192021222324[[#This Row],[Batn Utilised gas (MMscf)]]</f>
        <v>0.37000000000000011</v>
      </c>
      <c r="AC13" s="747">
        <f>+Table25234678910111012131214121516151718192021222324[[#This Row],[Egwa Prod gas (MMscf)]]-Table25234678910111012131214121516151718192021222324[[#This Row],[Egwa Utilised gas (MMscf)]]</f>
        <v>0</v>
      </c>
      <c r="AD13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18.41</v>
      </c>
      <c r="AE13" s="1044">
        <f>+Table25234678910111012131214121516151718192021222324[[#This Row],[Gas Export (MMscf/d)]]</f>
        <v>0</v>
      </c>
      <c r="AF13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1.54</v>
      </c>
      <c r="AG13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16.87</v>
      </c>
      <c r="AI13" s="1080" t="s">
        <v>16</v>
      </c>
      <c r="AJ13" s="1125">
        <v>5.15</v>
      </c>
      <c r="AK13" s="1044">
        <v>0</v>
      </c>
      <c r="AL13" s="1143">
        <v>0</v>
      </c>
      <c r="AM13" s="1044">
        <v>0</v>
      </c>
      <c r="AN13" s="1143">
        <v>0</v>
      </c>
      <c r="AO13" s="1044">
        <v>0</v>
      </c>
    </row>
    <row r="14" spans="2:41" ht="21.6">
      <c r="B14" s="716">
        <v>44660</v>
      </c>
      <c r="C14" s="749">
        <v>20.47</v>
      </c>
      <c r="D14" s="750">
        <v>15.22</v>
      </c>
      <c r="E14" s="750">
        <v>5.15</v>
      </c>
      <c r="F14" s="749">
        <v>3.58</v>
      </c>
      <c r="G14" s="1042">
        <f>SUM(Table25234678910111012131214121516151718192021222324[[#This Row],[Jones Creek Target (Mbopd)]:[Egwa Target (Mbopd)]])</f>
        <v>44.419999999999995</v>
      </c>
      <c r="H14" s="1068">
        <v>5.452</v>
      </c>
      <c r="I14" s="1068">
        <v>0</v>
      </c>
      <c r="J14" s="1068">
        <v>0.15</v>
      </c>
      <c r="K14" s="1123">
        <v>0</v>
      </c>
      <c r="L14" s="1068">
        <f t="shared" si="0"/>
        <v>5.6020000000000003</v>
      </c>
      <c r="M14" s="1123">
        <v>0</v>
      </c>
      <c r="N14" s="1124">
        <f>Table25234678910111012131214121516151718192021222324[[#This Row],[Jones Creek Target (Mbopd)]]-Table25234678910111012131214121516151718192021222324[[#This Row],[Jones Creek (Mbopd)]]</f>
        <v>15.017999999999999</v>
      </c>
      <c r="O14" s="1044">
        <f>Table25234678910111012131214121516151718192021222324[[#This Row],[Odidi Target (Mbopd)]]-Table25234678910111012131214121516151718192021222324[[#This Row],[Odidi (Mbopd)]]</f>
        <v>15.22</v>
      </c>
      <c r="P14" s="1044">
        <f>Table25234678910111012131214121516151718192021222324[[#This Row],[Batan Target (Mbopd)]]-Table25234678910111012131214121516151718192021222324[[#This Row],[Batan (Mbopd)]]</f>
        <v>5</v>
      </c>
      <c r="Q14" s="1044">
        <f>Table25234678910111012131214121516151718192021222324[[#This Row],[Egwa Target (Mbopd)]]-Table25234678910111012131214121516151718192021222324[[#This Row],[Egwa (Mbopd)]]</f>
        <v>3.58</v>
      </c>
      <c r="R14" s="1043">
        <v>1.66</v>
      </c>
      <c r="S14" s="1044">
        <v>0</v>
      </c>
      <c r="T14" s="1044">
        <v>0.7</v>
      </c>
      <c r="U14" s="1128">
        <v>0</v>
      </c>
      <c r="V14" s="1046">
        <v>0.32</v>
      </c>
      <c r="W14" s="1046">
        <v>0</v>
      </c>
      <c r="X14" s="1044">
        <v>0</v>
      </c>
      <c r="Y14" s="1045">
        <v>0</v>
      </c>
      <c r="Z14" s="1046">
        <f>+Table25234678910111012131214121516151718192021222324[[#This Row],[J/C Prod gas (MMscf)]]-Table25234678910111012131214121516151718192021222324[[#This Row],[J/C Utilised gas (MMscf)]]</f>
        <v>1.3399999999999999</v>
      </c>
      <c r="AA14" s="1044">
        <f>+Table25234678910111012131214121516151718192021222324[[#This Row],[Odid Prod gas (MMscf)]]-Table25234678910111012131214121516151718192021222324[[#This Row],[Gas Export (MMscf/d)]]</f>
        <v>0</v>
      </c>
      <c r="AB14" s="1044">
        <f>+Table25234678910111012131214121516151718192021222324[[#This Row],[Batn Prod gas (MMscf)]]-Table25234678910111012131214121516151718192021222324[[#This Row],[Batn Utilised gas (MMscf)]]</f>
        <v>0.7</v>
      </c>
      <c r="AC14" s="747">
        <f>+Table25234678910111012131214121516151718192021222324[[#This Row],[Egwa Prod gas (MMscf)]]-Table25234678910111012131214121516151718192021222324[[#This Row],[Egwa Utilised gas (MMscf)]]</f>
        <v>0</v>
      </c>
      <c r="AD14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2.36</v>
      </c>
      <c r="AE14" s="1044">
        <f>+Table25234678910111012131214121516151718192021222324[[#This Row],[Gas Export (MMscf/d)]]</f>
        <v>0</v>
      </c>
      <c r="AF14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0.32</v>
      </c>
      <c r="AG14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2.04</v>
      </c>
      <c r="AI14" s="1080" t="s">
        <v>18</v>
      </c>
      <c r="AJ14" s="1125">
        <v>3.58</v>
      </c>
      <c r="AK14" s="1088">
        <v>0</v>
      </c>
      <c r="AL14" s="1175">
        <v>0</v>
      </c>
      <c r="AM14" s="1088">
        <v>0</v>
      </c>
      <c r="AN14" s="1144">
        <v>1.8495999999999999</v>
      </c>
      <c r="AO14" s="1075">
        <v>0.87</v>
      </c>
    </row>
    <row r="15" spans="2:41" ht="21.6">
      <c r="B15" s="716">
        <v>44661</v>
      </c>
      <c r="C15" s="749">
        <v>20.47</v>
      </c>
      <c r="D15" s="750">
        <v>15.22</v>
      </c>
      <c r="E15" s="750">
        <v>5.15</v>
      </c>
      <c r="F15" s="749">
        <v>3.58</v>
      </c>
      <c r="G15" s="1042">
        <f>SUM(Table25234678910111012131214121516151718192021222324[[#This Row],[Jones Creek Target (Mbopd)]:[Egwa Target (Mbopd)]])</f>
        <v>44.419999999999995</v>
      </c>
      <c r="H15" s="1068">
        <v>0</v>
      </c>
      <c r="I15" s="1068">
        <v>0</v>
      </c>
      <c r="J15" s="1068">
        <v>0</v>
      </c>
      <c r="K15" s="1068">
        <v>0</v>
      </c>
      <c r="L15" s="1068">
        <f t="shared" si="0"/>
        <v>0</v>
      </c>
      <c r="M15" s="1123">
        <v>0</v>
      </c>
      <c r="N15" s="1124">
        <f>Table25234678910111012131214121516151718192021222324[[#This Row],[Jones Creek Target (Mbopd)]]-Table25234678910111012131214121516151718192021222324[[#This Row],[Jones Creek (Mbopd)]]</f>
        <v>20.47</v>
      </c>
      <c r="O15" s="1044">
        <f>Table25234678910111012131214121516151718192021222324[[#This Row],[Odidi Target (Mbopd)]]-Table25234678910111012131214121516151718192021222324[[#This Row],[Odidi (Mbopd)]]</f>
        <v>15.22</v>
      </c>
      <c r="P15" s="1044">
        <f>Table25234678910111012131214121516151718192021222324[[#This Row],[Batan Target (Mbopd)]]-Table25234678910111012131214121516151718192021222324[[#This Row],[Batan (Mbopd)]]</f>
        <v>5.15</v>
      </c>
      <c r="Q15" s="1044">
        <f>Table25234678910111012131214121516151718192021222324[[#This Row],[Egwa Target (Mbopd)]]-Table25234678910111012131214121516151718192021222324[[#This Row],[Egwa (Mbopd)]]</f>
        <v>3.58</v>
      </c>
      <c r="R15" s="1044">
        <v>0</v>
      </c>
      <c r="S15" s="1044">
        <v>0</v>
      </c>
      <c r="T15" s="1044">
        <v>0</v>
      </c>
      <c r="U15" s="1128">
        <v>0</v>
      </c>
      <c r="V15" s="1046">
        <v>0</v>
      </c>
      <c r="W15" s="1046">
        <v>0</v>
      </c>
      <c r="X15" s="1044">
        <v>0</v>
      </c>
      <c r="Y15" s="1045">
        <v>0</v>
      </c>
      <c r="Z15" s="1046">
        <f>+Table25234678910111012131214121516151718192021222324[[#This Row],[J/C Prod gas (MMscf)]]-Table25234678910111012131214121516151718192021222324[[#This Row],[J/C Utilised gas (MMscf)]]</f>
        <v>0</v>
      </c>
      <c r="AA15" s="1044">
        <f>+Table25234678910111012131214121516151718192021222324[[#This Row],[Odid Prod gas (MMscf)]]-Table25234678910111012131214121516151718192021222324[[#This Row],[Gas Export (MMscf/d)]]</f>
        <v>0</v>
      </c>
      <c r="AB15" s="1044">
        <f>+Table25234678910111012131214121516151718192021222324[[#This Row],[Batn Prod gas (MMscf)]]-Table25234678910111012131214121516151718192021222324[[#This Row],[Batn Utilised gas (MMscf)]]</f>
        <v>0</v>
      </c>
      <c r="AC15" s="747">
        <f>+Table25234678910111012131214121516151718192021222324[[#This Row],[Egwa Prod gas (MMscf)]]-Table25234678910111012131214121516151718192021222324[[#This Row],[Egwa Utilised gas (MMscf)]]</f>
        <v>0</v>
      </c>
      <c r="AD15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15" s="1044">
        <f>+Table25234678910111012131214121516151718192021222324[[#This Row],[Gas Export (MMscf/d)]]</f>
        <v>0</v>
      </c>
      <c r="AF15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15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  <c r="AI15" s="1080" t="s">
        <v>447</v>
      </c>
      <c r="AJ15" s="1129">
        <f>SUM(AJ11:AJ14)</f>
        <v>44.419999999999995</v>
      </c>
      <c r="AK15" s="1044">
        <f>AK11+AK12+AK13+AK14</f>
        <v>0</v>
      </c>
      <c r="AL15" s="1143">
        <f>AL11+AL12+AL13+AL14</f>
        <v>0</v>
      </c>
      <c r="AM15" s="1044">
        <f>AM11+AM12+AM13+AM14</f>
        <v>0</v>
      </c>
      <c r="AN15" s="1143">
        <f>AN11+AN12+AN13+AN14</f>
        <v>17.3096</v>
      </c>
      <c r="AO15" s="1044">
        <f>AO11+AO12+AO13+AO14</f>
        <v>9.859</v>
      </c>
    </row>
    <row r="16" spans="2:41" ht="21.6">
      <c r="B16" s="716">
        <v>44662</v>
      </c>
      <c r="C16" s="749">
        <v>20.47</v>
      </c>
      <c r="D16" s="750">
        <v>15.22</v>
      </c>
      <c r="E16" s="750">
        <v>5.15</v>
      </c>
      <c r="F16" s="749">
        <v>3.58</v>
      </c>
      <c r="G16" s="1042">
        <f>SUM(Table25234678910111012131214121516151718192021222324[[#This Row],[Jones Creek Target (Mbopd)]:[Egwa Target (Mbopd)]])</f>
        <v>44.419999999999995</v>
      </c>
      <c r="H16" s="1068">
        <v>0</v>
      </c>
      <c r="I16" s="1068">
        <v>0</v>
      </c>
      <c r="J16" s="1068">
        <v>0</v>
      </c>
      <c r="K16" s="1068">
        <v>0</v>
      </c>
      <c r="L16" s="1068">
        <f t="shared" si="0"/>
        <v>0</v>
      </c>
      <c r="M16" s="1123">
        <v>0</v>
      </c>
      <c r="N16" s="1124">
        <f>Table25234678910111012131214121516151718192021222324[[#This Row],[Jones Creek Target (Mbopd)]]-Table25234678910111012131214121516151718192021222324[[#This Row],[Jones Creek (Mbopd)]]</f>
        <v>20.47</v>
      </c>
      <c r="O16" s="1044">
        <f>Table25234678910111012131214121516151718192021222324[[#This Row],[Odidi Target (Mbopd)]]-Table25234678910111012131214121516151718192021222324[[#This Row],[Odidi (Mbopd)]]</f>
        <v>15.22</v>
      </c>
      <c r="P16" s="1044">
        <f>Table25234678910111012131214121516151718192021222324[[#This Row],[Batan Target (Mbopd)]]-Table25234678910111012131214121516151718192021222324[[#This Row],[Batan (Mbopd)]]</f>
        <v>5.15</v>
      </c>
      <c r="Q16" s="1044">
        <f>Table25234678910111012131214121516151718192021222324[[#This Row],[Egwa Target (Mbopd)]]-Table25234678910111012131214121516151718192021222324[[#This Row],[Egwa (Mbopd)]]</f>
        <v>3.58</v>
      </c>
      <c r="R16" s="1044">
        <v>0</v>
      </c>
      <c r="S16" s="1044">
        <v>0</v>
      </c>
      <c r="T16" s="1044">
        <v>0</v>
      </c>
      <c r="U16" s="1128">
        <v>0</v>
      </c>
      <c r="V16" s="1046">
        <v>0</v>
      </c>
      <c r="W16" s="1044">
        <v>0</v>
      </c>
      <c r="X16" s="1044">
        <v>0</v>
      </c>
      <c r="Y16" s="1045">
        <v>0</v>
      </c>
      <c r="Z16" s="1046">
        <f>+Table25234678910111012131214121516151718192021222324[[#This Row],[J/C Prod gas (MMscf)]]-Table25234678910111012131214121516151718192021222324[[#This Row],[J/C Utilised gas (MMscf)]]</f>
        <v>0</v>
      </c>
      <c r="AA16" s="1044">
        <f>+Table25234678910111012131214121516151718192021222324[[#This Row],[Odid Prod gas (MMscf)]]-Table25234678910111012131214121516151718192021222324[[#This Row],[Gas Export (MMscf/d)]]</f>
        <v>0</v>
      </c>
      <c r="AB16" s="1044">
        <f>+Table25234678910111012131214121516151718192021222324[[#This Row],[Batn Prod gas (MMscf)]]-Table25234678910111012131214121516151718192021222324[[#This Row],[Batn Utilised gas (MMscf)]]</f>
        <v>0</v>
      </c>
      <c r="AC16" s="747">
        <f>+Table25234678910111012131214121516151718192021222324[[#This Row],[Egwa Prod gas (MMscf)]]-Table25234678910111012131214121516151718192021222324[[#This Row],[Egwa Utilised gas (MMscf)]]</f>
        <v>0</v>
      </c>
      <c r="AD16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16" s="1044">
        <f>+Table25234678910111012131214121516151718192021222324[[#This Row],[Gas Export (MMscf/d)]]</f>
        <v>0</v>
      </c>
      <c r="AF16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16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  <c r="AI16" s="1080" t="s">
        <v>448</v>
      </c>
      <c r="AJ16" s="1129">
        <v>26</v>
      </c>
      <c r="AK16" s="1088">
        <v>0</v>
      </c>
      <c r="AL16" s="1175">
        <v>0</v>
      </c>
      <c r="AM16" s="1088">
        <v>0</v>
      </c>
      <c r="AN16" s="1175">
        <v>0</v>
      </c>
      <c r="AO16" s="1088">
        <v>0</v>
      </c>
    </row>
    <row r="17" spans="2:35" ht="21.6">
      <c r="B17" s="716">
        <v>44663</v>
      </c>
      <c r="C17" s="749">
        <v>20.47</v>
      </c>
      <c r="D17" s="750">
        <v>15.22</v>
      </c>
      <c r="E17" s="750">
        <v>5.15</v>
      </c>
      <c r="F17" s="749">
        <v>3.58</v>
      </c>
      <c r="G17" s="1042">
        <f>SUM(Table25234678910111012131214121516151718192021222324[[#This Row],[Jones Creek Target (Mbopd)]:[Egwa Target (Mbopd)]])</f>
        <v>44.419999999999995</v>
      </c>
      <c r="H17" s="1068">
        <v>0</v>
      </c>
      <c r="I17" s="1068">
        <v>0</v>
      </c>
      <c r="J17" s="1068">
        <v>0</v>
      </c>
      <c r="K17" s="1068">
        <v>0</v>
      </c>
      <c r="L17" s="1068">
        <f t="shared" si="0"/>
        <v>0</v>
      </c>
      <c r="M17" s="1123">
        <v>0</v>
      </c>
      <c r="N17" s="1124">
        <f>Table25234678910111012131214121516151718192021222324[[#This Row],[Jones Creek Target (Mbopd)]]-Table25234678910111012131214121516151718192021222324[[#This Row],[Jones Creek (Mbopd)]]</f>
        <v>20.47</v>
      </c>
      <c r="O17" s="1044">
        <f>Table25234678910111012131214121516151718192021222324[[#This Row],[Odidi Target (Mbopd)]]-Table25234678910111012131214121516151718192021222324[[#This Row],[Odidi (Mbopd)]]</f>
        <v>15.22</v>
      </c>
      <c r="P17" s="1044">
        <f>Table25234678910111012131214121516151718192021222324[[#This Row],[Batan Target (Mbopd)]]-Table25234678910111012131214121516151718192021222324[[#This Row],[Batan (Mbopd)]]</f>
        <v>5.15</v>
      </c>
      <c r="Q17" s="1044">
        <f>Table25234678910111012131214121516151718192021222324[[#This Row],[Egwa Target (Mbopd)]]-Table25234678910111012131214121516151718192021222324[[#This Row],[Egwa (Mbopd)]]</f>
        <v>3.58</v>
      </c>
      <c r="R17" s="1044">
        <v>0</v>
      </c>
      <c r="S17" s="1044">
        <v>0</v>
      </c>
      <c r="T17" s="1044">
        <v>0</v>
      </c>
      <c r="U17" s="1128">
        <v>0</v>
      </c>
      <c r="V17" s="1046">
        <v>0</v>
      </c>
      <c r="W17" s="1044">
        <v>0</v>
      </c>
      <c r="X17" s="1044">
        <v>0</v>
      </c>
      <c r="Y17" s="1045">
        <v>0</v>
      </c>
      <c r="Z17" s="1046">
        <f>+Table25234678910111012131214121516151718192021222324[[#This Row],[J/C Prod gas (MMscf)]]-Table25234678910111012131214121516151718192021222324[[#This Row],[J/C Utilised gas (MMscf)]]</f>
        <v>0</v>
      </c>
      <c r="AA17" s="1044">
        <f>+Table25234678910111012131214121516151718192021222324[[#This Row],[Odid Prod gas (MMscf)]]-Table25234678910111012131214121516151718192021222324[[#This Row],[Gas Export (MMscf/d)]]</f>
        <v>0</v>
      </c>
      <c r="AB17" s="1044">
        <f>+Table25234678910111012131214121516151718192021222324[[#This Row],[Batn Prod gas (MMscf)]]-Table25234678910111012131214121516151718192021222324[[#This Row],[Batn Utilised gas (MMscf)]]</f>
        <v>0</v>
      </c>
      <c r="AC17" s="747">
        <f>+Table25234678910111012131214121516151718192021222324[[#This Row],[Egwa Prod gas (MMscf)]]-Table25234678910111012131214121516151718192021222324[[#This Row],[Egwa Utilised gas (MMscf)]]</f>
        <v>0</v>
      </c>
      <c r="AD17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17" s="1044">
        <f>+Table25234678910111012131214121516151718192021222324[[#This Row],[Gas Export (MMscf/d)]]</f>
        <v>0</v>
      </c>
      <c r="AF17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17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  <c r="AI17" s="142"/>
    </row>
    <row r="18" spans="2:35" ht="21.6">
      <c r="B18" s="716">
        <v>44664</v>
      </c>
      <c r="C18" s="749">
        <v>20.47</v>
      </c>
      <c r="D18" s="750">
        <v>15.22</v>
      </c>
      <c r="E18" s="750">
        <v>5.15</v>
      </c>
      <c r="F18" s="749">
        <v>3.58</v>
      </c>
      <c r="G18" s="1042">
        <f>SUM(Table25234678910111012131214121516151718192021222324[[#This Row],[Jones Creek Target (Mbopd)]:[Egwa Target (Mbopd)]])</f>
        <v>44.419999999999995</v>
      </c>
      <c r="H18" s="1068">
        <v>0</v>
      </c>
      <c r="I18" s="1068">
        <v>0</v>
      </c>
      <c r="J18" s="1068">
        <v>0</v>
      </c>
      <c r="K18" s="1068">
        <v>0</v>
      </c>
      <c r="L18" s="1068">
        <f t="shared" ref="L18:L19" si="1">H18+I18+J18+K18</f>
        <v>0</v>
      </c>
      <c r="M18" s="1123">
        <v>0</v>
      </c>
      <c r="N18" s="1124">
        <f>Table25234678910111012131214121516151718192021222324[[#This Row],[Jones Creek Target (Mbopd)]]-Table25234678910111012131214121516151718192021222324[[#This Row],[Jones Creek (Mbopd)]]</f>
        <v>20.47</v>
      </c>
      <c r="O18" s="1044">
        <f>Table25234678910111012131214121516151718192021222324[[#This Row],[Odidi Target (Mbopd)]]-Table25234678910111012131214121516151718192021222324[[#This Row],[Odidi (Mbopd)]]</f>
        <v>15.22</v>
      </c>
      <c r="P18" s="1044">
        <f>Table25234678910111012131214121516151718192021222324[[#This Row],[Batan Target (Mbopd)]]-Table25234678910111012131214121516151718192021222324[[#This Row],[Batan (Mbopd)]]</f>
        <v>5.15</v>
      </c>
      <c r="Q18" s="1044">
        <f>Table25234678910111012131214121516151718192021222324[[#This Row],[Egwa Target (Mbopd)]]-Table25234678910111012131214121516151718192021222324[[#This Row],[Egwa (Mbopd)]]</f>
        <v>3.58</v>
      </c>
      <c r="R18" s="1044">
        <v>0</v>
      </c>
      <c r="S18" s="1044">
        <v>0</v>
      </c>
      <c r="T18" s="1044">
        <v>0</v>
      </c>
      <c r="U18" s="1128">
        <v>0</v>
      </c>
      <c r="V18" s="1046">
        <v>0</v>
      </c>
      <c r="W18" s="1044">
        <v>0</v>
      </c>
      <c r="X18" s="1044">
        <v>0</v>
      </c>
      <c r="Y18" s="1045">
        <v>0</v>
      </c>
      <c r="Z18" s="1046">
        <f>+Table25234678910111012131214121516151718192021222324[[#This Row],[J/C Prod gas (MMscf)]]-Table25234678910111012131214121516151718192021222324[[#This Row],[J/C Utilised gas (MMscf)]]</f>
        <v>0</v>
      </c>
      <c r="AA18" s="1044">
        <f>+Table25234678910111012131214121516151718192021222324[[#This Row],[Odid Prod gas (MMscf)]]-Table25234678910111012131214121516151718192021222324[[#This Row],[Gas Export (MMscf/d)]]</f>
        <v>0</v>
      </c>
      <c r="AB18" s="1044">
        <f>+Table25234678910111012131214121516151718192021222324[[#This Row],[Batn Prod gas (MMscf)]]-Table25234678910111012131214121516151718192021222324[[#This Row],[Batn Utilised gas (MMscf)]]</f>
        <v>0</v>
      </c>
      <c r="AC18" s="747">
        <f>+Table25234678910111012131214121516151718192021222324[[#This Row],[Egwa Prod gas (MMscf)]]-Table25234678910111012131214121516151718192021222324[[#This Row],[Egwa Utilised gas (MMscf)]]</f>
        <v>0</v>
      </c>
      <c r="AD18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18" s="1044">
        <f>+Table25234678910111012131214121516151718192021222324[[#This Row],[Gas Export (MMscf/d)]]</f>
        <v>0</v>
      </c>
      <c r="AF18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18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  <c r="AI18" s="242"/>
    </row>
    <row r="19" spans="2:35" ht="21.6">
      <c r="B19" s="716">
        <v>44665</v>
      </c>
      <c r="C19" s="749">
        <v>20.47</v>
      </c>
      <c r="D19" s="750">
        <v>15.22</v>
      </c>
      <c r="E19" s="750">
        <v>5.15</v>
      </c>
      <c r="F19" s="749">
        <v>3.58</v>
      </c>
      <c r="G19" s="1042">
        <f>SUM(Table25234678910111012131214121516151718192021222324[[#This Row],[Jones Creek Target (Mbopd)]:[Egwa Target (Mbopd)]])</f>
        <v>44.419999999999995</v>
      </c>
      <c r="H19" s="1068">
        <v>0</v>
      </c>
      <c r="I19" s="1068">
        <v>0</v>
      </c>
      <c r="J19" s="1068">
        <v>0</v>
      </c>
      <c r="K19" s="1068">
        <v>0</v>
      </c>
      <c r="L19" s="1068">
        <f t="shared" si="1"/>
        <v>0</v>
      </c>
      <c r="M19" s="1123">
        <v>0</v>
      </c>
      <c r="N19" s="1124">
        <f>Table25234678910111012131214121516151718192021222324[[#This Row],[Jones Creek Target (Mbopd)]]-Table25234678910111012131214121516151718192021222324[[#This Row],[Jones Creek (Mbopd)]]</f>
        <v>20.47</v>
      </c>
      <c r="O19" s="1044">
        <f>Table25234678910111012131214121516151718192021222324[[#This Row],[Odidi Target (Mbopd)]]-Table25234678910111012131214121516151718192021222324[[#This Row],[Odidi (Mbopd)]]</f>
        <v>15.22</v>
      </c>
      <c r="P19" s="1044">
        <f>Table25234678910111012131214121516151718192021222324[[#This Row],[Batan Target (Mbopd)]]-Table25234678910111012131214121516151718192021222324[[#This Row],[Batan (Mbopd)]]</f>
        <v>5.15</v>
      </c>
      <c r="Q19" s="1044">
        <f>Table25234678910111012131214121516151718192021222324[[#This Row],[Egwa Target (Mbopd)]]-Table25234678910111012131214121516151718192021222324[[#This Row],[Egwa (Mbopd)]]</f>
        <v>3.58</v>
      </c>
      <c r="R19" s="1044">
        <v>0</v>
      </c>
      <c r="S19" s="1044">
        <v>0</v>
      </c>
      <c r="T19" s="1044">
        <v>0</v>
      </c>
      <c r="U19" s="1128">
        <v>0</v>
      </c>
      <c r="V19" s="1046">
        <v>0</v>
      </c>
      <c r="W19" s="1044">
        <v>0</v>
      </c>
      <c r="X19" s="1044">
        <v>0</v>
      </c>
      <c r="Y19" s="1045">
        <v>0</v>
      </c>
      <c r="Z19" s="1046">
        <f>+Table25234678910111012131214121516151718192021222324[[#This Row],[J/C Prod gas (MMscf)]]-Table25234678910111012131214121516151718192021222324[[#This Row],[J/C Utilised gas (MMscf)]]</f>
        <v>0</v>
      </c>
      <c r="AA19" s="1044">
        <f>+Table25234678910111012131214121516151718192021222324[[#This Row],[Odid Prod gas (MMscf)]]-Table25234678910111012131214121516151718192021222324[[#This Row],[Gas Export (MMscf/d)]]</f>
        <v>0</v>
      </c>
      <c r="AB19" s="1044">
        <f>+Table25234678910111012131214121516151718192021222324[[#This Row],[Batn Prod gas (MMscf)]]-Table25234678910111012131214121516151718192021222324[[#This Row],[Batn Utilised gas (MMscf)]]</f>
        <v>0</v>
      </c>
      <c r="AC19" s="747">
        <f>+Table25234678910111012131214121516151718192021222324[[#This Row],[Egwa Prod gas (MMscf)]]-Table25234678910111012131214121516151718192021222324[[#This Row],[Egwa Utilised gas (MMscf)]]</f>
        <v>0</v>
      </c>
      <c r="AD19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19" s="1044">
        <f>+Table25234678910111012131214121516151718192021222324[[#This Row],[Gas Export (MMscf/d)]]</f>
        <v>0</v>
      </c>
      <c r="AF19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19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  <c r="AH19" s="734"/>
      <c r="AI19" s="242"/>
    </row>
    <row r="20" spans="2:35">
      <c r="B20" s="716">
        <v>44666</v>
      </c>
      <c r="C20" s="749">
        <v>20.47</v>
      </c>
      <c r="D20" s="750">
        <v>15.22</v>
      </c>
      <c r="E20" s="750">
        <v>5.15</v>
      </c>
      <c r="F20" s="749">
        <v>3.58</v>
      </c>
      <c r="G20" s="1042">
        <f>SUM(Table25234678910111012131214121516151718192021222324[[#This Row],[Jones Creek Target (Mbopd)]:[Egwa Target (Mbopd)]])</f>
        <v>44.419999999999995</v>
      </c>
      <c r="H20" s="1068">
        <v>0</v>
      </c>
      <c r="I20" s="1068">
        <v>0</v>
      </c>
      <c r="J20" s="1068">
        <v>0</v>
      </c>
      <c r="K20" s="1068">
        <v>0</v>
      </c>
      <c r="L20" s="1068">
        <f t="shared" ref="L20:L32" si="2">H20+I20+J20+K20</f>
        <v>0</v>
      </c>
      <c r="M20" s="1123">
        <v>0</v>
      </c>
      <c r="N20" s="1124">
        <f>Table25234678910111012131214121516151718192021222324[[#This Row],[Jones Creek Target (Mbopd)]]-Table25234678910111012131214121516151718192021222324[[#This Row],[Jones Creek (Mbopd)]]</f>
        <v>20.47</v>
      </c>
      <c r="O20" s="1044">
        <f>Table25234678910111012131214121516151718192021222324[[#This Row],[Odidi Target (Mbopd)]]-Table25234678910111012131214121516151718192021222324[[#This Row],[Odidi (Mbopd)]]</f>
        <v>15.22</v>
      </c>
      <c r="P20" s="1044">
        <f>Table25234678910111012131214121516151718192021222324[[#This Row],[Batan Target (Mbopd)]]-Table25234678910111012131214121516151718192021222324[[#This Row],[Batan (Mbopd)]]</f>
        <v>5.15</v>
      </c>
      <c r="Q20" s="1044">
        <f>Table25234678910111012131214121516151718192021222324[[#This Row],[Egwa Target (Mbopd)]]-Table25234678910111012131214121516151718192021222324[[#This Row],[Egwa (Mbopd)]]</f>
        <v>3.58</v>
      </c>
      <c r="R20" s="1044">
        <v>0</v>
      </c>
      <c r="S20" s="1044">
        <v>0</v>
      </c>
      <c r="T20" s="1044">
        <v>0</v>
      </c>
      <c r="U20" s="1128">
        <v>0</v>
      </c>
      <c r="V20" s="1046">
        <v>0</v>
      </c>
      <c r="W20" s="1044">
        <v>0</v>
      </c>
      <c r="X20" s="1044">
        <v>0</v>
      </c>
      <c r="Y20" s="1045">
        <v>0</v>
      </c>
      <c r="Z20" s="1046">
        <f>+Table25234678910111012131214121516151718192021222324[[#This Row],[J/C Prod gas (MMscf)]]-Table25234678910111012131214121516151718192021222324[[#This Row],[J/C Utilised gas (MMscf)]]</f>
        <v>0</v>
      </c>
      <c r="AA20" s="1044">
        <f>+Table25234678910111012131214121516151718192021222324[[#This Row],[Odid Prod gas (MMscf)]]-Table25234678910111012131214121516151718192021222324[[#This Row],[Gas Export (MMscf/d)]]</f>
        <v>0</v>
      </c>
      <c r="AB20" s="1044">
        <f>+Table25234678910111012131214121516151718192021222324[[#This Row],[Batn Prod gas (MMscf)]]-Table25234678910111012131214121516151718192021222324[[#This Row],[Batn Utilised gas (MMscf)]]</f>
        <v>0</v>
      </c>
      <c r="AC20" s="747">
        <f>+Table25234678910111012131214121516151718192021222324[[#This Row],[Egwa Prod gas (MMscf)]]-Table25234678910111012131214121516151718192021222324[[#This Row],[Egwa Utilised gas (MMscf)]]</f>
        <v>0</v>
      </c>
      <c r="AD20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0" s="1044">
        <f>+Table25234678910111012131214121516151718192021222324[[#This Row],[Gas Export (MMscf/d)]]</f>
        <v>0</v>
      </c>
      <c r="AF20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0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1" spans="2:35">
      <c r="B21" s="716">
        <v>44667</v>
      </c>
      <c r="C21" s="749">
        <v>20.47</v>
      </c>
      <c r="D21" s="750">
        <v>15.22</v>
      </c>
      <c r="E21" s="750">
        <v>5.15</v>
      </c>
      <c r="F21" s="749">
        <v>3.58</v>
      </c>
      <c r="G21" s="1042">
        <f>SUM(Table25234678910111012131214121516151718192021222324[[#This Row],[Jones Creek Target (Mbopd)]:[Egwa Target (Mbopd)]])</f>
        <v>44.419999999999995</v>
      </c>
      <c r="H21" s="1068">
        <v>0</v>
      </c>
      <c r="I21" s="1068">
        <v>0</v>
      </c>
      <c r="J21" s="1068">
        <v>0</v>
      </c>
      <c r="K21" s="1068">
        <v>0</v>
      </c>
      <c r="L21" s="1068">
        <f t="shared" si="2"/>
        <v>0</v>
      </c>
      <c r="M21" s="1123">
        <v>0</v>
      </c>
      <c r="N21" s="1124">
        <f>Table25234678910111012131214121516151718192021222324[[#This Row],[Jones Creek Target (Mbopd)]]-Table25234678910111012131214121516151718192021222324[[#This Row],[Jones Creek (Mbopd)]]</f>
        <v>20.47</v>
      </c>
      <c r="O21" s="1044">
        <f>Table25234678910111012131214121516151718192021222324[[#This Row],[Odidi Target (Mbopd)]]-Table25234678910111012131214121516151718192021222324[[#This Row],[Odidi (Mbopd)]]</f>
        <v>15.22</v>
      </c>
      <c r="P21" s="1044">
        <f>Table25234678910111012131214121516151718192021222324[[#This Row],[Batan Target (Mbopd)]]-Table25234678910111012131214121516151718192021222324[[#This Row],[Batan (Mbopd)]]</f>
        <v>5.15</v>
      </c>
      <c r="Q21" s="1044">
        <f>Table25234678910111012131214121516151718192021222324[[#This Row],[Egwa Target (Mbopd)]]-Table25234678910111012131214121516151718192021222324[[#This Row],[Egwa (Mbopd)]]</f>
        <v>3.58</v>
      </c>
      <c r="R21" s="1044">
        <v>0</v>
      </c>
      <c r="S21" s="1044">
        <v>0</v>
      </c>
      <c r="T21" s="1044">
        <v>0</v>
      </c>
      <c r="U21" s="1128">
        <v>0</v>
      </c>
      <c r="V21" s="1046">
        <v>0</v>
      </c>
      <c r="W21" s="1044">
        <v>0</v>
      </c>
      <c r="X21" s="1044">
        <v>0</v>
      </c>
      <c r="Y21" s="1045">
        <v>0</v>
      </c>
      <c r="Z21" s="1046">
        <f>+Table25234678910111012131214121516151718192021222324[[#This Row],[J/C Prod gas (MMscf)]]-Table25234678910111012131214121516151718192021222324[[#This Row],[J/C Utilised gas (MMscf)]]</f>
        <v>0</v>
      </c>
      <c r="AA21" s="1044">
        <f>+Table25234678910111012131214121516151718192021222324[[#This Row],[Odid Prod gas (MMscf)]]-Table25234678910111012131214121516151718192021222324[[#This Row],[Gas Export (MMscf/d)]]</f>
        <v>0</v>
      </c>
      <c r="AB21" s="1044">
        <f>+Table25234678910111012131214121516151718192021222324[[#This Row],[Batn Prod gas (MMscf)]]-Table25234678910111012131214121516151718192021222324[[#This Row],[Batn Utilised gas (MMscf)]]</f>
        <v>0</v>
      </c>
      <c r="AC21" s="747">
        <f>+Table25234678910111012131214121516151718192021222324[[#This Row],[Egwa Prod gas (MMscf)]]-Table25234678910111012131214121516151718192021222324[[#This Row],[Egwa Utilised gas (MMscf)]]</f>
        <v>0</v>
      </c>
      <c r="AD21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1" s="1044">
        <f>+Table25234678910111012131214121516151718192021222324[[#This Row],[Gas Export (MMscf/d)]]</f>
        <v>0</v>
      </c>
      <c r="AF21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1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2" spans="2:35">
      <c r="B22" s="716">
        <v>44668</v>
      </c>
      <c r="C22" s="749">
        <v>20.47</v>
      </c>
      <c r="D22" s="750">
        <v>15.22</v>
      </c>
      <c r="E22" s="750">
        <v>5.15</v>
      </c>
      <c r="F22" s="749">
        <v>3.58</v>
      </c>
      <c r="G22" s="1042">
        <f>SUM(Table25234678910111012131214121516151718192021222324[[#This Row],[Jones Creek Target (Mbopd)]:[Egwa Target (Mbopd)]])</f>
        <v>44.419999999999995</v>
      </c>
      <c r="H22" s="1068">
        <v>0</v>
      </c>
      <c r="I22" s="1068">
        <v>0</v>
      </c>
      <c r="J22" s="1068">
        <v>0</v>
      </c>
      <c r="K22" s="1068">
        <v>0</v>
      </c>
      <c r="L22" s="1068">
        <f t="shared" si="2"/>
        <v>0</v>
      </c>
      <c r="M22" s="1123">
        <v>0</v>
      </c>
      <c r="N22" s="1124">
        <f>Table25234678910111012131214121516151718192021222324[[#This Row],[Jones Creek Target (Mbopd)]]-Table25234678910111012131214121516151718192021222324[[#This Row],[Jones Creek (Mbopd)]]</f>
        <v>20.47</v>
      </c>
      <c r="O22" s="1044">
        <f>Table25234678910111012131214121516151718192021222324[[#This Row],[Odidi Target (Mbopd)]]-Table25234678910111012131214121516151718192021222324[[#This Row],[Odidi (Mbopd)]]</f>
        <v>15.22</v>
      </c>
      <c r="P22" s="1044">
        <f>Table25234678910111012131214121516151718192021222324[[#This Row],[Batan Target (Mbopd)]]-Table25234678910111012131214121516151718192021222324[[#This Row],[Batan (Mbopd)]]</f>
        <v>5.15</v>
      </c>
      <c r="Q22" s="1044">
        <f>Table25234678910111012131214121516151718192021222324[[#This Row],[Egwa Target (Mbopd)]]-Table25234678910111012131214121516151718192021222324[[#This Row],[Egwa (Mbopd)]]</f>
        <v>3.58</v>
      </c>
      <c r="R22" s="1044">
        <v>0</v>
      </c>
      <c r="S22" s="1044">
        <v>0</v>
      </c>
      <c r="T22" s="1044">
        <v>0</v>
      </c>
      <c r="U22" s="1128">
        <v>0</v>
      </c>
      <c r="V22" s="1046">
        <v>0</v>
      </c>
      <c r="W22" s="1044">
        <v>0</v>
      </c>
      <c r="X22" s="1044">
        <v>0</v>
      </c>
      <c r="Y22" s="1045">
        <v>0</v>
      </c>
      <c r="Z22" s="1046">
        <f>+Table25234678910111012131214121516151718192021222324[[#This Row],[J/C Prod gas (MMscf)]]-Table25234678910111012131214121516151718192021222324[[#This Row],[J/C Utilised gas (MMscf)]]</f>
        <v>0</v>
      </c>
      <c r="AA22" s="1044">
        <f>+Table25234678910111012131214121516151718192021222324[[#This Row],[Odid Prod gas (MMscf)]]-Table25234678910111012131214121516151718192021222324[[#This Row],[Gas Export (MMscf/d)]]</f>
        <v>0</v>
      </c>
      <c r="AB22" s="1044">
        <f>+Table25234678910111012131214121516151718192021222324[[#This Row],[Batn Prod gas (MMscf)]]-Table25234678910111012131214121516151718192021222324[[#This Row],[Batn Utilised gas (MMscf)]]</f>
        <v>0</v>
      </c>
      <c r="AC22" s="747">
        <f>+Table25234678910111012131214121516151718192021222324[[#This Row],[Egwa Prod gas (MMscf)]]-Table25234678910111012131214121516151718192021222324[[#This Row],[Egwa Utilised gas (MMscf)]]</f>
        <v>0</v>
      </c>
      <c r="AD22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2" s="1044">
        <f>+Table25234678910111012131214121516151718192021222324[[#This Row],[Gas Export (MMscf/d)]]</f>
        <v>0</v>
      </c>
      <c r="AF22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2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3" spans="2:35">
      <c r="B23" s="716">
        <v>44669</v>
      </c>
      <c r="C23" s="749">
        <v>20.47</v>
      </c>
      <c r="D23" s="750">
        <v>15.22</v>
      </c>
      <c r="E23" s="750">
        <v>5.15</v>
      </c>
      <c r="F23" s="749">
        <v>3.58</v>
      </c>
      <c r="G23" s="1042">
        <f>SUM(Table25234678910111012131214121516151718192021222324[[#This Row],[Jones Creek Target (Mbopd)]:[Egwa Target (Mbopd)]])</f>
        <v>44.419999999999995</v>
      </c>
      <c r="H23" s="1068">
        <v>0</v>
      </c>
      <c r="I23" s="1068">
        <v>0</v>
      </c>
      <c r="J23" s="1068">
        <v>0</v>
      </c>
      <c r="K23" s="1068">
        <v>0</v>
      </c>
      <c r="L23" s="1068">
        <f t="shared" si="2"/>
        <v>0</v>
      </c>
      <c r="M23" s="1123">
        <v>0</v>
      </c>
      <c r="N23" s="1124">
        <f>Table25234678910111012131214121516151718192021222324[[#This Row],[Jones Creek Target (Mbopd)]]-Table25234678910111012131214121516151718192021222324[[#This Row],[Jones Creek (Mbopd)]]</f>
        <v>20.47</v>
      </c>
      <c r="O23" s="1044">
        <f>Table25234678910111012131214121516151718192021222324[[#This Row],[Odidi Target (Mbopd)]]-Table25234678910111012131214121516151718192021222324[[#This Row],[Odidi (Mbopd)]]</f>
        <v>15.22</v>
      </c>
      <c r="P23" s="1044">
        <f>Table25234678910111012131214121516151718192021222324[[#This Row],[Batan Target (Mbopd)]]-Table25234678910111012131214121516151718192021222324[[#This Row],[Batan (Mbopd)]]</f>
        <v>5.15</v>
      </c>
      <c r="Q23" s="1044">
        <f>Table25234678910111012131214121516151718192021222324[[#This Row],[Egwa Target (Mbopd)]]-Table25234678910111012131214121516151718192021222324[[#This Row],[Egwa (Mbopd)]]</f>
        <v>3.58</v>
      </c>
      <c r="R23" s="1044">
        <v>0</v>
      </c>
      <c r="S23" s="1044">
        <v>0</v>
      </c>
      <c r="T23" s="1044">
        <v>0</v>
      </c>
      <c r="U23" s="1128">
        <v>0</v>
      </c>
      <c r="V23" s="1046">
        <v>0</v>
      </c>
      <c r="W23" s="1044">
        <v>0</v>
      </c>
      <c r="X23" s="1044">
        <v>0</v>
      </c>
      <c r="Y23" s="1045">
        <v>0</v>
      </c>
      <c r="Z23" s="1046">
        <f>+Table25234678910111012131214121516151718192021222324[[#This Row],[J/C Prod gas (MMscf)]]-Table25234678910111012131214121516151718192021222324[[#This Row],[J/C Utilised gas (MMscf)]]</f>
        <v>0</v>
      </c>
      <c r="AA23" s="1044">
        <f>+Table25234678910111012131214121516151718192021222324[[#This Row],[Odid Prod gas (MMscf)]]-Table25234678910111012131214121516151718192021222324[[#This Row],[Gas Export (MMscf/d)]]</f>
        <v>0</v>
      </c>
      <c r="AB23" s="1044">
        <f>+Table25234678910111012131214121516151718192021222324[[#This Row],[Batn Prod gas (MMscf)]]-Table25234678910111012131214121516151718192021222324[[#This Row],[Batn Utilised gas (MMscf)]]</f>
        <v>0</v>
      </c>
      <c r="AC23" s="747">
        <f>+Table25234678910111012131214121516151718192021222324[[#This Row],[Egwa Prod gas (MMscf)]]-Table25234678910111012131214121516151718192021222324[[#This Row],[Egwa Utilised gas (MMscf)]]</f>
        <v>0</v>
      </c>
      <c r="AD23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3" s="1044">
        <f>+Table25234678910111012131214121516151718192021222324[[#This Row],[Gas Export (MMscf/d)]]</f>
        <v>0</v>
      </c>
      <c r="AF23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3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4" spans="2:35">
      <c r="B24" s="716">
        <v>44670</v>
      </c>
      <c r="C24" s="749">
        <v>20.47</v>
      </c>
      <c r="D24" s="750">
        <v>15.22</v>
      </c>
      <c r="E24" s="750">
        <v>5.15</v>
      </c>
      <c r="F24" s="749">
        <v>3.58</v>
      </c>
      <c r="G24" s="1042">
        <f>SUM(Table25234678910111012131214121516151718192021222324[[#This Row],[Jones Creek Target (Mbopd)]:[Egwa Target (Mbopd)]])</f>
        <v>44.419999999999995</v>
      </c>
      <c r="H24" s="1068">
        <v>0</v>
      </c>
      <c r="I24" s="1068">
        <v>0</v>
      </c>
      <c r="J24" s="1068">
        <v>0</v>
      </c>
      <c r="K24" s="1068">
        <v>0</v>
      </c>
      <c r="L24" s="1068">
        <f t="shared" si="2"/>
        <v>0</v>
      </c>
      <c r="M24" s="1123">
        <v>0</v>
      </c>
      <c r="N24" s="1124">
        <f>Table25234678910111012131214121516151718192021222324[[#This Row],[Jones Creek Target (Mbopd)]]-Table25234678910111012131214121516151718192021222324[[#This Row],[Jones Creek (Mbopd)]]</f>
        <v>20.47</v>
      </c>
      <c r="O24" s="1044">
        <f>Table25234678910111012131214121516151718192021222324[[#This Row],[Odidi Target (Mbopd)]]-Table25234678910111012131214121516151718192021222324[[#This Row],[Odidi (Mbopd)]]</f>
        <v>15.22</v>
      </c>
      <c r="P24" s="1044">
        <f>Table25234678910111012131214121516151718192021222324[[#This Row],[Batan Target (Mbopd)]]-Table25234678910111012131214121516151718192021222324[[#This Row],[Batan (Mbopd)]]</f>
        <v>5.15</v>
      </c>
      <c r="Q24" s="1044">
        <f>Table25234678910111012131214121516151718192021222324[[#This Row],[Egwa Target (Mbopd)]]-Table25234678910111012131214121516151718192021222324[[#This Row],[Egwa (Mbopd)]]</f>
        <v>3.58</v>
      </c>
      <c r="R24" s="1044">
        <v>0</v>
      </c>
      <c r="S24" s="1044">
        <v>0</v>
      </c>
      <c r="T24" s="1044">
        <v>0</v>
      </c>
      <c r="U24" s="1128">
        <v>0</v>
      </c>
      <c r="V24" s="1046">
        <v>0</v>
      </c>
      <c r="W24" s="1044">
        <v>0</v>
      </c>
      <c r="X24" s="1044">
        <v>0</v>
      </c>
      <c r="Y24" s="1045">
        <v>0</v>
      </c>
      <c r="Z24" s="1046">
        <f>+Table25234678910111012131214121516151718192021222324[[#This Row],[J/C Prod gas (MMscf)]]-Table25234678910111012131214121516151718192021222324[[#This Row],[J/C Utilised gas (MMscf)]]</f>
        <v>0</v>
      </c>
      <c r="AA24" s="1044">
        <f>+Table25234678910111012131214121516151718192021222324[[#This Row],[Odid Prod gas (MMscf)]]-Table25234678910111012131214121516151718192021222324[[#This Row],[Gas Export (MMscf/d)]]</f>
        <v>0</v>
      </c>
      <c r="AB24" s="1044">
        <f>+Table25234678910111012131214121516151718192021222324[[#This Row],[Batn Prod gas (MMscf)]]-Table25234678910111012131214121516151718192021222324[[#This Row],[Batn Utilised gas (MMscf)]]</f>
        <v>0</v>
      </c>
      <c r="AC24" s="747">
        <f>+Table25234678910111012131214121516151718192021222324[[#This Row],[Egwa Prod gas (MMscf)]]-Table25234678910111012131214121516151718192021222324[[#This Row],[Egwa Utilised gas (MMscf)]]</f>
        <v>0</v>
      </c>
      <c r="AD24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4" s="1044">
        <f>+Table25234678910111012131214121516151718192021222324[[#This Row],[Gas Export (MMscf/d)]]</f>
        <v>0</v>
      </c>
      <c r="AF24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4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5" spans="2:35">
      <c r="B25" s="716">
        <v>44671</v>
      </c>
      <c r="C25" s="749">
        <v>20.47</v>
      </c>
      <c r="D25" s="750">
        <v>15.22</v>
      </c>
      <c r="E25" s="750">
        <v>5.15</v>
      </c>
      <c r="F25" s="749">
        <v>3.58</v>
      </c>
      <c r="G25" s="1042">
        <f>SUM(Table25234678910111012131214121516151718192021222324[[#This Row],[Jones Creek Target (Mbopd)]:[Egwa Target (Mbopd)]])</f>
        <v>44.419999999999995</v>
      </c>
      <c r="H25" s="1068">
        <v>0</v>
      </c>
      <c r="I25" s="1068">
        <v>0</v>
      </c>
      <c r="J25" s="1068">
        <v>0</v>
      </c>
      <c r="K25" s="1068">
        <v>0</v>
      </c>
      <c r="L25" s="1068">
        <f t="shared" si="2"/>
        <v>0</v>
      </c>
      <c r="M25" s="1123">
        <v>0</v>
      </c>
      <c r="N25" s="1124">
        <f>Table25234678910111012131214121516151718192021222324[[#This Row],[Jones Creek Target (Mbopd)]]-Table25234678910111012131214121516151718192021222324[[#This Row],[Jones Creek (Mbopd)]]</f>
        <v>20.47</v>
      </c>
      <c r="O25" s="1044">
        <f>Table25234678910111012131214121516151718192021222324[[#This Row],[Odidi Target (Mbopd)]]-Table25234678910111012131214121516151718192021222324[[#This Row],[Odidi (Mbopd)]]</f>
        <v>15.22</v>
      </c>
      <c r="P25" s="1044">
        <f>Table25234678910111012131214121516151718192021222324[[#This Row],[Batan Target (Mbopd)]]-Table25234678910111012131214121516151718192021222324[[#This Row],[Batan (Mbopd)]]</f>
        <v>5.15</v>
      </c>
      <c r="Q25" s="1044">
        <f>Table25234678910111012131214121516151718192021222324[[#This Row],[Egwa Target (Mbopd)]]-Table25234678910111012131214121516151718192021222324[[#This Row],[Egwa (Mbopd)]]</f>
        <v>3.58</v>
      </c>
      <c r="R25" s="1044">
        <v>0</v>
      </c>
      <c r="S25" s="1044">
        <v>0</v>
      </c>
      <c r="T25" s="1044">
        <v>0</v>
      </c>
      <c r="U25" s="1128">
        <v>0</v>
      </c>
      <c r="V25" s="1046">
        <v>0</v>
      </c>
      <c r="W25" s="1044">
        <v>0</v>
      </c>
      <c r="X25" s="1044">
        <v>0</v>
      </c>
      <c r="Y25" s="1045">
        <v>0</v>
      </c>
      <c r="Z25" s="1046">
        <f>+Table25234678910111012131214121516151718192021222324[[#This Row],[J/C Prod gas (MMscf)]]-Table25234678910111012131214121516151718192021222324[[#This Row],[J/C Utilised gas (MMscf)]]</f>
        <v>0</v>
      </c>
      <c r="AA25" s="1044">
        <f>+Table25234678910111012131214121516151718192021222324[[#This Row],[Odid Prod gas (MMscf)]]-Table25234678910111012131214121516151718192021222324[[#This Row],[Gas Export (MMscf/d)]]</f>
        <v>0</v>
      </c>
      <c r="AB25" s="1044">
        <f>+Table25234678910111012131214121516151718192021222324[[#This Row],[Batn Prod gas (MMscf)]]-Table25234678910111012131214121516151718192021222324[[#This Row],[Batn Utilised gas (MMscf)]]</f>
        <v>0</v>
      </c>
      <c r="AC25" s="747">
        <f>+Table25234678910111012131214121516151718192021222324[[#This Row],[Egwa Prod gas (MMscf)]]-Table25234678910111012131214121516151718192021222324[[#This Row],[Egwa Utilised gas (MMscf)]]</f>
        <v>0</v>
      </c>
      <c r="AD25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5" s="1044">
        <f>+Table25234678910111012131214121516151718192021222324[[#This Row],[Gas Export (MMscf/d)]]</f>
        <v>0</v>
      </c>
      <c r="AF25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5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6" spans="2:35" ht="19.5">
      <c r="B26" s="716">
        <v>44672</v>
      </c>
      <c r="C26" s="749">
        <v>20.47</v>
      </c>
      <c r="D26" s="750">
        <v>15.22</v>
      </c>
      <c r="E26" s="750">
        <v>5.15</v>
      </c>
      <c r="F26" s="749">
        <v>3.58</v>
      </c>
      <c r="G26" s="1042">
        <f>SUM(Table25234678910111012131214121516151718192021222324[[#This Row],[Jones Creek Target (Mbopd)]:[Egwa Target (Mbopd)]])</f>
        <v>44.419999999999995</v>
      </c>
      <c r="H26" s="1068">
        <v>0</v>
      </c>
      <c r="I26" s="1068">
        <v>0</v>
      </c>
      <c r="J26" s="1068">
        <v>0</v>
      </c>
      <c r="K26" s="1123">
        <v>0</v>
      </c>
      <c r="L26" s="1068">
        <f t="shared" si="2"/>
        <v>0</v>
      </c>
      <c r="M26" s="1123">
        <v>0</v>
      </c>
      <c r="N26" s="1124">
        <f>Table25234678910111012131214121516151718192021222324[[#This Row],[Jones Creek Target (Mbopd)]]-Table25234678910111012131214121516151718192021222324[[#This Row],[Jones Creek (Mbopd)]]</f>
        <v>20.47</v>
      </c>
      <c r="O26" s="1044">
        <f>Table25234678910111012131214121516151718192021222324[[#This Row],[Odidi Target (Mbopd)]]-Table25234678910111012131214121516151718192021222324[[#This Row],[Odidi (Mbopd)]]</f>
        <v>15.22</v>
      </c>
      <c r="P26" s="1044">
        <f>Table25234678910111012131214121516151718192021222324[[#This Row],[Batan Target (Mbopd)]]-Table25234678910111012131214121516151718192021222324[[#This Row],[Batan (Mbopd)]]</f>
        <v>5.15</v>
      </c>
      <c r="Q26" s="1044">
        <f>Table25234678910111012131214121516151718192021222324[[#This Row],[Egwa Target (Mbopd)]]-Table25234678910111012131214121516151718192021222324[[#This Row],[Egwa (Mbopd)]]</f>
        <v>3.58</v>
      </c>
      <c r="R26" s="1044">
        <v>0</v>
      </c>
      <c r="S26" s="1044">
        <v>0</v>
      </c>
      <c r="T26" s="1044">
        <v>0</v>
      </c>
      <c r="U26" s="1128">
        <v>0</v>
      </c>
      <c r="V26" s="1046">
        <v>0</v>
      </c>
      <c r="W26" s="1044">
        <v>0</v>
      </c>
      <c r="X26" s="1044">
        <v>0</v>
      </c>
      <c r="Y26" s="1045">
        <v>0</v>
      </c>
      <c r="Z26" s="1046">
        <f>+Table25234678910111012131214121516151718192021222324[[#This Row],[J/C Prod gas (MMscf)]]-Table25234678910111012131214121516151718192021222324[[#This Row],[J/C Utilised gas (MMscf)]]</f>
        <v>0</v>
      </c>
      <c r="AA26" s="1044">
        <f>+Table25234678910111012131214121516151718192021222324[[#This Row],[Odid Prod gas (MMscf)]]-Table25234678910111012131214121516151718192021222324[[#This Row],[Gas Export (MMscf/d)]]</f>
        <v>0</v>
      </c>
      <c r="AB26" s="1044">
        <f>+Table25234678910111012131214121516151718192021222324[[#This Row],[Batn Prod gas (MMscf)]]-Table25234678910111012131214121516151718192021222324[[#This Row],[Batn Utilised gas (MMscf)]]</f>
        <v>0</v>
      </c>
      <c r="AC26" s="747">
        <f>+Table25234678910111012131214121516151718192021222324[[#This Row],[Egwa Prod gas (MMscf)]]-Table25234678910111012131214121516151718192021222324[[#This Row],[Egwa Utilised gas (MMscf)]]</f>
        <v>0</v>
      </c>
      <c r="AD26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6" s="1044">
        <f>+Table25234678910111012131214121516151718192021222324[[#This Row],[Gas Export (MMscf/d)]]</f>
        <v>0</v>
      </c>
      <c r="AF26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6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7" spans="2:35" ht="19.5">
      <c r="B27" s="716">
        <v>44673</v>
      </c>
      <c r="C27" s="749">
        <v>20.47</v>
      </c>
      <c r="D27" s="750">
        <v>15.22</v>
      </c>
      <c r="E27" s="750">
        <v>5.15</v>
      </c>
      <c r="F27" s="749">
        <v>3.58</v>
      </c>
      <c r="G27" s="1120">
        <f>SUM(Table25234678910111012131214121516151718192021222324[[#This Row],[Jones Creek Target (Mbopd)]:[Egwa Target (Mbopd)]])</f>
        <v>44.419999999999995</v>
      </c>
      <c r="H27" s="1068">
        <v>0</v>
      </c>
      <c r="I27" s="1068">
        <v>0</v>
      </c>
      <c r="J27" s="1068">
        <v>0</v>
      </c>
      <c r="K27" s="1069">
        <v>0</v>
      </c>
      <c r="L27" s="1068">
        <f t="shared" si="2"/>
        <v>0</v>
      </c>
      <c r="M27" s="1123">
        <v>0</v>
      </c>
      <c r="N27" s="1124">
        <f>Table25234678910111012131214121516151718192021222324[[#This Row],[Jones Creek Target (Mbopd)]]-Table25234678910111012131214121516151718192021222324[[#This Row],[Jones Creek (Mbopd)]]</f>
        <v>20.47</v>
      </c>
      <c r="O27" s="1044">
        <f>Table25234678910111012131214121516151718192021222324[[#This Row],[Odidi Target (Mbopd)]]-Table25234678910111012131214121516151718192021222324[[#This Row],[Odidi (Mbopd)]]</f>
        <v>15.22</v>
      </c>
      <c r="P27" s="1044">
        <f>Table25234678910111012131214121516151718192021222324[[#This Row],[Batan Target (Mbopd)]]-Table25234678910111012131214121516151718192021222324[[#This Row],[Batan (Mbopd)]]</f>
        <v>5.15</v>
      </c>
      <c r="Q27" s="1044">
        <f>Table25234678910111012131214121516151718192021222324[[#This Row],[Egwa Target (Mbopd)]]-Table25234678910111012131214121516151718192021222324[[#This Row],[Egwa (Mbopd)]]</f>
        <v>3.58</v>
      </c>
      <c r="R27" s="1044">
        <v>0</v>
      </c>
      <c r="S27" s="1044">
        <v>0</v>
      </c>
      <c r="T27" s="1044">
        <v>0</v>
      </c>
      <c r="U27" s="1128">
        <v>0</v>
      </c>
      <c r="V27" s="1046">
        <v>0</v>
      </c>
      <c r="W27" s="1044">
        <v>0</v>
      </c>
      <c r="X27" s="1044">
        <v>0</v>
      </c>
      <c r="Y27" s="1045">
        <v>0</v>
      </c>
      <c r="Z27" s="1046">
        <f>+Table25234678910111012131214121516151718192021222324[[#This Row],[J/C Prod gas (MMscf)]]-Table25234678910111012131214121516151718192021222324[[#This Row],[J/C Utilised gas (MMscf)]]</f>
        <v>0</v>
      </c>
      <c r="AA27" s="1044">
        <f>+Table25234678910111012131214121516151718192021222324[[#This Row],[Odid Prod gas (MMscf)]]-Table25234678910111012131214121516151718192021222324[[#This Row],[Gas Export (MMscf/d)]]</f>
        <v>0</v>
      </c>
      <c r="AB27" s="1044">
        <f>+Table25234678910111012131214121516151718192021222324[[#This Row],[Batn Prod gas (MMscf)]]-Table25234678910111012131214121516151718192021222324[[#This Row],[Batn Utilised gas (MMscf)]]</f>
        <v>0</v>
      </c>
      <c r="AC27" s="747">
        <f>+Table25234678910111012131214121516151718192021222324[[#This Row],[Egwa Prod gas (MMscf)]]-Table25234678910111012131214121516151718192021222324[[#This Row],[Egwa Utilised gas (MMscf)]]</f>
        <v>0</v>
      </c>
      <c r="AD27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7" s="1044">
        <f>+Table25234678910111012131214121516151718192021222324[[#This Row],[Gas Export (MMscf/d)]]</f>
        <v>0</v>
      </c>
      <c r="AF27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7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8" spans="2:35" ht="19.5">
      <c r="B28" s="716">
        <v>44674</v>
      </c>
      <c r="C28" s="749">
        <v>20.47</v>
      </c>
      <c r="D28" s="750">
        <v>15.22</v>
      </c>
      <c r="E28" s="750">
        <v>5.15</v>
      </c>
      <c r="F28" s="749">
        <v>3.58</v>
      </c>
      <c r="G28" s="1042">
        <f>SUM(Table25234678910111012131214121516151718192021222324[[#This Row],[Jones Creek Target (Mbopd)]:[Egwa Target (Mbopd)]])</f>
        <v>44.419999999999995</v>
      </c>
      <c r="H28" s="1068">
        <v>0</v>
      </c>
      <c r="I28" s="1068">
        <v>0</v>
      </c>
      <c r="J28" s="1068">
        <v>0</v>
      </c>
      <c r="K28" s="1069">
        <v>0</v>
      </c>
      <c r="L28" s="1068">
        <f t="shared" si="2"/>
        <v>0</v>
      </c>
      <c r="M28" s="1123">
        <v>0</v>
      </c>
      <c r="N28" s="1124">
        <f>Table25234678910111012131214121516151718192021222324[[#This Row],[Jones Creek Target (Mbopd)]]-Table25234678910111012131214121516151718192021222324[[#This Row],[Jones Creek (Mbopd)]]</f>
        <v>20.47</v>
      </c>
      <c r="O28" s="1044">
        <f>Table25234678910111012131214121516151718192021222324[[#This Row],[Odidi Target (Mbopd)]]-Table25234678910111012131214121516151718192021222324[[#This Row],[Odidi (Mbopd)]]</f>
        <v>15.22</v>
      </c>
      <c r="P28" s="1044">
        <f>Table25234678910111012131214121516151718192021222324[[#This Row],[Batan Target (Mbopd)]]-Table25234678910111012131214121516151718192021222324[[#This Row],[Batan (Mbopd)]]</f>
        <v>5.15</v>
      </c>
      <c r="Q28" s="1044">
        <f>Table25234678910111012131214121516151718192021222324[[#This Row],[Egwa Target (Mbopd)]]-Table25234678910111012131214121516151718192021222324[[#This Row],[Egwa (Mbopd)]]</f>
        <v>3.58</v>
      </c>
      <c r="R28" s="1044">
        <v>0</v>
      </c>
      <c r="S28" s="1044">
        <v>0</v>
      </c>
      <c r="T28" s="1044">
        <v>0</v>
      </c>
      <c r="U28" s="1128">
        <v>0</v>
      </c>
      <c r="V28" s="1046">
        <v>0</v>
      </c>
      <c r="W28" s="1044">
        <v>0</v>
      </c>
      <c r="X28" s="1044">
        <v>0</v>
      </c>
      <c r="Y28" s="1045">
        <v>0</v>
      </c>
      <c r="Z28" s="1046">
        <f>+Table25234678910111012131214121516151718192021222324[[#This Row],[J/C Prod gas (MMscf)]]-Table25234678910111012131214121516151718192021222324[[#This Row],[J/C Utilised gas (MMscf)]]</f>
        <v>0</v>
      </c>
      <c r="AA28" s="1044">
        <f>+Table25234678910111012131214121516151718192021222324[[#This Row],[Odid Prod gas (MMscf)]]-Table25234678910111012131214121516151718192021222324[[#This Row],[Gas Export (MMscf/d)]]</f>
        <v>0</v>
      </c>
      <c r="AB28" s="1044">
        <f>+Table25234678910111012131214121516151718192021222324[[#This Row],[Batn Prod gas (MMscf)]]-Table25234678910111012131214121516151718192021222324[[#This Row],[Batn Utilised gas (MMscf)]]</f>
        <v>0</v>
      </c>
      <c r="AC28" s="747">
        <f>+Table25234678910111012131214121516151718192021222324[[#This Row],[Egwa Prod gas (MMscf)]]-Table25234678910111012131214121516151718192021222324[[#This Row],[Egwa Utilised gas (MMscf)]]</f>
        <v>0</v>
      </c>
      <c r="AD28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28" s="1044">
        <f>+Table25234678910111012131214121516151718192021222324[[#This Row],[Gas Export (MMscf/d)]]</f>
        <v>0</v>
      </c>
      <c r="AF28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28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29" spans="2:35">
      <c r="B29" s="716">
        <v>44675</v>
      </c>
      <c r="C29" s="749">
        <v>20.47</v>
      </c>
      <c r="D29" s="750">
        <v>15.22</v>
      </c>
      <c r="E29" s="750">
        <v>5.15</v>
      </c>
      <c r="F29" s="749">
        <v>3.58</v>
      </c>
      <c r="G29" s="1042">
        <f>SUM(Table25234678910111012131214121516151718192021222324[[#This Row],[Jones Creek Target (Mbopd)]:[Egwa Target (Mbopd)]])</f>
        <v>44.419999999999995</v>
      </c>
      <c r="H29" s="1068">
        <v>15.46</v>
      </c>
      <c r="I29" s="1068">
        <v>0</v>
      </c>
      <c r="J29" s="1068">
        <v>0</v>
      </c>
      <c r="K29" s="1069">
        <v>1.8495999999999999</v>
      </c>
      <c r="L29" s="1068">
        <f t="shared" si="2"/>
        <v>17.3096</v>
      </c>
      <c r="M29" s="1123">
        <v>0</v>
      </c>
      <c r="N29" s="1124">
        <f>Table25234678910111012131214121516151718192021222324[[#This Row],[Jones Creek Target (Mbopd)]]-Table25234678910111012131214121516151718192021222324[[#This Row],[Jones Creek (Mbopd)]]</f>
        <v>5.009999999999998</v>
      </c>
      <c r="O29" s="1044">
        <f>Table25234678910111012131214121516151718192021222324[[#This Row],[Odidi Target (Mbopd)]]-Table25234678910111012131214121516151718192021222324[[#This Row],[Odidi (Mbopd)]]</f>
        <v>15.22</v>
      </c>
      <c r="P29" s="1044">
        <f>Table25234678910111012131214121516151718192021222324[[#This Row],[Batan Target (Mbopd)]]-Table25234678910111012131214121516151718192021222324[[#This Row],[Batan (Mbopd)]]</f>
        <v>5.15</v>
      </c>
      <c r="Q29" s="1044">
        <f>Table25234678910111012131214121516151718192021222324[[#This Row],[Egwa Target (Mbopd)]]-Table25234678910111012131214121516151718192021222324[[#This Row],[Egwa (Mbopd)]]</f>
        <v>1.7304000000000002</v>
      </c>
      <c r="R29" s="1043">
        <v>6.79</v>
      </c>
      <c r="S29" s="1044">
        <v>0</v>
      </c>
      <c r="T29" s="1044">
        <v>0</v>
      </c>
      <c r="U29" s="1045">
        <v>0.53</v>
      </c>
      <c r="V29" s="1046">
        <v>0.84</v>
      </c>
      <c r="W29" s="1044">
        <v>0</v>
      </c>
      <c r="X29" s="1044">
        <v>0</v>
      </c>
      <c r="Y29" s="1045">
        <v>0</v>
      </c>
      <c r="Z29" s="1046">
        <f>+Table25234678910111012131214121516151718192021222324[[#This Row],[J/C Prod gas (MMscf)]]-Table25234678910111012131214121516151718192021222324[[#This Row],[J/C Utilised gas (MMscf)]]</f>
        <v>5.95</v>
      </c>
      <c r="AA29" s="1044">
        <f>+Table25234678910111012131214121516151718192021222324[[#This Row],[Odid Prod gas (MMscf)]]-Table25234678910111012131214121516151718192021222324[[#This Row],[Gas Export (MMscf/d)]]</f>
        <v>0</v>
      </c>
      <c r="AB29" s="1044">
        <f>+Table25234678910111012131214121516151718192021222324[[#This Row],[Batn Prod gas (MMscf)]]-Table25234678910111012131214121516151718192021222324[[#This Row],[Batn Utilised gas (MMscf)]]</f>
        <v>0</v>
      </c>
      <c r="AC29" s="747">
        <f>+Table25234678910111012131214121516151718192021222324[[#This Row],[Egwa Prod gas (MMscf)]]-Table25234678910111012131214121516151718192021222324[[#This Row],[Egwa Utilised gas (MMscf)]]</f>
        <v>0.53</v>
      </c>
      <c r="AD29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7.32</v>
      </c>
      <c r="AE29" s="1044">
        <f>+Table25234678910111012131214121516151718192021222324[[#This Row],[Gas Export (MMscf/d)]]</f>
        <v>0</v>
      </c>
      <c r="AF29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0.84</v>
      </c>
      <c r="AG29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6.48</v>
      </c>
    </row>
    <row r="30" spans="2:35">
      <c r="B30" s="716">
        <v>44676</v>
      </c>
      <c r="C30" s="749">
        <v>20.47</v>
      </c>
      <c r="D30" s="750">
        <v>15.22</v>
      </c>
      <c r="E30" s="750">
        <v>5.15</v>
      </c>
      <c r="F30" s="749">
        <v>3.58</v>
      </c>
      <c r="G30" s="1042">
        <f>SUM(Table25234678910111012131214121516151718192021222324[[#This Row],[Jones Creek Target (Mbopd)]:[Egwa Target (Mbopd)]])</f>
        <v>44.419999999999995</v>
      </c>
      <c r="H30" s="1068">
        <v>8.9890000000000008</v>
      </c>
      <c r="I30" s="1068">
        <v>0</v>
      </c>
      <c r="J30" s="1068">
        <v>0</v>
      </c>
      <c r="K30" s="1069">
        <v>0.87</v>
      </c>
      <c r="L30" s="1068">
        <f t="shared" si="2"/>
        <v>9.859</v>
      </c>
      <c r="M30" s="1123">
        <v>0</v>
      </c>
      <c r="N30" s="1124">
        <f>Table25234678910111012131214121516151718192021222324[[#This Row],[Jones Creek Target (Mbopd)]]-Table25234678910111012131214121516151718192021222324[[#This Row],[Jones Creek (Mbopd)]]</f>
        <v>11.480999999999998</v>
      </c>
      <c r="O30" s="1044">
        <f>Table25234678910111012131214121516151718192021222324[[#This Row],[Odidi Target (Mbopd)]]-Table25234678910111012131214121516151718192021222324[[#This Row],[Odidi (Mbopd)]]</f>
        <v>15.22</v>
      </c>
      <c r="P30" s="1044">
        <f>Table25234678910111012131214121516151718192021222324[[#This Row],[Batan Target (Mbopd)]]-Table25234678910111012131214121516151718192021222324[[#This Row],[Batan (Mbopd)]]</f>
        <v>5.15</v>
      </c>
      <c r="Q30" s="1044">
        <f>Table25234678910111012131214121516151718192021222324[[#This Row],[Egwa Target (Mbopd)]]-Table25234678910111012131214121516151718192021222324[[#This Row],[Egwa (Mbopd)]]</f>
        <v>2.71</v>
      </c>
      <c r="R30" s="1043">
        <v>5.15</v>
      </c>
      <c r="S30" s="1044">
        <v>0</v>
      </c>
      <c r="T30" s="1044">
        <v>0</v>
      </c>
      <c r="U30" s="1045">
        <v>0.3</v>
      </c>
      <c r="V30" s="1046">
        <v>0.84</v>
      </c>
      <c r="W30" s="1044">
        <v>0</v>
      </c>
      <c r="X30" s="1044">
        <v>0</v>
      </c>
      <c r="Y30" s="1045">
        <v>0</v>
      </c>
      <c r="Z30" s="1046">
        <f>+Table25234678910111012131214121516151718192021222324[[#This Row],[J/C Prod gas (MMscf)]]-Table25234678910111012131214121516151718192021222324[[#This Row],[J/C Utilised gas (MMscf)]]</f>
        <v>4.3100000000000005</v>
      </c>
      <c r="AA30" s="1044">
        <f>+Table25234678910111012131214121516151718192021222324[[#This Row],[Odid Prod gas (MMscf)]]-Table25234678910111012131214121516151718192021222324[[#This Row],[Gas Export (MMscf/d)]]</f>
        <v>0</v>
      </c>
      <c r="AB30" s="1044">
        <f>+Table25234678910111012131214121516151718192021222324[[#This Row],[Batn Prod gas (MMscf)]]-Table25234678910111012131214121516151718192021222324[[#This Row],[Batn Utilised gas (MMscf)]]</f>
        <v>0</v>
      </c>
      <c r="AC30" s="747">
        <f>+Table25234678910111012131214121516151718192021222324[[#This Row],[Egwa Prod gas (MMscf)]]-Table25234678910111012131214121516151718192021222324[[#This Row],[Egwa Utilised gas (MMscf)]]</f>
        <v>0.3</v>
      </c>
      <c r="AD30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5.45</v>
      </c>
      <c r="AE30" s="1044">
        <f>+Table25234678910111012131214121516151718192021222324[[#This Row],[Gas Export (MMscf/d)]]</f>
        <v>0</v>
      </c>
      <c r="AF30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0.84</v>
      </c>
      <c r="AG30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4.6100000000000003</v>
      </c>
    </row>
    <row r="31" spans="2:35">
      <c r="B31" s="716">
        <v>44677</v>
      </c>
      <c r="C31" s="749">
        <v>20.47</v>
      </c>
      <c r="D31" s="750">
        <v>15.22</v>
      </c>
      <c r="E31" s="750">
        <v>5.15</v>
      </c>
      <c r="F31" s="749">
        <v>3.58</v>
      </c>
      <c r="G31" s="1042">
        <f>SUM(Table25234678910111012131214121516151718192021222324[[#This Row],[Jones Creek Target (Mbopd)]:[Egwa Target (Mbopd)]])</f>
        <v>44.419999999999995</v>
      </c>
      <c r="H31" s="1068">
        <v>0</v>
      </c>
      <c r="I31" s="1068">
        <v>0</v>
      </c>
      <c r="J31" s="1068">
        <v>0</v>
      </c>
      <c r="K31" s="1069">
        <v>0</v>
      </c>
      <c r="L31" s="1068">
        <f t="shared" si="2"/>
        <v>0</v>
      </c>
      <c r="M31" s="1123">
        <v>0</v>
      </c>
      <c r="N31" s="1124">
        <f>Table25234678910111012131214121516151718192021222324[[#This Row],[Jones Creek Target (Mbopd)]]-Table25234678910111012131214121516151718192021222324[[#This Row],[Jones Creek (Mbopd)]]</f>
        <v>20.47</v>
      </c>
      <c r="O31" s="1044">
        <f>Table25234678910111012131214121516151718192021222324[[#This Row],[Odidi Target (Mbopd)]]-Table25234678910111012131214121516151718192021222324[[#This Row],[Odidi (Mbopd)]]</f>
        <v>15.22</v>
      </c>
      <c r="P31" s="1044">
        <f>Table25234678910111012131214121516151718192021222324[[#This Row],[Batan Target (Mbopd)]]-Table25234678910111012131214121516151718192021222324[[#This Row],[Batan (Mbopd)]]</f>
        <v>5.15</v>
      </c>
      <c r="Q31" s="1044">
        <f>Table25234678910111012131214121516151718192021222324[[#This Row],[Egwa Target (Mbopd)]]-Table25234678910111012131214121516151718192021222324[[#This Row],[Egwa (Mbopd)]]</f>
        <v>3.58</v>
      </c>
      <c r="R31" s="1043">
        <v>0</v>
      </c>
      <c r="S31" s="1044">
        <v>0</v>
      </c>
      <c r="T31" s="1044">
        <v>0</v>
      </c>
      <c r="U31" s="1045">
        <v>0</v>
      </c>
      <c r="V31" s="1046">
        <v>0</v>
      </c>
      <c r="W31" s="1044">
        <v>0</v>
      </c>
      <c r="X31" s="1044">
        <v>0</v>
      </c>
      <c r="Y31" s="1045">
        <v>0</v>
      </c>
      <c r="Z31" s="1046">
        <f>+Table25234678910111012131214121516151718192021222324[[#This Row],[J/C Prod gas (MMscf)]]-Table25234678910111012131214121516151718192021222324[[#This Row],[J/C Utilised gas (MMscf)]]</f>
        <v>0</v>
      </c>
      <c r="AA31" s="1044">
        <f>+Table25234678910111012131214121516151718192021222324[[#This Row],[Odid Prod gas (MMscf)]]-Table25234678910111012131214121516151718192021222324[[#This Row],[Gas Export (MMscf/d)]]</f>
        <v>0</v>
      </c>
      <c r="AB31" s="1044">
        <f>+Table25234678910111012131214121516151718192021222324[[#This Row],[Batn Prod gas (MMscf)]]-Table25234678910111012131214121516151718192021222324[[#This Row],[Batn Utilised gas (MMscf)]]</f>
        <v>0</v>
      </c>
      <c r="AC31" s="747">
        <f>+Table25234678910111012131214121516151718192021222324[[#This Row],[Egwa Prod gas (MMscf)]]-Table25234678910111012131214121516151718192021222324[[#This Row],[Egwa Utilised gas (MMscf)]]</f>
        <v>0</v>
      </c>
      <c r="AD31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0</v>
      </c>
      <c r="AE31" s="1044">
        <f>+Table25234678910111012131214121516151718192021222324[[#This Row],[Gas Export (MMscf/d)]]</f>
        <v>0</v>
      </c>
      <c r="AF31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31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0</v>
      </c>
    </row>
    <row r="32" spans="2:35">
      <c r="B32" s="716">
        <v>44678</v>
      </c>
      <c r="C32" s="749">
        <v>20.47</v>
      </c>
      <c r="D32" s="750">
        <v>15.22</v>
      </c>
      <c r="E32" s="750">
        <v>5.15</v>
      </c>
      <c r="F32" s="749">
        <v>3.58</v>
      </c>
      <c r="G32" s="1042">
        <f>SUM(Table25234678910111012131214121516151718192021222324[[#This Row],[Jones Creek Target (Mbopd)]:[Egwa Target (Mbopd)]])</f>
        <v>44.419999999999995</v>
      </c>
      <c r="H32" s="1068">
        <v>0</v>
      </c>
      <c r="I32" s="1042">
        <v>5.1929999999999996</v>
      </c>
      <c r="J32" s="1068">
        <v>0</v>
      </c>
      <c r="K32" s="1069">
        <v>0</v>
      </c>
      <c r="L32" s="1068">
        <f t="shared" si="2"/>
        <v>5.1929999999999996</v>
      </c>
      <c r="M32" s="1123">
        <v>0</v>
      </c>
      <c r="N32" s="1124">
        <f>Table25234678910111012131214121516151718192021222324[[#This Row],[Jones Creek Target (Mbopd)]]-Table25234678910111012131214121516151718192021222324[[#This Row],[Jones Creek (Mbopd)]]</f>
        <v>20.47</v>
      </c>
      <c r="O32" s="1044">
        <f>Table25234678910111012131214121516151718192021222324[[#This Row],[Odidi Target (Mbopd)]]-Table25234678910111012131214121516151718192021222324[[#This Row],[Odidi (Mbopd)]]</f>
        <v>10.027000000000001</v>
      </c>
      <c r="P32" s="1044">
        <f>Table25234678910111012131214121516151718192021222324[[#This Row],[Batan Target (Mbopd)]]-Table25234678910111012131214121516151718192021222324[[#This Row],[Batan (Mbopd)]]</f>
        <v>5.15</v>
      </c>
      <c r="Q32" s="1044">
        <f>Table25234678910111012131214121516151718192021222324[[#This Row],[Egwa Target (Mbopd)]]-Table25234678910111012131214121516151718192021222324[[#This Row],[Egwa (Mbopd)]]</f>
        <v>3.58</v>
      </c>
      <c r="R32" s="1043">
        <v>0</v>
      </c>
      <c r="S32" s="1127">
        <v>8.1</v>
      </c>
      <c r="T32" s="1044">
        <v>0</v>
      </c>
      <c r="U32" s="1045">
        <v>0</v>
      </c>
      <c r="V32" s="1046">
        <v>0</v>
      </c>
      <c r="W32" s="1044">
        <v>0</v>
      </c>
      <c r="X32" s="1044">
        <v>0</v>
      </c>
      <c r="Y32" s="1045">
        <v>0</v>
      </c>
      <c r="Z32" s="1046">
        <f>+Table25234678910111012131214121516151718192021222324[[#This Row],[J/C Prod gas (MMscf)]]-Table25234678910111012131214121516151718192021222324[[#This Row],[J/C Utilised gas (MMscf)]]</f>
        <v>0</v>
      </c>
      <c r="AA32" s="1044">
        <f>+Table25234678910111012131214121516151718192021222324[[#This Row],[Odid Prod gas (MMscf)]]-Table25234678910111012131214121516151718192021222324[[#This Row],[Gas Export (MMscf/d)]]</f>
        <v>8.1</v>
      </c>
      <c r="AB32" s="1044">
        <f>+Table25234678910111012131214121516151718192021222324[[#This Row],[Batn Prod gas (MMscf)]]-Table25234678910111012131214121516151718192021222324[[#This Row],[Batn Utilised gas (MMscf)]]</f>
        <v>0</v>
      </c>
      <c r="AC32" s="747">
        <f>+Table25234678910111012131214121516151718192021222324[[#This Row],[Egwa Prod gas (MMscf)]]-Table25234678910111012131214121516151718192021222324[[#This Row],[Egwa Utilised gas (MMscf)]]</f>
        <v>0</v>
      </c>
      <c r="AD32" s="1044">
        <f>+Table25234678910111012131214121516151718192021222324[[#This Row],[J/C Prod gas (MMscf)]]+Table25234678910111012131214121516151718192021222324[[#This Row],[Odid Prod gas (MMscf)]]+Table25234678910111012131214121516151718192021222324[[#This Row],[Batn Prod gas (MMscf)]]+Table25234678910111012131214121516151718192021222324[[#This Row],[Egwa Prod gas (MMscf)]]</f>
        <v>8.1</v>
      </c>
      <c r="AE32" s="1044">
        <f>+Table25234678910111012131214121516151718192021222324[[#This Row],[Gas Export (MMscf/d)]]</f>
        <v>0</v>
      </c>
      <c r="AF32" s="1044">
        <f>+Table25234678910111012131214121516151718192021222324[[#This Row],[J/C Utilised gas (MMscf)]]+Table25234678910111012131214121516151718192021222324[[#This Row],[Odid Utilised gas (MMscf)]]+Table25234678910111012131214121516151718192021222324[[#This Row],[Batn Utilised gas (MMscf)]]+Table25234678910111012131214121516151718192021222324[[#This Row],[Egwa Utilised gas (MMscf)]]</f>
        <v>0</v>
      </c>
      <c r="AG32" s="1045">
        <f>+Table25234678910111012131214121516151718192021222324[[#This Row],[ J/C Flared Gas (MMscf/d)]]+Table25234678910111012131214121516151718192021222324[[#This Row],[ Odidi Flared Gas (MMscf/d)]]+Table25234678910111012131214121516151718192021222324[[#This Row],[ Batan Flared Gas (MMscf/d)]]+Table25234678910111012131214121516151718192021222324[[#This Row],[Egwa Flared Gas (MMscf/d)]]</f>
        <v>8.1</v>
      </c>
    </row>
    <row r="33" spans="2:33">
      <c r="B33" s="716">
        <v>44679</v>
      </c>
      <c r="C33" s="749">
        <v>20.47</v>
      </c>
      <c r="D33" s="750">
        <v>15.22</v>
      </c>
      <c r="E33" s="750">
        <v>5.15</v>
      </c>
      <c r="F33" s="749">
        <v>3.58</v>
      </c>
      <c r="G33" s="1042">
        <f>SUM(Table25234678910111012131214121516151718192021222324[[#This Row],[Jones Creek Target (Mbopd)]:[Egwa Target (Mbopd)]])</f>
        <v>44.419999999999995</v>
      </c>
      <c r="H33" s="1068"/>
      <c r="I33" s="1068"/>
      <c r="J33" s="1068"/>
      <c r="K33" s="1069"/>
      <c r="L33" s="1068"/>
      <c r="M33" s="1123"/>
      <c r="N33" s="1124"/>
      <c r="O33" s="1044"/>
      <c r="P33" s="1044"/>
      <c r="Q33" s="1044"/>
      <c r="R33" s="1043"/>
      <c r="S33" s="1044"/>
      <c r="T33" s="1044"/>
      <c r="U33" s="1045"/>
      <c r="V33" s="1046"/>
      <c r="W33" s="1044"/>
      <c r="X33" s="1044"/>
      <c r="Y33" s="1045"/>
      <c r="Z33" s="1046"/>
      <c r="AA33" s="1044"/>
      <c r="AB33" s="1044"/>
      <c r="AC33" s="747"/>
      <c r="AD33" s="1044"/>
      <c r="AE33" s="1044"/>
      <c r="AF33" s="1044"/>
      <c r="AG33" s="1045"/>
    </row>
    <row r="34" spans="2:33">
      <c r="B34" s="716">
        <v>44680</v>
      </c>
      <c r="C34" s="749">
        <v>20.47</v>
      </c>
      <c r="D34" s="750">
        <v>15.22</v>
      </c>
      <c r="E34" s="750">
        <v>5.15</v>
      </c>
      <c r="F34" s="749">
        <v>3.58</v>
      </c>
      <c r="G34" s="1042">
        <f>SUM(Table25234678910111012131214121516151718192021222324[[#This Row],[Jones Creek Target (Mbopd)]:[Egwa Target (Mbopd)]])</f>
        <v>44.419999999999995</v>
      </c>
      <c r="H34" s="1068"/>
      <c r="I34" s="1042"/>
      <c r="J34" s="1068"/>
      <c r="K34" s="1069"/>
      <c r="L34" s="1068"/>
      <c r="M34" s="1123"/>
      <c r="N34" s="1124"/>
      <c r="O34" s="1044"/>
      <c r="P34" s="1044"/>
      <c r="Q34" s="1044"/>
      <c r="R34" s="1043"/>
      <c r="S34" s="1044"/>
      <c r="T34" s="1044"/>
      <c r="U34" s="1045"/>
      <c r="V34" s="1046"/>
      <c r="W34" s="1044"/>
      <c r="X34" s="1044"/>
      <c r="Y34" s="1045"/>
      <c r="Z34" s="1046"/>
      <c r="AA34" s="1044"/>
      <c r="AB34" s="1044"/>
      <c r="AC34" s="747"/>
      <c r="AD34" s="1044"/>
      <c r="AE34" s="1044"/>
      <c r="AF34" s="1044"/>
      <c r="AG34" s="1045"/>
    </row>
    <row r="35" spans="2:33">
      <c r="B35" s="716">
        <v>44681</v>
      </c>
      <c r="C35" s="749">
        <v>20.47</v>
      </c>
      <c r="D35" s="750">
        <v>15.22</v>
      </c>
      <c r="E35" s="750">
        <v>5.15</v>
      </c>
      <c r="F35" s="749">
        <v>3.58</v>
      </c>
      <c r="G35" s="1042">
        <f>SUM(Table25234678910111012131214121516151718192021222324[[#This Row],[Jones Creek Target (Mbopd)]:[Egwa Target (Mbopd)]])</f>
        <v>44.419999999999995</v>
      </c>
      <c r="H35" s="1068"/>
      <c r="I35" s="1068"/>
      <c r="J35" s="1068"/>
      <c r="K35" s="1069"/>
      <c r="L35" s="1068"/>
      <c r="M35" s="1123"/>
      <c r="N35" s="1124"/>
      <c r="O35" s="1044"/>
      <c r="P35" s="1044"/>
      <c r="Q35" s="1044"/>
      <c r="R35" s="1068"/>
      <c r="S35" s="1044"/>
      <c r="T35" s="1068"/>
      <c r="U35" s="1045"/>
      <c r="V35" s="1046"/>
      <c r="W35" s="1044"/>
      <c r="X35" s="1068"/>
      <c r="Y35" s="1045"/>
      <c r="Z35" s="1046"/>
      <c r="AA35" s="1044"/>
      <c r="AB35" s="1044"/>
      <c r="AC35" s="747"/>
      <c r="AD35" s="1044"/>
      <c r="AE35" s="1044"/>
      <c r="AF35" s="1044"/>
      <c r="AG35" s="1045"/>
    </row>
    <row r="36" spans="2:33">
      <c r="B36" s="716">
        <v>44682</v>
      </c>
      <c r="C36" s="749">
        <v>20.47</v>
      </c>
      <c r="D36" s="750">
        <v>15.22</v>
      </c>
      <c r="E36" s="750">
        <v>5.15</v>
      </c>
      <c r="F36" s="749">
        <v>3.58</v>
      </c>
      <c r="G36" s="1042">
        <f>SUM(Table25234678910111012131214121516151718192021222324[[#This Row],[Jones Creek Target (Mbopd)]:[Egwa Target (Mbopd)]])</f>
        <v>44.419999999999995</v>
      </c>
      <c r="H36" s="1174"/>
      <c r="I36" s="1068"/>
      <c r="J36" s="1068"/>
      <c r="K36" s="1069"/>
      <c r="L36" s="1068"/>
      <c r="M36" s="1123"/>
      <c r="N36" s="1124"/>
      <c r="O36" s="1044"/>
      <c r="P36" s="1044"/>
      <c r="Q36" s="1044"/>
      <c r="R36" s="1149"/>
      <c r="S36" s="1044"/>
      <c r="T36" s="1068"/>
      <c r="U36" s="1045"/>
      <c r="V36" s="1046"/>
      <c r="W36" s="1044"/>
      <c r="X36" s="1068"/>
      <c r="Y36" s="1045"/>
      <c r="Z36" s="1046"/>
      <c r="AA36" s="1044"/>
      <c r="AB36" s="1044"/>
      <c r="AC36" s="747"/>
      <c r="AD36" s="1044"/>
      <c r="AE36" s="1044"/>
      <c r="AF36" s="1044"/>
      <c r="AG36" s="1045"/>
    </row>
    <row r="37" spans="2:33">
      <c r="B37" s="716">
        <v>44683</v>
      </c>
      <c r="C37" s="749">
        <v>20.47</v>
      </c>
      <c r="D37" s="750">
        <v>15.22</v>
      </c>
      <c r="E37" s="750">
        <v>5.15</v>
      </c>
      <c r="F37" s="749">
        <v>3.58</v>
      </c>
      <c r="G37" s="1042">
        <f>SUM(Table25234678910111012131214121516151718192021222324[[#This Row],[Jones Creek Target (Mbopd)]:[Egwa Target (Mbopd)]])</f>
        <v>44.419999999999995</v>
      </c>
      <c r="H37" s="1068"/>
      <c r="I37" s="1068"/>
      <c r="J37" s="1068"/>
      <c r="K37" s="1069"/>
      <c r="L37" s="1122"/>
      <c r="M37" s="1123"/>
      <c r="N37" s="1124"/>
      <c r="O37" s="1044"/>
      <c r="P37" s="1044"/>
      <c r="Q37" s="1044"/>
      <c r="R37" s="1043"/>
      <c r="S37" s="1044"/>
      <c r="T37" s="1044"/>
      <c r="U37" s="1045"/>
      <c r="V37" s="1046"/>
      <c r="W37" s="1044"/>
      <c r="X37" s="1044"/>
      <c r="Y37" s="1045"/>
      <c r="Z37" s="1046"/>
      <c r="AA37" s="1044"/>
      <c r="AB37" s="1044"/>
      <c r="AC37" s="1045"/>
      <c r="AD37" s="1044"/>
      <c r="AE37" s="1044"/>
      <c r="AF37" s="1044"/>
      <c r="AG37" s="1045"/>
    </row>
    <row r="38" spans="2:33">
      <c r="B38" s="716">
        <v>44684</v>
      </c>
      <c r="C38" s="749">
        <v>20.47</v>
      </c>
      <c r="D38" s="750">
        <v>15.22</v>
      </c>
      <c r="E38" s="750">
        <v>5.15</v>
      </c>
      <c r="F38" s="749">
        <v>3.58</v>
      </c>
      <c r="G38" s="1042">
        <f>SUM(Table25234678910111012131214121516151718192021222324[[#This Row],[Jones Creek Target (Mbopd)]:[Egwa Target (Mbopd)]])</f>
        <v>44.419999999999995</v>
      </c>
      <c r="H38" s="1068"/>
      <c r="I38" s="1068"/>
      <c r="J38" s="1068"/>
      <c r="K38" s="1069"/>
      <c r="L38" s="1122"/>
      <c r="M38" s="1123"/>
      <c r="N38" s="1124"/>
      <c r="O38" s="1044"/>
      <c r="P38" s="1044"/>
      <c r="Q38" s="1044"/>
      <c r="R38" s="1043"/>
      <c r="S38" s="1044"/>
      <c r="T38" s="1044"/>
      <c r="U38" s="1045"/>
      <c r="V38" s="1046"/>
      <c r="W38" s="1044"/>
      <c r="X38" s="1044"/>
      <c r="Y38" s="1045"/>
      <c r="Z38" s="1046"/>
      <c r="AA38" s="1044"/>
      <c r="AB38" s="1044"/>
      <c r="AC38" s="1045"/>
      <c r="AD38" s="1044"/>
      <c r="AE38" s="1044"/>
      <c r="AF38" s="1044"/>
      <c r="AG38" s="1045"/>
    </row>
    <row r="39" spans="2:33">
      <c r="B39" s="716">
        <v>44685</v>
      </c>
      <c r="C39" s="749">
        <v>20.47</v>
      </c>
      <c r="D39" s="750">
        <v>15.22</v>
      </c>
      <c r="E39" s="750">
        <v>5.15</v>
      </c>
      <c r="F39" s="749">
        <v>3.58</v>
      </c>
      <c r="G39" s="1042">
        <f>SUM(Table25234678910111012131214121516151718192021222324[[#This Row],[Jones Creek Target (Mbopd)]:[Egwa Target (Mbopd)]])</f>
        <v>44.419999999999995</v>
      </c>
      <c r="H39" s="1068"/>
      <c r="I39" s="1068"/>
      <c r="J39" s="1068"/>
      <c r="K39" s="1069"/>
      <c r="L39" s="1122"/>
      <c r="M39" s="1123"/>
      <c r="N39" s="1124"/>
      <c r="O39" s="1044"/>
      <c r="P39" s="1044"/>
      <c r="Q39" s="1044"/>
      <c r="R39" s="1043"/>
      <c r="S39" s="1044"/>
      <c r="T39" s="1044"/>
      <c r="U39" s="1045"/>
      <c r="V39" s="1046"/>
      <c r="W39" s="1046"/>
      <c r="X39" s="1044"/>
      <c r="Y39" s="1045"/>
      <c r="Z39" s="1046"/>
      <c r="AA39" s="1044"/>
      <c r="AB39" s="1044"/>
      <c r="AC39" s="1045"/>
      <c r="AD39" s="1044"/>
      <c r="AE39" s="1044"/>
      <c r="AF39" s="1044"/>
      <c r="AG39" s="1045"/>
    </row>
    <row r="40" spans="2:33">
      <c r="B40" s="716">
        <v>44686</v>
      </c>
      <c r="C40" s="749">
        <v>20.47</v>
      </c>
      <c r="D40" s="750">
        <v>15.22</v>
      </c>
      <c r="E40" s="750">
        <v>5.15</v>
      </c>
      <c r="F40" s="749">
        <v>3.58</v>
      </c>
      <c r="G40" s="1042">
        <f>SUM(Table25234678910111012131214121516151718192021222324[[#This Row],[Jones Creek Target (Mbopd)]:[Egwa Target (Mbopd)]])</f>
        <v>44.419999999999995</v>
      </c>
      <c r="H40" s="1068"/>
      <c r="I40" s="1068"/>
      <c r="J40" s="1068"/>
      <c r="K40" s="1069"/>
      <c r="L40" s="1122"/>
      <c r="M40" s="1123"/>
      <c r="N40" s="1124"/>
      <c r="O40" s="1044"/>
      <c r="P40" s="1044"/>
      <c r="Q40" s="1044"/>
      <c r="R40" s="1043"/>
      <c r="S40" s="1044"/>
      <c r="T40" s="1044"/>
      <c r="U40" s="1045"/>
      <c r="V40" s="1046"/>
      <c r="W40" s="1046"/>
      <c r="X40" s="1044"/>
      <c r="Y40" s="1045"/>
      <c r="Z40" s="1046"/>
      <c r="AA40" s="1044"/>
      <c r="AB40" s="1044"/>
      <c r="AC40" s="1045"/>
      <c r="AD40" s="1044"/>
      <c r="AE40" s="1044"/>
      <c r="AF40" s="1044"/>
      <c r="AG40" s="1045"/>
    </row>
    <row r="41" spans="2:33">
      <c r="B41" s="1168"/>
      <c r="C41" s="1169"/>
      <c r="D41" s="1169"/>
      <c r="E41" s="1169"/>
      <c r="F41" s="1169"/>
      <c r="G41" s="1170"/>
      <c r="H41" s="1171"/>
      <c r="I41" s="1171"/>
      <c r="J41" s="1171"/>
      <c r="K41" s="1171"/>
      <c r="L41" s="1171"/>
      <c r="M41" s="1171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</row>
    <row r="42" spans="2:33">
      <c r="B42" s="1168"/>
      <c r="C42" s="1169"/>
      <c r="D42" s="1169"/>
      <c r="E42" s="1169"/>
      <c r="F42" s="1169"/>
      <c r="G42" s="1170"/>
      <c r="H42" s="1171"/>
      <c r="I42" s="1171"/>
      <c r="J42" s="1171"/>
      <c r="K42" s="1171"/>
      <c r="L42" s="1171"/>
      <c r="M42" s="1171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</row>
    <row r="43" spans="2:33">
      <c r="B43" s="1168"/>
      <c r="C43" s="1169"/>
      <c r="D43" s="1169"/>
      <c r="E43" s="1169"/>
      <c r="F43" s="1169"/>
      <c r="G43" s="1170"/>
      <c r="H43" s="1171"/>
      <c r="I43" s="1171"/>
      <c r="J43" s="1171"/>
      <c r="K43" s="1171"/>
      <c r="L43" s="1171"/>
      <c r="M43" s="1171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</row>
    <row r="45" spans="2:33" ht="27">
      <c r="B45" s="1345" t="s">
        <v>149</v>
      </c>
      <c r="C45" s="1346"/>
      <c r="D45" s="1346"/>
      <c r="E45" s="1346"/>
      <c r="F45" s="1346"/>
      <c r="G45" s="1346"/>
      <c r="H45" s="1346"/>
      <c r="I45" s="1346"/>
      <c r="J45" s="1346"/>
      <c r="K45" s="1346"/>
      <c r="L45" s="1346"/>
      <c r="M45" s="1346"/>
      <c r="N45" s="1346"/>
      <c r="O45" s="1346"/>
      <c r="P45" s="1346"/>
      <c r="Q45" s="1347"/>
    </row>
    <row r="46" spans="2:33" ht="43.15">
      <c r="B46" s="1004" t="s">
        <v>22</v>
      </c>
      <c r="C46" s="1005" t="s">
        <v>358</v>
      </c>
      <c r="D46" s="1348" t="s">
        <v>24</v>
      </c>
      <c r="E46" s="1349"/>
      <c r="F46" s="1349"/>
      <c r="G46" s="1349"/>
      <c r="H46" s="1349"/>
      <c r="I46" s="1349"/>
      <c r="J46" s="1349"/>
      <c r="K46" s="1349"/>
      <c r="L46" s="1349"/>
      <c r="M46" s="1349"/>
      <c r="N46" s="1349"/>
      <c r="O46" s="1349"/>
      <c r="P46" s="1349"/>
      <c r="Q46" s="1350"/>
    </row>
    <row r="47" spans="2:33" ht="39.4" customHeight="1">
      <c r="B47" s="656" t="s">
        <v>17</v>
      </c>
      <c r="C47" s="652">
        <f>N13</f>
        <v>5.2589999999999986</v>
      </c>
      <c r="D47" s="1358" t="s">
        <v>557</v>
      </c>
      <c r="E47" s="1359"/>
      <c r="F47" s="1359"/>
      <c r="G47" s="1359"/>
      <c r="H47" s="1359"/>
      <c r="I47" s="1359"/>
      <c r="J47" s="1359"/>
      <c r="K47" s="1359"/>
      <c r="L47" s="1359"/>
      <c r="M47" s="1359"/>
      <c r="N47" s="1359"/>
      <c r="O47" s="1359"/>
      <c r="P47" s="1359"/>
      <c r="Q47" s="1374"/>
    </row>
    <row r="48" spans="2:33" ht="36.6" customHeight="1">
      <c r="B48" s="656" t="s">
        <v>19</v>
      </c>
      <c r="C48" s="652">
        <f>O13</f>
        <v>11.402000000000001</v>
      </c>
      <c r="D48" s="1358" t="s">
        <v>558</v>
      </c>
      <c r="E48" s="1359"/>
      <c r="F48" s="1359"/>
      <c r="G48" s="1359"/>
      <c r="H48" s="1359"/>
      <c r="I48" s="1359"/>
      <c r="J48" s="1359"/>
      <c r="K48" s="1359"/>
      <c r="L48" s="1359"/>
      <c r="M48" s="1359"/>
      <c r="N48" s="1359"/>
      <c r="O48" s="1359"/>
      <c r="P48" s="1359"/>
      <c r="Q48" s="1374"/>
    </row>
    <row r="49" spans="2:36" ht="24">
      <c r="B49" s="656" t="s">
        <v>16</v>
      </c>
      <c r="C49" s="652">
        <f>P13</f>
        <v>1.5470000000000002</v>
      </c>
      <c r="D49" s="1377" t="s">
        <v>559</v>
      </c>
      <c r="E49" s="1359"/>
      <c r="F49" s="1359"/>
      <c r="G49" s="1359"/>
      <c r="H49" s="1359"/>
      <c r="I49" s="1359"/>
      <c r="J49" s="1359"/>
      <c r="K49" s="1359"/>
      <c r="L49" s="1359"/>
      <c r="M49" s="1359"/>
      <c r="N49" s="1359"/>
      <c r="O49" s="1359"/>
      <c r="P49" s="1359"/>
      <c r="Q49" s="1374"/>
    </row>
    <row r="50" spans="2:36" ht="24">
      <c r="B50" s="657" t="s">
        <v>18</v>
      </c>
      <c r="C50" s="653">
        <f>Q13</f>
        <v>3.58</v>
      </c>
      <c r="D50" s="1370" t="s">
        <v>541</v>
      </c>
      <c r="E50" s="1353"/>
      <c r="F50" s="1353"/>
      <c r="G50" s="1353"/>
      <c r="H50" s="1353"/>
      <c r="I50" s="1353"/>
      <c r="J50" s="1353"/>
      <c r="K50" s="1353"/>
      <c r="L50" s="1353"/>
      <c r="M50" s="1353"/>
      <c r="N50" s="1353"/>
      <c r="O50" s="1353"/>
      <c r="P50" s="1353"/>
      <c r="Q50" s="1376"/>
    </row>
    <row r="51" spans="2:36" ht="26.1" customHeight="1">
      <c r="B51" s="658" t="s">
        <v>187</v>
      </c>
      <c r="C51" s="654">
        <f>SUM(C47:C50)</f>
        <v>21.788000000000004</v>
      </c>
      <c r="D51" s="1355" t="s">
        <v>560</v>
      </c>
      <c r="E51" s="1356"/>
      <c r="F51" s="1356"/>
      <c r="G51" s="1356"/>
      <c r="H51" s="1356"/>
      <c r="I51" s="1356"/>
      <c r="J51" s="1356"/>
      <c r="K51" s="1356"/>
      <c r="L51" s="1356"/>
      <c r="M51" s="1356"/>
      <c r="N51" s="1356"/>
      <c r="O51" s="1356"/>
      <c r="P51" s="1356"/>
      <c r="Q51" s="1373"/>
    </row>
    <row r="52" spans="2:36" ht="24.6">
      <c r="AJ52" s="735"/>
    </row>
    <row r="65" spans="2:2">
      <c r="B65" s="1166" t="s">
        <v>543</v>
      </c>
    </row>
    <row r="66" spans="2:2">
      <c r="B66" s="1166" t="s">
        <v>544</v>
      </c>
    </row>
    <row r="67" spans="2:2">
      <c r="B67" s="1166" t="s">
        <v>545</v>
      </c>
    </row>
    <row r="89" spans="2:17" ht="19.5"/>
    <row r="90" spans="2:17" ht="27.75">
      <c r="B90" s="1345" t="s">
        <v>149</v>
      </c>
      <c r="C90" s="1346"/>
      <c r="D90" s="1346"/>
      <c r="E90" s="1346"/>
      <c r="F90" s="1346"/>
      <c r="G90" s="1346"/>
      <c r="H90" s="1346"/>
      <c r="I90" s="1346"/>
      <c r="J90" s="1346"/>
      <c r="K90" s="1346"/>
      <c r="L90" s="1346"/>
      <c r="M90" s="1346"/>
      <c r="N90" s="1346"/>
      <c r="O90" s="1346"/>
      <c r="P90" s="1346"/>
      <c r="Q90" s="1347"/>
    </row>
    <row r="91" spans="2:17" ht="35.25">
      <c r="B91" s="1004" t="s">
        <v>22</v>
      </c>
      <c r="C91" s="1005" t="s">
        <v>358</v>
      </c>
      <c r="D91" s="1348" t="s">
        <v>24</v>
      </c>
      <c r="E91" s="1349"/>
      <c r="F91" s="1349"/>
      <c r="G91" s="1349"/>
      <c r="H91" s="1349"/>
      <c r="I91" s="1349"/>
      <c r="J91" s="1349"/>
      <c r="K91" s="1349"/>
      <c r="L91" s="1349"/>
      <c r="M91" s="1349"/>
      <c r="N91" s="1349"/>
      <c r="O91" s="1349"/>
      <c r="P91" s="1349"/>
      <c r="Q91" s="1350"/>
    </row>
    <row r="92" spans="2:17" ht="39" customHeight="1">
      <c r="B92" s="656" t="s">
        <v>17</v>
      </c>
      <c r="C92" s="652">
        <f>N30</f>
        <v>11.480999999999998</v>
      </c>
      <c r="D92" s="1358" t="s">
        <v>561</v>
      </c>
      <c r="E92" s="1359"/>
      <c r="F92" s="1359"/>
      <c r="G92" s="1359"/>
      <c r="H92" s="1359"/>
      <c r="I92" s="1359"/>
      <c r="J92" s="1359"/>
      <c r="K92" s="1359"/>
      <c r="L92" s="1359"/>
      <c r="M92" s="1359"/>
      <c r="N92" s="1359"/>
      <c r="O92" s="1359"/>
      <c r="P92" s="1359"/>
      <c r="Q92" s="1374"/>
    </row>
    <row r="93" spans="2:17" ht="39" customHeight="1">
      <c r="B93" s="656" t="s">
        <v>19</v>
      </c>
      <c r="C93" s="652">
        <f>O30</f>
        <v>15.22</v>
      </c>
      <c r="D93" s="1358" t="s">
        <v>562</v>
      </c>
      <c r="E93" s="1359"/>
      <c r="F93" s="1359"/>
      <c r="G93" s="1359"/>
      <c r="H93" s="1359"/>
      <c r="I93" s="1359"/>
      <c r="J93" s="1359"/>
      <c r="K93" s="1359"/>
      <c r="L93" s="1359"/>
      <c r="M93" s="1359"/>
      <c r="N93" s="1359"/>
      <c r="O93" s="1359"/>
      <c r="P93" s="1359"/>
      <c r="Q93" s="1374"/>
    </row>
    <row r="94" spans="2:17" ht="24">
      <c r="B94" s="656" t="s">
        <v>16</v>
      </c>
      <c r="C94" s="652">
        <f>P30</f>
        <v>5.15</v>
      </c>
      <c r="D94" s="1377" t="s">
        <v>563</v>
      </c>
      <c r="E94" s="1359"/>
      <c r="F94" s="1359"/>
      <c r="G94" s="1359"/>
      <c r="H94" s="1359"/>
      <c r="I94" s="1359"/>
      <c r="J94" s="1359"/>
      <c r="K94" s="1359"/>
      <c r="L94" s="1359"/>
      <c r="M94" s="1359"/>
      <c r="N94" s="1359"/>
      <c r="O94" s="1359"/>
      <c r="P94" s="1359"/>
      <c r="Q94" s="1374"/>
    </row>
    <row r="95" spans="2:17" ht="24">
      <c r="B95" s="657" t="s">
        <v>18</v>
      </c>
      <c r="C95" s="653">
        <f>Q30</f>
        <v>2.71</v>
      </c>
      <c r="D95" s="1370" t="s">
        <v>564</v>
      </c>
      <c r="E95" s="1353"/>
      <c r="F95" s="1353"/>
      <c r="G95" s="1353"/>
      <c r="H95" s="1353"/>
      <c r="I95" s="1353"/>
      <c r="J95" s="1353"/>
      <c r="K95" s="1353"/>
      <c r="L95" s="1353"/>
      <c r="M95" s="1353"/>
      <c r="N95" s="1353"/>
      <c r="O95" s="1353"/>
      <c r="P95" s="1353"/>
      <c r="Q95" s="1376"/>
    </row>
    <row r="96" spans="2:17" ht="24">
      <c r="B96" s="658" t="s">
        <v>187</v>
      </c>
      <c r="C96" s="654">
        <f>SUM(C92:C95)</f>
        <v>34.561</v>
      </c>
      <c r="D96" s="1355" t="s">
        <v>560</v>
      </c>
      <c r="E96" s="1356"/>
      <c r="F96" s="1356"/>
      <c r="G96" s="1356"/>
      <c r="H96" s="1356"/>
      <c r="I96" s="1356"/>
      <c r="J96" s="1356"/>
      <c r="K96" s="1356"/>
      <c r="L96" s="1356"/>
      <c r="M96" s="1356"/>
      <c r="N96" s="1356"/>
      <c r="O96" s="1356"/>
      <c r="P96" s="1356"/>
      <c r="Q96" s="1373"/>
    </row>
    <row r="97" ht="19.5"/>
  </sheetData>
  <mergeCells count="15">
    <mergeCell ref="D95:Q95"/>
    <mergeCell ref="D96:Q96"/>
    <mergeCell ref="B90:Q90"/>
    <mergeCell ref="D91:Q91"/>
    <mergeCell ref="D92:Q92"/>
    <mergeCell ref="D93:Q93"/>
    <mergeCell ref="D94:Q94"/>
    <mergeCell ref="D50:Q50"/>
    <mergeCell ref="D51:Q51"/>
    <mergeCell ref="AJ8:AO8"/>
    <mergeCell ref="B45:Q45"/>
    <mergeCell ref="D46:Q46"/>
    <mergeCell ref="D47:Q47"/>
    <mergeCell ref="D48:Q48"/>
    <mergeCell ref="D49:Q49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3:T22"/>
  <sheetViews>
    <sheetView zoomScale="90" zoomScaleNormal="90" workbookViewId="0">
      <selection activeCell="C20" sqref="C20"/>
    </sheetView>
  </sheetViews>
  <sheetFormatPr defaultRowHeight="15"/>
  <cols>
    <col min="2" max="2" width="17.5546875" customWidth="1"/>
    <col min="3" max="3" width="9.5546875" style="1" customWidth="1"/>
    <col min="4" max="5" width="8.77734375" style="1"/>
  </cols>
  <sheetData>
    <row r="3" spans="2:18" ht="19.149999999999999">
      <c r="B3" s="726" t="s">
        <v>565</v>
      </c>
      <c r="C3" s="1006" t="s">
        <v>566</v>
      </c>
      <c r="D3" s="1006" t="s">
        <v>567</v>
      </c>
      <c r="E3" s="1007" t="s">
        <v>568</v>
      </c>
    </row>
    <row r="4" spans="2:18" ht="19.149999999999999">
      <c r="B4" s="1078" t="s">
        <v>569</v>
      </c>
      <c r="C4" s="1079">
        <v>894</v>
      </c>
      <c r="D4" s="1008">
        <f>+C4/C11*360</f>
        <v>17.045707324823898</v>
      </c>
      <c r="E4" s="1009">
        <f>+C4/C11</f>
        <v>4.7349187013399713E-2</v>
      </c>
    </row>
    <row r="5" spans="2:18" ht="19.149999999999999">
      <c r="B5" s="1078" t="s">
        <v>570</v>
      </c>
      <c r="C5" s="1079">
        <v>2117</v>
      </c>
      <c r="D5" s="1008">
        <f>+C5/C11*360</f>
        <v>40.364387479476726</v>
      </c>
      <c r="E5" s="1009">
        <f>+C5/C11</f>
        <v>0.11212329855410201</v>
      </c>
    </row>
    <row r="6" spans="2:18" ht="19.149999999999999">
      <c r="B6" s="1078" t="s">
        <v>571</v>
      </c>
      <c r="C6" s="1079">
        <v>6105</v>
      </c>
      <c r="D6" s="1008">
        <f>+C6/C11*360</f>
        <v>116.40273290609608</v>
      </c>
      <c r="E6" s="1009">
        <f>+C6/C11</f>
        <v>0.32334092473915577</v>
      </c>
    </row>
    <row r="7" spans="2:18" ht="19.149999999999999">
      <c r="B7" s="1078" t="s">
        <v>572</v>
      </c>
      <c r="C7" s="1079">
        <v>277</v>
      </c>
      <c r="D7" s="1008">
        <f>+C7/C11*360</f>
        <v>5.2814999205550555</v>
      </c>
      <c r="E7" s="1009">
        <f>+C7/C11</f>
        <v>1.4670833112652932E-2</v>
      </c>
    </row>
    <row r="8" spans="2:18" ht="19.149999999999999">
      <c r="B8" s="1078" t="s">
        <v>573</v>
      </c>
      <c r="C8" s="1079">
        <v>3522</v>
      </c>
      <c r="D8" s="1008">
        <f>+C8/C11*360</f>
        <v>67.153222816588112</v>
      </c>
      <c r="E8" s="1009">
        <f>+C8/C11</f>
        <v>0.18653673004607807</v>
      </c>
    </row>
    <row r="9" spans="2:18" ht="19.149999999999999">
      <c r="B9" s="1078" t="s">
        <v>574</v>
      </c>
      <c r="C9" s="1079">
        <v>1333</v>
      </c>
      <c r="D9" s="1008">
        <f>+C9/C11*360</f>
        <v>25.416026693501404</v>
      </c>
      <c r="E9" s="1009">
        <f>+C9/C11</f>
        <v>7.0600074148615008E-2</v>
      </c>
    </row>
    <row r="10" spans="2:18" ht="19.149999999999999">
      <c r="B10" s="1078" t="s">
        <v>473</v>
      </c>
      <c r="C10" s="1079">
        <v>4633</v>
      </c>
      <c r="D10" s="1008">
        <f>+C10/C11*360</f>
        <v>88.336422858958741</v>
      </c>
      <c r="E10" s="1009">
        <f>+C10/C11</f>
        <v>0.2453789523859965</v>
      </c>
      <c r="N10">
        <v>15220</v>
      </c>
      <c r="P10" s="1078" t="s">
        <v>575</v>
      </c>
      <c r="Q10" s="1079">
        <v>2923</v>
      </c>
      <c r="R10" s="1008" t="e">
        <f>+Q10/Q12*360</f>
        <v>#DIV/0!</v>
      </c>
    </row>
    <row r="11" spans="2:18" ht="19.149999999999999">
      <c r="B11" s="580"/>
      <c r="C11" s="1010">
        <f>SUM(C4:C10)</f>
        <v>18881</v>
      </c>
      <c r="D11" s="1011">
        <f>SUM(D4:D10)</f>
        <v>360</v>
      </c>
      <c r="E11" s="1012">
        <f>SUM(E4:E10)</f>
        <v>1</v>
      </c>
      <c r="N11">
        <v>5560</v>
      </c>
    </row>
    <row r="12" spans="2:18">
      <c r="N12">
        <f>N10-N11</f>
        <v>9660</v>
      </c>
    </row>
    <row r="14" spans="2:18" ht="19.149999999999999">
      <c r="O14" s="1078" t="s">
        <v>576</v>
      </c>
      <c r="P14" s="1079">
        <v>890</v>
      </c>
      <c r="Q14" s="1008" t="e">
        <f>+P14/P20*360</f>
        <v>#DIV/0!</v>
      </c>
      <c r="R14" s="1009" t="e">
        <f>+P14/P20</f>
        <v>#DIV/0!</v>
      </c>
    </row>
    <row r="15" spans="2:18">
      <c r="C15" s="1148"/>
    </row>
    <row r="17" spans="3:20" ht="19.149999999999999">
      <c r="Q17" s="1078" t="s">
        <v>569</v>
      </c>
      <c r="R17" s="1079">
        <v>894</v>
      </c>
      <c r="S17" s="1008" t="e">
        <f>+R17/R23*360</f>
        <v>#DIV/0!</v>
      </c>
      <c r="T17" s="1009" t="e">
        <f>+R17/R23</f>
        <v>#DIV/0!</v>
      </c>
    </row>
    <row r="18" spans="3:20" ht="19.149999999999999">
      <c r="Q18" s="1078" t="s">
        <v>570</v>
      </c>
      <c r="R18" s="1079">
        <v>1043</v>
      </c>
      <c r="S18" s="1008" t="e">
        <f>+R18/R23*360</f>
        <v>#DIV/0!</v>
      </c>
      <c r="T18" s="1009" t="e">
        <f>+R18/R23</f>
        <v>#DIV/0!</v>
      </c>
    </row>
    <row r="19" spans="3:20" ht="19.149999999999999">
      <c r="D19" s="1148"/>
      <c r="E19" s="1148"/>
      <c r="Q19" s="1078" t="s">
        <v>571</v>
      </c>
      <c r="R19" s="1079">
        <v>23212</v>
      </c>
      <c r="S19" s="1008" t="e">
        <f>+R19/R23*360</f>
        <v>#DIV/0!</v>
      </c>
      <c r="T19" s="1009" t="e">
        <f>+R19/R23</f>
        <v>#DIV/0!</v>
      </c>
    </row>
    <row r="20" spans="3:20" ht="19.149999999999999">
      <c r="C20" s="1148"/>
      <c r="D20" s="1148"/>
      <c r="Q20" s="1078" t="s">
        <v>572</v>
      </c>
      <c r="R20" s="1079">
        <v>277</v>
      </c>
      <c r="S20" s="1008" t="e">
        <f>+R20/R23*360</f>
        <v>#DIV/0!</v>
      </c>
      <c r="T20" s="1009" t="e">
        <f>+R20/R23</f>
        <v>#DIV/0!</v>
      </c>
    </row>
    <row r="21" spans="3:20" ht="19.149999999999999">
      <c r="Q21" s="1078" t="s">
        <v>574</v>
      </c>
      <c r="R21" s="1079">
        <v>1100</v>
      </c>
      <c r="S21" s="1008" t="e">
        <f>+R21/R23*360</f>
        <v>#DIV/0!</v>
      </c>
      <c r="T21" s="1009" t="e">
        <f>+R21/R23</f>
        <v>#DIV/0!</v>
      </c>
    </row>
    <row r="22" spans="3:20" ht="19.149999999999999">
      <c r="Q22" s="1078" t="s">
        <v>473</v>
      </c>
      <c r="R22" s="1079">
        <v>964</v>
      </c>
      <c r="S22" s="1008" t="e">
        <f>+R22/R23*360</f>
        <v>#DIV/0!</v>
      </c>
      <c r="T22" s="1009" t="e">
        <f>+R22/R23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43ED-BE11-4803-BBBA-B32A20400790}">
  <dimension ref="A2:M1001"/>
  <sheetViews>
    <sheetView showGridLines="0" zoomScale="90" zoomScaleNormal="90" workbookViewId="0">
      <selection activeCell="K16" sqref="K16"/>
    </sheetView>
  </sheetViews>
  <sheetFormatPr defaultColWidth="8.77734375" defaultRowHeight="19.149999999999999"/>
  <cols>
    <col min="1" max="1" width="8.77734375" style="580"/>
    <col min="2" max="2" width="10.77734375" style="580" customWidth="1"/>
    <col min="3" max="3" width="9.109375" style="580" customWidth="1"/>
    <col min="4" max="4" width="8.44140625" style="580" customWidth="1"/>
    <col min="5" max="9" width="9.109375" style="580" customWidth="1"/>
    <col min="10" max="10" width="9.6640625" style="580" customWidth="1"/>
    <col min="11" max="11" width="28" style="580" customWidth="1"/>
    <col min="12" max="16384" width="8.77734375" style="580"/>
  </cols>
  <sheetData>
    <row r="2" spans="1:13" ht="27.6" thickBot="1">
      <c r="A2" s="874"/>
      <c r="B2" s="1378" t="s">
        <v>577</v>
      </c>
      <c r="C2" s="1378"/>
      <c r="D2" s="1378"/>
      <c r="E2" s="1378"/>
      <c r="F2" s="1378"/>
      <c r="G2" s="1378"/>
      <c r="H2" s="1378"/>
      <c r="I2" s="1378"/>
      <c r="J2" s="1378"/>
      <c r="K2" s="1378"/>
      <c r="L2" s="892"/>
      <c r="M2" s="874"/>
    </row>
    <row r="3" spans="1:13" ht="50.45">
      <c r="A3" s="874"/>
      <c r="B3" s="876"/>
      <c r="C3" s="886" t="s">
        <v>578</v>
      </c>
      <c r="D3" s="886" t="s">
        <v>579</v>
      </c>
      <c r="E3" s="886" t="s">
        <v>580</v>
      </c>
      <c r="F3" s="886" t="s">
        <v>581</v>
      </c>
      <c r="G3" s="886" t="s">
        <v>582</v>
      </c>
      <c r="H3" s="886" t="s">
        <v>583</v>
      </c>
      <c r="I3" s="886" t="s">
        <v>584</v>
      </c>
      <c r="J3" s="887" t="s">
        <v>585</v>
      </c>
      <c r="K3" s="888" t="s">
        <v>586</v>
      </c>
      <c r="L3" s="893"/>
      <c r="M3" s="874"/>
    </row>
    <row r="4" spans="1:13" ht="32.65" customHeight="1">
      <c r="A4" s="874"/>
      <c r="B4" s="877" t="s">
        <v>587</v>
      </c>
      <c r="C4" s="889">
        <v>5</v>
      </c>
      <c r="D4" s="889">
        <v>5</v>
      </c>
      <c r="E4" s="889">
        <v>0</v>
      </c>
      <c r="F4" s="889">
        <v>0</v>
      </c>
      <c r="G4" s="889">
        <v>0</v>
      </c>
      <c r="H4" s="889">
        <v>0</v>
      </c>
      <c r="I4" s="889">
        <v>0</v>
      </c>
      <c r="J4" s="890">
        <v>0</v>
      </c>
      <c r="K4" s="878"/>
      <c r="L4" s="874"/>
      <c r="M4" s="874"/>
    </row>
    <row r="5" spans="1:13" ht="32.450000000000003" customHeight="1">
      <c r="A5" s="874"/>
      <c r="B5" s="877" t="s">
        <v>18</v>
      </c>
      <c r="C5" s="889">
        <v>4</v>
      </c>
      <c r="D5" s="889">
        <v>4</v>
      </c>
      <c r="E5" s="889">
        <v>4</v>
      </c>
      <c r="F5" s="889">
        <v>4</v>
      </c>
      <c r="G5" s="889">
        <v>4</v>
      </c>
      <c r="H5" s="889">
        <v>0</v>
      </c>
      <c r="I5" s="889">
        <v>0</v>
      </c>
      <c r="J5" s="890">
        <f>+G5/D5</f>
        <v>1</v>
      </c>
      <c r="K5" s="885" t="s">
        <v>588</v>
      </c>
      <c r="L5" s="874"/>
      <c r="M5" s="874"/>
    </row>
    <row r="6" spans="1:13" ht="64.900000000000006" customHeight="1">
      <c r="A6" s="874"/>
      <c r="B6" s="877" t="s">
        <v>19</v>
      </c>
      <c r="C6" s="889">
        <v>24</v>
      </c>
      <c r="D6" s="889">
        <v>22</v>
      </c>
      <c r="E6" s="889">
        <v>16</v>
      </c>
      <c r="F6" s="889">
        <v>16</v>
      </c>
      <c r="G6" s="889">
        <v>16</v>
      </c>
      <c r="H6" s="889">
        <v>0</v>
      </c>
      <c r="I6" s="889">
        <v>0</v>
      </c>
      <c r="J6" s="890">
        <f>+G6/D6</f>
        <v>0.72727272727272729</v>
      </c>
      <c r="K6" s="885" t="s">
        <v>589</v>
      </c>
      <c r="L6" s="874"/>
      <c r="M6" s="879"/>
    </row>
    <row r="7" spans="1:13" ht="65.650000000000006" customHeight="1">
      <c r="A7" s="874"/>
      <c r="B7" s="880" t="s">
        <v>17</v>
      </c>
      <c r="C7" s="891">
        <v>27</v>
      </c>
      <c r="D7" s="891">
        <v>23</v>
      </c>
      <c r="E7" s="891">
        <v>23</v>
      </c>
      <c r="F7" s="891">
        <v>23</v>
      </c>
      <c r="G7" s="891">
        <v>23</v>
      </c>
      <c r="H7" s="891">
        <v>0</v>
      </c>
      <c r="I7" s="891">
        <v>0</v>
      </c>
      <c r="J7" s="890">
        <f>+G7/D7</f>
        <v>1</v>
      </c>
      <c r="K7" s="999" t="s">
        <v>588</v>
      </c>
      <c r="L7" s="874"/>
      <c r="M7" s="879"/>
    </row>
    <row r="8" spans="1:13" ht="26.65" customHeight="1" thickBot="1">
      <c r="A8" s="874"/>
      <c r="B8" s="881" t="s">
        <v>182</v>
      </c>
      <c r="C8" s="891">
        <f>+SUM(C4:C7)</f>
        <v>60</v>
      </c>
      <c r="D8" s="891">
        <f t="shared" ref="D8:I8" si="0">+SUM(D4:D7)</f>
        <v>54</v>
      </c>
      <c r="E8" s="891">
        <f t="shared" si="0"/>
        <v>43</v>
      </c>
      <c r="F8" s="891">
        <f t="shared" si="0"/>
        <v>43</v>
      </c>
      <c r="G8" s="891">
        <f t="shared" si="0"/>
        <v>43</v>
      </c>
      <c r="H8" s="891">
        <f t="shared" si="0"/>
        <v>0</v>
      </c>
      <c r="I8" s="891">
        <f t="shared" si="0"/>
        <v>0</v>
      </c>
      <c r="J8" s="890">
        <f>+G8/D8</f>
        <v>0.79629629629629628</v>
      </c>
      <c r="K8" s="882"/>
      <c r="L8" s="874"/>
      <c r="M8" s="879"/>
    </row>
    <row r="9" spans="1:13">
      <c r="A9" s="874"/>
      <c r="B9" s="875"/>
      <c r="C9" s="874"/>
      <c r="D9" s="874"/>
      <c r="E9" s="874"/>
      <c r="F9" s="874"/>
      <c r="G9" s="874"/>
      <c r="H9" s="874"/>
      <c r="I9" s="874"/>
      <c r="J9" s="874"/>
      <c r="K9" s="874"/>
      <c r="L9" s="874"/>
      <c r="M9" s="879"/>
    </row>
    <row r="10" spans="1:13">
      <c r="A10" s="874"/>
      <c r="B10" s="875"/>
      <c r="C10" s="874"/>
      <c r="D10" s="874"/>
      <c r="E10" s="874"/>
      <c r="F10" s="874"/>
      <c r="G10" s="874"/>
      <c r="H10" s="874"/>
      <c r="I10" s="874"/>
      <c r="J10" s="874"/>
      <c r="K10" s="874"/>
      <c r="L10" s="874"/>
      <c r="M10" s="879"/>
    </row>
    <row r="11" spans="1:13">
      <c r="A11" s="874"/>
      <c r="B11" s="875"/>
      <c r="C11" s="883"/>
      <c r="D11" s="883"/>
      <c r="E11" s="883"/>
      <c r="F11" s="883"/>
      <c r="G11" s="883"/>
      <c r="H11" s="874"/>
      <c r="I11" s="874"/>
      <c r="J11" s="874"/>
      <c r="K11" s="884"/>
      <c r="L11" s="874"/>
      <c r="M11" s="879"/>
    </row>
    <row r="12" spans="1:13">
      <c r="A12" s="874"/>
      <c r="B12" s="875"/>
      <c r="C12" s="883"/>
      <c r="D12" s="883"/>
      <c r="E12" s="883"/>
      <c r="F12" s="883"/>
      <c r="G12" s="883"/>
      <c r="H12" s="874"/>
      <c r="I12" s="874"/>
      <c r="J12" s="874"/>
      <c r="K12" s="884"/>
      <c r="L12" s="874"/>
      <c r="M12" s="879"/>
    </row>
    <row r="13" spans="1:13">
      <c r="A13" s="874"/>
      <c r="B13" s="875"/>
      <c r="C13" s="874"/>
      <c r="D13" s="874"/>
      <c r="E13" s="883"/>
      <c r="F13" s="883"/>
      <c r="G13" s="883"/>
      <c r="H13" s="874"/>
      <c r="I13" s="874"/>
      <c r="J13" s="874"/>
      <c r="K13" s="884"/>
      <c r="L13" s="874"/>
      <c r="M13" s="879"/>
    </row>
    <row r="14" spans="1:13">
      <c r="A14" s="874"/>
      <c r="B14" s="875"/>
      <c r="C14" s="874"/>
      <c r="D14" s="874"/>
      <c r="E14" s="874"/>
      <c r="F14" s="874"/>
      <c r="G14" s="874"/>
      <c r="H14" s="874"/>
      <c r="I14" s="874"/>
      <c r="J14" s="874"/>
      <c r="K14" s="884"/>
      <c r="L14" s="874"/>
      <c r="M14" s="879"/>
    </row>
    <row r="15" spans="1:13">
      <c r="A15" s="874"/>
      <c r="B15" s="875"/>
      <c r="C15" s="874"/>
      <c r="D15" s="874"/>
      <c r="E15" s="874"/>
      <c r="F15" s="874"/>
      <c r="G15" s="874"/>
      <c r="H15" s="874"/>
      <c r="I15" s="874"/>
      <c r="J15" s="874"/>
      <c r="K15" s="874"/>
      <c r="L15" s="874"/>
      <c r="M15" s="879"/>
    </row>
    <row r="16" spans="1:13">
      <c r="A16" s="874"/>
      <c r="B16" s="875"/>
      <c r="C16" s="874"/>
      <c r="D16" s="874"/>
      <c r="E16" s="874"/>
      <c r="F16" s="874"/>
      <c r="G16" s="874"/>
      <c r="H16" s="874"/>
      <c r="I16" s="874"/>
      <c r="J16" s="874"/>
      <c r="K16" s="884"/>
      <c r="L16" s="874"/>
      <c r="M16" s="879"/>
    </row>
    <row r="17" spans="1:13">
      <c r="A17" s="874"/>
      <c r="B17" s="875"/>
      <c r="C17" s="874"/>
      <c r="D17" s="874"/>
      <c r="E17" s="874"/>
      <c r="F17" s="874"/>
      <c r="G17" s="874"/>
      <c r="H17" s="874"/>
      <c r="I17" s="874"/>
      <c r="J17" s="874"/>
      <c r="K17" s="874"/>
      <c r="L17" s="874"/>
      <c r="M17" s="879"/>
    </row>
    <row r="18" spans="1:13">
      <c r="A18" s="874"/>
      <c r="B18" s="875"/>
      <c r="C18" s="874"/>
      <c r="D18" s="874"/>
      <c r="E18" s="874"/>
      <c r="F18" s="874"/>
      <c r="G18" s="874"/>
      <c r="H18" s="874"/>
      <c r="I18" s="874"/>
      <c r="J18" s="874"/>
      <c r="K18" s="874"/>
      <c r="L18" s="874"/>
      <c r="M18" s="879"/>
    </row>
    <row r="19" spans="1:13">
      <c r="A19" s="874"/>
      <c r="B19" s="875"/>
      <c r="C19" s="874"/>
      <c r="D19" s="874"/>
      <c r="E19" s="874"/>
      <c r="F19" s="874"/>
      <c r="G19" s="874"/>
      <c r="H19" s="874"/>
      <c r="I19" s="874"/>
      <c r="J19" s="874"/>
      <c r="K19" s="874"/>
      <c r="L19" s="874"/>
      <c r="M19" s="879"/>
    </row>
    <row r="20" spans="1:13">
      <c r="A20" s="874"/>
      <c r="B20" s="875"/>
      <c r="C20" s="874"/>
      <c r="D20" s="874"/>
      <c r="E20" s="874"/>
      <c r="F20" s="874"/>
      <c r="G20" s="874"/>
      <c r="H20" s="874"/>
      <c r="I20" s="874"/>
      <c r="J20" s="874"/>
      <c r="K20" s="874"/>
      <c r="L20" s="874"/>
      <c r="M20" s="879"/>
    </row>
    <row r="21" spans="1:13">
      <c r="A21" s="874"/>
      <c r="B21" s="875"/>
      <c r="C21" s="874"/>
      <c r="D21" s="874"/>
      <c r="E21" s="874"/>
      <c r="F21" s="874"/>
      <c r="G21" s="874"/>
      <c r="H21" s="874"/>
      <c r="I21" s="874"/>
      <c r="J21" s="874"/>
      <c r="K21" s="874"/>
      <c r="L21" s="874"/>
      <c r="M21" s="874"/>
    </row>
    <row r="22" spans="1:13">
      <c r="A22" s="874"/>
      <c r="B22" s="875"/>
      <c r="C22" s="874"/>
      <c r="D22" s="874"/>
      <c r="E22" s="874"/>
      <c r="F22" s="874"/>
      <c r="G22" s="874"/>
      <c r="H22" s="874"/>
      <c r="I22" s="874"/>
      <c r="J22" s="874"/>
      <c r="K22" s="874"/>
      <c r="L22" s="874"/>
      <c r="M22" s="874"/>
    </row>
    <row r="23" spans="1:13">
      <c r="A23" s="874"/>
      <c r="B23" s="875"/>
      <c r="C23" s="874"/>
      <c r="D23" s="874"/>
      <c r="E23" s="874"/>
      <c r="F23" s="874"/>
      <c r="G23" s="874"/>
      <c r="H23" s="874"/>
      <c r="I23" s="874"/>
      <c r="J23" s="874"/>
      <c r="K23" s="874"/>
      <c r="L23" s="874"/>
      <c r="M23" s="874"/>
    </row>
    <row r="24" spans="1:13">
      <c r="A24" s="874"/>
      <c r="B24" s="875"/>
      <c r="C24" s="874"/>
      <c r="D24" s="874"/>
      <c r="E24" s="874"/>
      <c r="F24" s="874"/>
      <c r="G24" s="874"/>
      <c r="H24" s="874"/>
      <c r="I24" s="874"/>
      <c r="J24" s="874"/>
      <c r="K24" s="874"/>
      <c r="L24" s="874"/>
      <c r="M24" s="874"/>
    </row>
    <row r="25" spans="1:13">
      <c r="A25" s="874"/>
      <c r="B25" s="875"/>
      <c r="C25" s="874"/>
      <c r="D25" s="874"/>
      <c r="E25" s="874"/>
      <c r="F25" s="874"/>
      <c r="G25" s="874"/>
      <c r="H25" s="874"/>
      <c r="I25" s="874"/>
      <c r="J25" s="874"/>
      <c r="K25" s="874"/>
      <c r="L25" s="874"/>
      <c r="M25" s="874"/>
    </row>
    <row r="26" spans="1:13">
      <c r="A26" s="874"/>
      <c r="B26" s="875"/>
      <c r="C26" s="874"/>
      <c r="D26" s="874"/>
      <c r="E26" s="874"/>
      <c r="F26" s="874"/>
      <c r="G26" s="874"/>
      <c r="H26" s="874"/>
      <c r="I26" s="874"/>
      <c r="J26" s="874"/>
      <c r="K26" s="874"/>
      <c r="L26" s="874"/>
      <c r="M26" s="874"/>
    </row>
    <row r="27" spans="1:13">
      <c r="A27" s="874"/>
      <c r="B27" s="875"/>
      <c r="C27" s="874"/>
      <c r="D27" s="874"/>
      <c r="E27" s="874"/>
      <c r="F27" s="874"/>
      <c r="G27" s="874"/>
      <c r="H27" s="874"/>
      <c r="I27" s="874"/>
      <c r="J27" s="874"/>
      <c r="K27" s="874"/>
      <c r="L27" s="874"/>
      <c r="M27" s="874"/>
    </row>
    <row r="28" spans="1:13">
      <c r="A28" s="874"/>
      <c r="B28" s="875"/>
      <c r="C28" s="874"/>
      <c r="D28" s="874"/>
      <c r="E28" s="874"/>
      <c r="F28" s="874"/>
      <c r="G28" s="874"/>
      <c r="H28" s="874"/>
      <c r="I28" s="874"/>
      <c r="J28" s="874"/>
      <c r="K28" s="874"/>
      <c r="L28" s="874"/>
      <c r="M28" s="874"/>
    </row>
    <row r="29" spans="1:13">
      <c r="A29" s="874"/>
      <c r="B29" s="875"/>
      <c r="C29" s="874"/>
      <c r="D29" s="874"/>
      <c r="E29" s="874"/>
      <c r="F29" s="874"/>
      <c r="G29" s="874"/>
      <c r="H29" s="874"/>
      <c r="I29" s="874"/>
      <c r="J29" s="874"/>
      <c r="K29" s="874"/>
      <c r="L29" s="874"/>
      <c r="M29" s="874"/>
    </row>
    <row r="30" spans="1:13">
      <c r="A30" s="874"/>
      <c r="B30" s="875"/>
      <c r="C30" s="874"/>
      <c r="D30" s="874"/>
      <c r="E30" s="874"/>
      <c r="F30" s="874"/>
      <c r="G30" s="874"/>
      <c r="H30" s="874"/>
      <c r="I30" s="874"/>
      <c r="J30" s="874"/>
      <c r="K30" s="874"/>
      <c r="L30" s="874"/>
      <c r="M30" s="874"/>
    </row>
    <row r="31" spans="1:13">
      <c r="A31" s="874"/>
      <c r="B31" s="875"/>
      <c r="C31" s="874"/>
      <c r="D31" s="874"/>
      <c r="E31" s="874"/>
      <c r="F31" s="874"/>
      <c r="G31" s="874"/>
      <c r="H31" s="874"/>
      <c r="I31" s="874"/>
      <c r="J31" s="874"/>
      <c r="K31" s="874"/>
      <c r="L31" s="874"/>
      <c r="M31" s="874"/>
    </row>
    <row r="32" spans="1:13">
      <c r="A32" s="874"/>
      <c r="B32" s="875"/>
      <c r="C32" s="874"/>
      <c r="D32" s="874"/>
      <c r="E32" s="874"/>
      <c r="F32" s="874"/>
      <c r="G32" s="874"/>
      <c r="H32" s="874"/>
      <c r="I32" s="874"/>
      <c r="J32" s="874"/>
      <c r="K32" s="874"/>
      <c r="L32" s="874"/>
      <c r="M32" s="874"/>
    </row>
    <row r="33" spans="1:13">
      <c r="A33" s="874"/>
      <c r="B33" s="875"/>
      <c r="C33" s="874"/>
      <c r="D33" s="874"/>
      <c r="E33" s="874"/>
      <c r="F33" s="874"/>
      <c r="G33" s="874"/>
      <c r="H33" s="874"/>
      <c r="I33" s="874"/>
      <c r="J33" s="874"/>
      <c r="K33" s="874"/>
      <c r="L33" s="874"/>
      <c r="M33" s="874"/>
    </row>
    <row r="34" spans="1:13">
      <c r="A34" s="874"/>
      <c r="B34" s="875"/>
      <c r="C34" s="874"/>
      <c r="D34" s="874"/>
      <c r="E34" s="874"/>
      <c r="F34" s="874"/>
      <c r="G34" s="874"/>
      <c r="H34" s="874"/>
      <c r="I34" s="874"/>
      <c r="J34" s="874"/>
      <c r="K34" s="874"/>
      <c r="L34" s="874"/>
      <c r="M34" s="874"/>
    </row>
    <row r="35" spans="1:13">
      <c r="A35" s="874"/>
      <c r="B35" s="875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</row>
    <row r="36" spans="1:13">
      <c r="A36" s="874"/>
      <c r="B36" s="875"/>
      <c r="C36" s="874"/>
      <c r="D36" s="874"/>
      <c r="E36" s="874"/>
      <c r="F36" s="874"/>
      <c r="G36" s="874"/>
      <c r="H36" s="874"/>
      <c r="I36" s="874"/>
      <c r="J36" s="874"/>
      <c r="K36" s="874"/>
      <c r="L36" s="874"/>
      <c r="M36" s="874"/>
    </row>
    <row r="37" spans="1:13">
      <c r="A37" s="874"/>
      <c r="B37" s="875"/>
      <c r="C37" s="874"/>
      <c r="D37" s="874"/>
      <c r="E37" s="874"/>
      <c r="F37" s="874"/>
      <c r="G37" s="874"/>
      <c r="H37" s="874"/>
      <c r="I37" s="874"/>
      <c r="J37" s="874"/>
      <c r="K37" s="874"/>
      <c r="L37" s="874"/>
      <c r="M37" s="874"/>
    </row>
    <row r="38" spans="1:13">
      <c r="A38" s="874"/>
      <c r="B38" s="875"/>
      <c r="C38" s="874"/>
      <c r="D38" s="874"/>
      <c r="E38" s="874"/>
      <c r="F38" s="874"/>
      <c r="G38" s="874"/>
      <c r="H38" s="874"/>
      <c r="I38" s="874"/>
      <c r="J38" s="874"/>
      <c r="K38" s="874"/>
      <c r="L38" s="874"/>
      <c r="M38" s="874"/>
    </row>
    <row r="39" spans="1:13">
      <c r="A39" s="874"/>
      <c r="B39" s="875"/>
      <c r="C39" s="874"/>
      <c r="D39" s="874"/>
      <c r="E39" s="874"/>
      <c r="F39" s="874"/>
      <c r="G39" s="874"/>
      <c r="H39" s="874"/>
      <c r="I39" s="874"/>
      <c r="J39" s="874"/>
      <c r="K39" s="874"/>
      <c r="L39" s="874"/>
      <c r="M39" s="874"/>
    </row>
    <row r="40" spans="1:13">
      <c r="A40" s="874"/>
      <c r="B40" s="875"/>
      <c r="C40" s="874"/>
      <c r="D40" s="874"/>
      <c r="E40" s="874"/>
      <c r="F40" s="874"/>
      <c r="G40" s="874"/>
      <c r="H40" s="874"/>
      <c r="I40" s="874"/>
      <c r="J40" s="874"/>
      <c r="K40" s="874"/>
      <c r="L40" s="874"/>
      <c r="M40" s="874"/>
    </row>
    <row r="41" spans="1:13">
      <c r="A41" s="874"/>
      <c r="B41" s="875"/>
      <c r="C41" s="874"/>
      <c r="D41" s="874"/>
      <c r="E41" s="874"/>
      <c r="F41" s="874"/>
      <c r="G41" s="874"/>
      <c r="H41" s="874"/>
      <c r="I41" s="874"/>
      <c r="J41" s="874"/>
      <c r="K41" s="874"/>
      <c r="L41" s="874"/>
      <c r="M41" s="874"/>
    </row>
    <row r="42" spans="1:13">
      <c r="A42" s="874"/>
      <c r="B42" s="875"/>
      <c r="C42" s="874"/>
      <c r="D42" s="874"/>
      <c r="E42" s="874"/>
      <c r="F42" s="874"/>
      <c r="G42" s="874"/>
      <c r="H42" s="874"/>
      <c r="I42" s="874"/>
      <c r="J42" s="874"/>
      <c r="K42" s="874"/>
      <c r="L42" s="874"/>
      <c r="M42" s="874"/>
    </row>
    <row r="43" spans="1:13">
      <c r="A43" s="874"/>
      <c r="B43" s="875"/>
      <c r="C43" s="874"/>
      <c r="D43" s="874"/>
      <c r="E43" s="874"/>
      <c r="F43" s="874"/>
      <c r="G43" s="874"/>
      <c r="H43" s="874"/>
      <c r="I43" s="874"/>
      <c r="J43" s="874"/>
      <c r="K43" s="874"/>
      <c r="L43" s="874"/>
      <c r="M43" s="874"/>
    </row>
    <row r="44" spans="1:13">
      <c r="A44" s="874"/>
      <c r="B44" s="875"/>
      <c r="C44" s="874"/>
      <c r="D44" s="874"/>
      <c r="E44" s="874"/>
      <c r="F44" s="874"/>
      <c r="G44" s="874"/>
      <c r="H44" s="874"/>
      <c r="I44" s="874"/>
      <c r="J44" s="874"/>
      <c r="K44" s="874"/>
      <c r="L44" s="874"/>
      <c r="M44" s="874"/>
    </row>
    <row r="45" spans="1:13">
      <c r="A45" s="874"/>
      <c r="B45" s="875"/>
      <c r="C45" s="874"/>
      <c r="D45" s="874"/>
      <c r="E45" s="874"/>
      <c r="F45" s="874"/>
      <c r="G45" s="874"/>
      <c r="H45" s="874"/>
      <c r="I45" s="874"/>
      <c r="J45" s="874"/>
      <c r="K45" s="874"/>
      <c r="L45" s="874"/>
      <c r="M45" s="874"/>
    </row>
    <row r="46" spans="1:13">
      <c r="A46" s="874"/>
      <c r="B46" s="875"/>
      <c r="C46" s="874"/>
      <c r="D46" s="874"/>
      <c r="E46" s="874"/>
      <c r="F46" s="874"/>
      <c r="G46" s="874"/>
      <c r="H46" s="874"/>
      <c r="I46" s="874"/>
      <c r="J46" s="874"/>
      <c r="K46" s="874"/>
      <c r="L46" s="874"/>
      <c r="M46" s="874"/>
    </row>
    <row r="47" spans="1:13">
      <c r="A47" s="874"/>
      <c r="B47" s="875"/>
      <c r="C47" s="874"/>
      <c r="D47" s="874"/>
      <c r="E47" s="874"/>
      <c r="F47" s="874"/>
      <c r="G47" s="874"/>
      <c r="H47" s="874"/>
      <c r="I47" s="874"/>
      <c r="J47" s="874"/>
      <c r="K47" s="874"/>
      <c r="L47" s="874"/>
      <c r="M47" s="874"/>
    </row>
    <row r="48" spans="1:13">
      <c r="A48" s="874"/>
      <c r="B48" s="875"/>
      <c r="C48" s="874"/>
      <c r="D48" s="874"/>
      <c r="E48" s="874"/>
      <c r="F48" s="874"/>
      <c r="G48" s="874"/>
      <c r="H48" s="874"/>
      <c r="I48" s="874"/>
      <c r="J48" s="874"/>
      <c r="K48" s="874"/>
      <c r="L48" s="874"/>
      <c r="M48" s="874"/>
    </row>
    <row r="49" spans="1:13">
      <c r="A49" s="874"/>
      <c r="B49" s="875"/>
      <c r="C49" s="874"/>
      <c r="D49" s="874"/>
      <c r="E49" s="874"/>
      <c r="F49" s="874"/>
      <c r="G49" s="874"/>
      <c r="H49" s="874"/>
      <c r="I49" s="874"/>
      <c r="J49" s="874"/>
      <c r="K49" s="874"/>
      <c r="L49" s="874"/>
      <c r="M49" s="874"/>
    </row>
    <row r="50" spans="1:13">
      <c r="A50" s="874"/>
      <c r="B50" s="875"/>
      <c r="C50" s="874"/>
      <c r="D50" s="874"/>
      <c r="E50" s="874"/>
      <c r="F50" s="874"/>
      <c r="G50" s="874"/>
      <c r="H50" s="874"/>
      <c r="I50" s="874"/>
      <c r="J50" s="874"/>
      <c r="K50" s="874"/>
      <c r="L50" s="874"/>
      <c r="M50" s="874"/>
    </row>
    <row r="51" spans="1:13">
      <c r="A51" s="874"/>
      <c r="B51" s="875"/>
      <c r="C51" s="874"/>
      <c r="D51" s="874"/>
      <c r="E51" s="874"/>
      <c r="F51" s="874"/>
      <c r="G51" s="874"/>
      <c r="H51" s="874"/>
      <c r="I51" s="874"/>
      <c r="J51" s="874"/>
      <c r="K51" s="874"/>
      <c r="L51" s="874"/>
      <c r="M51" s="874"/>
    </row>
    <row r="52" spans="1:13">
      <c r="A52" s="874"/>
      <c r="B52" s="875"/>
      <c r="C52" s="874"/>
      <c r="D52" s="874"/>
      <c r="E52" s="874"/>
      <c r="F52" s="874"/>
      <c r="G52" s="874"/>
      <c r="H52" s="874"/>
      <c r="I52" s="874"/>
      <c r="J52" s="874"/>
      <c r="K52" s="874"/>
      <c r="L52" s="874"/>
      <c r="M52" s="874"/>
    </row>
    <row r="53" spans="1:13">
      <c r="A53" s="874"/>
      <c r="B53" s="875"/>
      <c r="C53" s="874"/>
      <c r="D53" s="874"/>
      <c r="E53" s="874"/>
      <c r="F53" s="874"/>
      <c r="G53" s="874"/>
      <c r="H53" s="874"/>
      <c r="I53" s="874"/>
      <c r="J53" s="874"/>
      <c r="K53" s="874"/>
      <c r="L53" s="874"/>
      <c r="M53" s="874"/>
    </row>
    <row r="54" spans="1:13">
      <c r="A54" s="874"/>
      <c r="B54" s="875"/>
      <c r="C54" s="874"/>
      <c r="D54" s="874"/>
      <c r="E54" s="874"/>
      <c r="F54" s="874"/>
      <c r="G54" s="874"/>
      <c r="H54" s="874"/>
      <c r="I54" s="874"/>
      <c r="J54" s="874"/>
      <c r="K54" s="874"/>
      <c r="L54" s="874"/>
      <c r="M54" s="874"/>
    </row>
    <row r="55" spans="1:13">
      <c r="A55" s="874"/>
      <c r="B55" s="875"/>
      <c r="C55" s="874"/>
      <c r="D55" s="874"/>
      <c r="E55" s="874"/>
      <c r="F55" s="874"/>
      <c r="G55" s="874"/>
      <c r="H55" s="874"/>
      <c r="I55" s="874"/>
      <c r="J55" s="874"/>
      <c r="K55" s="874"/>
      <c r="L55" s="874"/>
      <c r="M55" s="874"/>
    </row>
    <row r="56" spans="1:13">
      <c r="A56" s="874"/>
      <c r="B56" s="875"/>
      <c r="C56" s="874"/>
      <c r="D56" s="874"/>
      <c r="E56" s="874"/>
      <c r="F56" s="874"/>
      <c r="G56" s="874"/>
      <c r="H56" s="874"/>
      <c r="I56" s="874"/>
      <c r="J56" s="874"/>
      <c r="K56" s="874"/>
      <c r="L56" s="874"/>
      <c r="M56" s="874"/>
    </row>
    <row r="57" spans="1:13">
      <c r="A57" s="874"/>
      <c r="B57" s="875"/>
      <c r="C57" s="874"/>
      <c r="D57" s="874"/>
      <c r="E57" s="874"/>
      <c r="F57" s="874"/>
      <c r="G57" s="874"/>
      <c r="H57" s="874"/>
      <c r="I57" s="874"/>
      <c r="J57" s="874"/>
      <c r="K57" s="874"/>
      <c r="L57" s="874"/>
      <c r="M57" s="874"/>
    </row>
    <row r="58" spans="1:13">
      <c r="A58" s="874"/>
      <c r="B58" s="875"/>
      <c r="C58" s="874"/>
      <c r="D58" s="874"/>
      <c r="E58" s="874"/>
      <c r="F58" s="874"/>
      <c r="G58" s="874"/>
      <c r="H58" s="874"/>
      <c r="I58" s="874"/>
      <c r="J58" s="874"/>
      <c r="K58" s="874"/>
      <c r="L58" s="874"/>
      <c r="M58" s="874"/>
    </row>
    <row r="59" spans="1:13">
      <c r="A59" s="874"/>
      <c r="B59" s="875"/>
      <c r="C59" s="874"/>
      <c r="D59" s="874"/>
      <c r="E59" s="874"/>
      <c r="F59" s="874"/>
      <c r="G59" s="874"/>
      <c r="H59" s="874"/>
      <c r="I59" s="874"/>
      <c r="J59" s="874"/>
      <c r="K59" s="874"/>
      <c r="L59" s="874"/>
      <c r="M59" s="874"/>
    </row>
    <row r="60" spans="1:13">
      <c r="A60" s="874"/>
      <c r="B60" s="875"/>
      <c r="C60" s="874"/>
      <c r="D60" s="874"/>
      <c r="E60" s="874"/>
      <c r="F60" s="874"/>
      <c r="G60" s="874"/>
      <c r="H60" s="874"/>
      <c r="I60" s="874"/>
      <c r="J60" s="874"/>
      <c r="K60" s="874"/>
      <c r="L60" s="874"/>
      <c r="M60" s="874"/>
    </row>
    <row r="61" spans="1:13">
      <c r="A61" s="874"/>
      <c r="B61" s="875"/>
      <c r="C61" s="874"/>
      <c r="D61" s="874"/>
      <c r="E61" s="874"/>
      <c r="F61" s="874"/>
      <c r="G61" s="874"/>
      <c r="H61" s="874"/>
      <c r="I61" s="874"/>
      <c r="J61" s="874"/>
      <c r="K61" s="874"/>
      <c r="L61" s="874"/>
      <c r="M61" s="874"/>
    </row>
    <row r="62" spans="1:13">
      <c r="A62" s="874"/>
      <c r="B62" s="875"/>
      <c r="C62" s="874"/>
      <c r="D62" s="874"/>
      <c r="E62" s="874"/>
      <c r="F62" s="874"/>
      <c r="G62" s="874"/>
      <c r="H62" s="874"/>
      <c r="I62" s="874"/>
      <c r="J62" s="874"/>
      <c r="K62" s="874"/>
      <c r="L62" s="874"/>
      <c r="M62" s="874"/>
    </row>
    <row r="63" spans="1:13">
      <c r="A63" s="874"/>
      <c r="B63" s="875"/>
      <c r="C63" s="874"/>
      <c r="D63" s="874"/>
      <c r="E63" s="874"/>
      <c r="F63" s="874"/>
      <c r="G63" s="874"/>
      <c r="H63" s="874"/>
      <c r="I63" s="874"/>
      <c r="J63" s="874"/>
      <c r="K63" s="874"/>
      <c r="L63" s="874"/>
      <c r="M63" s="874"/>
    </row>
    <row r="64" spans="1:13">
      <c r="A64" s="874"/>
      <c r="B64" s="875"/>
      <c r="C64" s="874"/>
      <c r="D64" s="874"/>
      <c r="E64" s="874"/>
      <c r="F64" s="874"/>
      <c r="G64" s="874"/>
      <c r="H64" s="874"/>
      <c r="I64" s="874"/>
      <c r="J64" s="874"/>
      <c r="K64" s="874"/>
      <c r="L64" s="874"/>
      <c r="M64" s="874"/>
    </row>
    <row r="65" spans="1:13">
      <c r="A65" s="874"/>
      <c r="B65" s="875"/>
      <c r="C65" s="874"/>
      <c r="D65" s="874"/>
      <c r="E65" s="874"/>
      <c r="F65" s="874"/>
      <c r="G65" s="874"/>
      <c r="H65" s="874"/>
      <c r="I65" s="874"/>
      <c r="J65" s="874"/>
      <c r="K65" s="874"/>
      <c r="L65" s="874"/>
      <c r="M65" s="874"/>
    </row>
    <row r="66" spans="1:13">
      <c r="A66" s="874"/>
      <c r="B66" s="875"/>
      <c r="C66" s="874"/>
      <c r="D66" s="874"/>
      <c r="E66" s="874"/>
      <c r="F66" s="874"/>
      <c r="G66" s="874"/>
      <c r="H66" s="874"/>
      <c r="I66" s="874"/>
      <c r="J66" s="874"/>
      <c r="K66" s="874"/>
      <c r="L66" s="874"/>
      <c r="M66" s="874"/>
    </row>
    <row r="67" spans="1:13">
      <c r="A67" s="874"/>
      <c r="B67" s="875"/>
      <c r="C67" s="874"/>
      <c r="D67" s="874"/>
      <c r="E67" s="874"/>
      <c r="F67" s="874"/>
      <c r="G67" s="874"/>
      <c r="H67" s="874"/>
      <c r="I67" s="874"/>
      <c r="J67" s="874"/>
      <c r="K67" s="874"/>
      <c r="L67" s="874"/>
      <c r="M67" s="874"/>
    </row>
    <row r="68" spans="1:13">
      <c r="A68" s="874"/>
      <c r="B68" s="875"/>
      <c r="C68" s="874"/>
      <c r="D68" s="874"/>
      <c r="E68" s="874"/>
      <c r="F68" s="874"/>
      <c r="G68" s="874"/>
      <c r="H68" s="874"/>
      <c r="I68" s="874"/>
      <c r="J68" s="874"/>
      <c r="K68" s="874"/>
      <c r="L68" s="874"/>
      <c r="M68" s="874"/>
    </row>
    <row r="69" spans="1:13">
      <c r="A69" s="874"/>
      <c r="B69" s="875"/>
      <c r="C69" s="874"/>
      <c r="D69" s="874"/>
      <c r="E69" s="874"/>
      <c r="F69" s="874"/>
      <c r="G69" s="874"/>
      <c r="H69" s="874"/>
      <c r="I69" s="874"/>
      <c r="J69" s="874"/>
      <c r="K69" s="874"/>
      <c r="L69" s="874"/>
      <c r="M69" s="874"/>
    </row>
    <row r="70" spans="1:13">
      <c r="A70" s="874"/>
      <c r="B70" s="875"/>
      <c r="C70" s="874"/>
      <c r="D70" s="874"/>
      <c r="E70" s="874"/>
      <c r="F70" s="874"/>
      <c r="G70" s="874"/>
      <c r="H70" s="874"/>
      <c r="I70" s="874"/>
      <c r="J70" s="874"/>
      <c r="K70" s="874"/>
      <c r="L70" s="874"/>
      <c r="M70" s="874"/>
    </row>
    <row r="71" spans="1:13">
      <c r="A71" s="874"/>
      <c r="B71" s="875"/>
      <c r="C71" s="874"/>
      <c r="D71" s="874"/>
      <c r="E71" s="874"/>
      <c r="F71" s="874"/>
      <c r="G71" s="874"/>
      <c r="H71" s="874"/>
      <c r="I71" s="874"/>
      <c r="J71" s="874"/>
      <c r="K71" s="874"/>
      <c r="L71" s="874"/>
      <c r="M71" s="874"/>
    </row>
    <row r="72" spans="1:13">
      <c r="A72" s="874"/>
      <c r="B72" s="875"/>
      <c r="C72" s="874"/>
      <c r="D72" s="874"/>
      <c r="E72" s="874"/>
      <c r="F72" s="874"/>
      <c r="G72" s="874"/>
      <c r="H72" s="874"/>
      <c r="I72" s="874"/>
      <c r="J72" s="874"/>
      <c r="K72" s="874"/>
      <c r="L72" s="874"/>
      <c r="M72" s="874"/>
    </row>
    <row r="73" spans="1:13">
      <c r="A73" s="874"/>
      <c r="B73" s="875"/>
      <c r="C73" s="874"/>
      <c r="D73" s="874"/>
      <c r="E73" s="874"/>
      <c r="F73" s="874"/>
      <c r="G73" s="874"/>
      <c r="H73" s="874"/>
      <c r="I73" s="874"/>
      <c r="J73" s="874"/>
      <c r="K73" s="874"/>
      <c r="L73" s="874"/>
      <c r="M73" s="874"/>
    </row>
    <row r="74" spans="1:13">
      <c r="A74" s="874"/>
      <c r="B74" s="875"/>
      <c r="C74" s="874"/>
      <c r="D74" s="874"/>
      <c r="E74" s="874"/>
      <c r="F74" s="874"/>
      <c r="G74" s="874"/>
      <c r="H74" s="874"/>
      <c r="I74" s="874"/>
      <c r="J74" s="874"/>
      <c r="K74" s="874"/>
      <c r="L74" s="874"/>
      <c r="M74" s="874"/>
    </row>
    <row r="75" spans="1:13">
      <c r="A75" s="874"/>
      <c r="B75" s="875"/>
      <c r="C75" s="874"/>
      <c r="D75" s="874"/>
      <c r="E75" s="874"/>
      <c r="F75" s="874"/>
      <c r="G75" s="874"/>
      <c r="H75" s="874"/>
      <c r="I75" s="874"/>
      <c r="J75" s="874"/>
      <c r="K75" s="874"/>
      <c r="L75" s="874"/>
      <c r="M75" s="874"/>
    </row>
    <row r="76" spans="1:13">
      <c r="A76" s="874"/>
      <c r="B76" s="875"/>
      <c r="C76" s="874"/>
      <c r="D76" s="874"/>
      <c r="E76" s="874"/>
      <c r="F76" s="874"/>
      <c r="G76" s="874"/>
      <c r="H76" s="874"/>
      <c r="I76" s="874"/>
      <c r="J76" s="874"/>
      <c r="K76" s="874"/>
      <c r="L76" s="874"/>
      <c r="M76" s="874"/>
    </row>
    <row r="77" spans="1:13">
      <c r="A77" s="874"/>
      <c r="B77" s="875"/>
      <c r="C77" s="874"/>
      <c r="D77" s="874"/>
      <c r="E77" s="874"/>
      <c r="F77" s="874"/>
      <c r="G77" s="874"/>
      <c r="H77" s="874"/>
      <c r="I77" s="874"/>
      <c r="J77" s="874"/>
      <c r="K77" s="874"/>
      <c r="L77" s="874"/>
      <c r="M77" s="874"/>
    </row>
    <row r="78" spans="1:13">
      <c r="A78" s="874"/>
      <c r="B78" s="875"/>
      <c r="C78" s="874"/>
      <c r="D78" s="874"/>
      <c r="E78" s="874"/>
      <c r="F78" s="874"/>
      <c r="G78" s="874"/>
      <c r="H78" s="874"/>
      <c r="I78" s="874"/>
      <c r="J78" s="874"/>
      <c r="K78" s="874"/>
      <c r="L78" s="874"/>
      <c r="M78" s="874"/>
    </row>
    <row r="79" spans="1:13">
      <c r="A79" s="874"/>
      <c r="B79" s="875"/>
      <c r="C79" s="874"/>
      <c r="D79" s="874"/>
      <c r="E79" s="874"/>
      <c r="F79" s="874"/>
      <c r="G79" s="874"/>
      <c r="H79" s="874"/>
      <c r="I79" s="874"/>
      <c r="J79" s="874"/>
      <c r="K79" s="874"/>
      <c r="L79" s="874"/>
      <c r="M79" s="874"/>
    </row>
    <row r="80" spans="1:13">
      <c r="A80" s="874"/>
      <c r="B80" s="875"/>
      <c r="C80" s="874"/>
      <c r="D80" s="874"/>
      <c r="E80" s="874"/>
      <c r="F80" s="874"/>
      <c r="G80" s="874"/>
      <c r="H80" s="874"/>
      <c r="I80" s="874"/>
      <c r="J80" s="874"/>
      <c r="K80" s="874"/>
      <c r="L80" s="874"/>
      <c r="M80" s="874"/>
    </row>
    <row r="81" spans="1:13">
      <c r="A81" s="874"/>
      <c r="B81" s="875"/>
      <c r="C81" s="874"/>
      <c r="D81" s="874"/>
      <c r="E81" s="874"/>
      <c r="F81" s="874"/>
      <c r="G81" s="874"/>
      <c r="H81" s="874"/>
      <c r="I81" s="874"/>
      <c r="J81" s="874"/>
      <c r="K81" s="874"/>
      <c r="L81" s="874"/>
      <c r="M81" s="874"/>
    </row>
    <row r="82" spans="1:13">
      <c r="A82" s="874"/>
      <c r="B82" s="875"/>
      <c r="C82" s="874"/>
      <c r="D82" s="874"/>
      <c r="E82" s="874"/>
      <c r="F82" s="874"/>
      <c r="G82" s="874"/>
      <c r="H82" s="874"/>
      <c r="I82" s="874"/>
      <c r="J82" s="874"/>
      <c r="K82" s="874"/>
      <c r="L82" s="874"/>
      <c r="M82" s="874"/>
    </row>
    <row r="83" spans="1:13">
      <c r="A83" s="874"/>
      <c r="B83" s="875"/>
      <c r="C83" s="874"/>
      <c r="D83" s="874"/>
      <c r="E83" s="874"/>
      <c r="F83" s="874"/>
      <c r="G83" s="874"/>
      <c r="H83" s="874"/>
      <c r="I83" s="874"/>
      <c r="J83" s="874"/>
      <c r="K83" s="874"/>
      <c r="L83" s="874"/>
      <c r="M83" s="874"/>
    </row>
    <row r="84" spans="1:13">
      <c r="A84" s="874"/>
      <c r="B84" s="875"/>
      <c r="C84" s="874"/>
      <c r="D84" s="874"/>
      <c r="E84" s="874"/>
      <c r="F84" s="874"/>
      <c r="G84" s="874"/>
      <c r="H84" s="874"/>
      <c r="I84" s="874"/>
      <c r="J84" s="874"/>
      <c r="K84" s="874"/>
      <c r="L84" s="874"/>
      <c r="M84" s="874"/>
    </row>
    <row r="85" spans="1:13">
      <c r="A85" s="874"/>
      <c r="B85" s="875"/>
      <c r="C85" s="874"/>
      <c r="D85" s="874"/>
      <c r="E85" s="874"/>
      <c r="F85" s="874"/>
      <c r="G85" s="874"/>
      <c r="H85" s="874"/>
      <c r="I85" s="874"/>
      <c r="J85" s="874"/>
      <c r="K85" s="874"/>
      <c r="L85" s="874"/>
      <c r="M85" s="874"/>
    </row>
    <row r="86" spans="1:13">
      <c r="A86" s="874"/>
      <c r="B86" s="875"/>
      <c r="C86" s="874"/>
      <c r="D86" s="874"/>
      <c r="E86" s="874"/>
      <c r="F86" s="874"/>
      <c r="G86" s="874"/>
      <c r="H86" s="874"/>
      <c r="I86" s="874"/>
      <c r="J86" s="874"/>
      <c r="K86" s="874"/>
      <c r="L86" s="874"/>
      <c r="M86" s="874"/>
    </row>
    <row r="87" spans="1:13">
      <c r="A87" s="874"/>
      <c r="B87" s="875"/>
      <c r="C87" s="874"/>
      <c r="D87" s="874"/>
      <c r="E87" s="874"/>
      <c r="F87" s="874"/>
      <c r="G87" s="874"/>
      <c r="H87" s="874"/>
      <c r="I87" s="874"/>
      <c r="J87" s="874"/>
      <c r="K87" s="874"/>
      <c r="L87" s="874"/>
      <c r="M87" s="874"/>
    </row>
    <row r="88" spans="1:13">
      <c r="A88" s="874"/>
      <c r="B88" s="875"/>
      <c r="C88" s="874"/>
      <c r="D88" s="874"/>
      <c r="E88" s="874"/>
      <c r="F88" s="874"/>
      <c r="G88" s="874"/>
      <c r="H88" s="874"/>
      <c r="I88" s="874"/>
      <c r="J88" s="874"/>
      <c r="K88" s="874"/>
      <c r="L88" s="874"/>
      <c r="M88" s="874"/>
    </row>
    <row r="89" spans="1:13">
      <c r="A89" s="874"/>
      <c r="B89" s="875"/>
      <c r="C89" s="874"/>
      <c r="D89" s="874"/>
      <c r="E89" s="874"/>
      <c r="F89" s="874"/>
      <c r="G89" s="874"/>
      <c r="H89" s="874"/>
      <c r="I89" s="874"/>
      <c r="J89" s="874"/>
      <c r="K89" s="874"/>
      <c r="L89" s="874"/>
      <c r="M89" s="874"/>
    </row>
    <row r="90" spans="1:13">
      <c r="A90" s="874"/>
      <c r="B90" s="875"/>
      <c r="C90" s="874"/>
      <c r="D90" s="874"/>
      <c r="E90" s="874"/>
      <c r="F90" s="874"/>
      <c r="G90" s="874"/>
      <c r="H90" s="874"/>
      <c r="I90" s="874"/>
      <c r="J90" s="874"/>
      <c r="K90" s="874"/>
      <c r="L90" s="874"/>
      <c r="M90" s="874"/>
    </row>
    <row r="91" spans="1:13">
      <c r="A91" s="874"/>
      <c r="B91" s="875"/>
      <c r="C91" s="874"/>
      <c r="D91" s="874"/>
      <c r="E91" s="874"/>
      <c r="F91" s="874"/>
      <c r="G91" s="874"/>
      <c r="H91" s="874"/>
      <c r="I91" s="874"/>
      <c r="J91" s="874"/>
      <c r="K91" s="874"/>
      <c r="L91" s="874"/>
      <c r="M91" s="874"/>
    </row>
    <row r="92" spans="1:13">
      <c r="A92" s="874"/>
      <c r="B92" s="875"/>
      <c r="C92" s="874"/>
      <c r="D92" s="874"/>
      <c r="E92" s="874"/>
      <c r="F92" s="874"/>
      <c r="G92" s="874"/>
      <c r="H92" s="874"/>
      <c r="I92" s="874"/>
      <c r="J92" s="874"/>
      <c r="K92" s="874"/>
      <c r="L92" s="874"/>
      <c r="M92" s="874"/>
    </row>
    <row r="93" spans="1:13">
      <c r="A93" s="874"/>
      <c r="B93" s="875"/>
      <c r="C93" s="874"/>
      <c r="D93" s="874"/>
      <c r="E93" s="874"/>
      <c r="F93" s="874"/>
      <c r="G93" s="874"/>
      <c r="H93" s="874"/>
      <c r="I93" s="874"/>
      <c r="J93" s="874"/>
      <c r="K93" s="874"/>
      <c r="L93" s="874"/>
      <c r="M93" s="874"/>
    </row>
    <row r="94" spans="1:13">
      <c r="A94" s="874"/>
      <c r="B94" s="875"/>
      <c r="C94" s="874"/>
      <c r="D94" s="874"/>
      <c r="E94" s="874"/>
      <c r="F94" s="874"/>
      <c r="G94" s="874"/>
      <c r="H94" s="874"/>
      <c r="I94" s="874"/>
      <c r="J94" s="874"/>
      <c r="K94" s="874"/>
      <c r="L94" s="874"/>
      <c r="M94" s="874"/>
    </row>
    <row r="95" spans="1:13">
      <c r="A95" s="874"/>
      <c r="B95" s="875"/>
      <c r="C95" s="874"/>
      <c r="D95" s="874"/>
      <c r="E95" s="874"/>
      <c r="F95" s="874"/>
      <c r="G95" s="874"/>
      <c r="H95" s="874"/>
      <c r="I95" s="874"/>
      <c r="J95" s="874"/>
      <c r="K95" s="874"/>
      <c r="L95" s="874"/>
      <c r="M95" s="874"/>
    </row>
    <row r="96" spans="1:13">
      <c r="A96" s="874"/>
      <c r="B96" s="875"/>
      <c r="C96" s="874"/>
      <c r="D96" s="874"/>
      <c r="E96" s="874"/>
      <c r="F96" s="874"/>
      <c r="G96" s="874"/>
      <c r="H96" s="874"/>
      <c r="I96" s="874"/>
      <c r="J96" s="874"/>
      <c r="K96" s="874"/>
      <c r="L96" s="874"/>
      <c r="M96" s="874"/>
    </row>
    <row r="97" spans="1:13">
      <c r="A97" s="874"/>
      <c r="B97" s="875"/>
      <c r="C97" s="874"/>
      <c r="D97" s="874"/>
      <c r="E97" s="874"/>
      <c r="F97" s="874"/>
      <c r="G97" s="874"/>
      <c r="H97" s="874"/>
      <c r="I97" s="874"/>
      <c r="J97" s="874"/>
      <c r="K97" s="874"/>
      <c r="L97" s="874"/>
      <c r="M97" s="874"/>
    </row>
    <row r="98" spans="1:13">
      <c r="A98" s="874"/>
      <c r="B98" s="875"/>
      <c r="C98" s="874"/>
      <c r="D98" s="874"/>
      <c r="E98" s="874"/>
      <c r="F98" s="874"/>
      <c r="G98" s="874"/>
      <c r="H98" s="874"/>
      <c r="I98" s="874"/>
      <c r="J98" s="874"/>
      <c r="K98" s="874"/>
      <c r="L98" s="874"/>
      <c r="M98" s="874"/>
    </row>
    <row r="99" spans="1:13">
      <c r="A99" s="874"/>
      <c r="B99" s="875"/>
      <c r="C99" s="874"/>
      <c r="D99" s="874"/>
      <c r="E99" s="874"/>
      <c r="F99" s="874"/>
      <c r="G99" s="874"/>
      <c r="H99" s="874"/>
      <c r="I99" s="874"/>
      <c r="J99" s="874"/>
      <c r="K99" s="874"/>
      <c r="L99" s="874"/>
      <c r="M99" s="874"/>
    </row>
    <row r="100" spans="1:13">
      <c r="A100" s="874"/>
      <c r="B100" s="875"/>
      <c r="C100" s="874"/>
      <c r="D100" s="874"/>
      <c r="E100" s="874"/>
      <c r="F100" s="874"/>
      <c r="G100" s="874"/>
      <c r="H100" s="874"/>
      <c r="I100" s="874"/>
      <c r="J100" s="874"/>
      <c r="K100" s="874"/>
      <c r="L100" s="874"/>
      <c r="M100" s="874"/>
    </row>
    <row r="101" spans="1:13">
      <c r="A101" s="874"/>
      <c r="B101" s="875"/>
      <c r="C101" s="874"/>
      <c r="D101" s="874"/>
      <c r="E101" s="874"/>
      <c r="F101" s="874"/>
      <c r="G101" s="874"/>
      <c r="H101" s="874"/>
      <c r="I101" s="874"/>
      <c r="J101" s="874"/>
      <c r="K101" s="874"/>
      <c r="L101" s="874"/>
      <c r="M101" s="874"/>
    </row>
    <row r="102" spans="1:13">
      <c r="A102" s="874"/>
      <c r="B102" s="875"/>
      <c r="C102" s="874"/>
      <c r="D102" s="874"/>
      <c r="E102" s="874"/>
      <c r="F102" s="874"/>
      <c r="G102" s="874"/>
      <c r="H102" s="874"/>
      <c r="I102" s="874"/>
      <c r="J102" s="874"/>
      <c r="K102" s="874"/>
      <c r="L102" s="874"/>
      <c r="M102" s="874"/>
    </row>
    <row r="103" spans="1:13">
      <c r="A103" s="874"/>
      <c r="B103" s="875"/>
      <c r="C103" s="874"/>
      <c r="D103" s="874"/>
      <c r="E103" s="874"/>
      <c r="F103" s="874"/>
      <c r="G103" s="874"/>
      <c r="H103" s="874"/>
      <c r="I103" s="874"/>
      <c r="J103" s="874"/>
      <c r="K103" s="874"/>
      <c r="L103" s="874"/>
      <c r="M103" s="874"/>
    </row>
    <row r="104" spans="1:13">
      <c r="A104" s="874"/>
      <c r="B104" s="875"/>
      <c r="C104" s="874"/>
      <c r="D104" s="874"/>
      <c r="E104" s="874"/>
      <c r="F104" s="874"/>
      <c r="G104" s="874"/>
      <c r="H104" s="874"/>
      <c r="I104" s="874"/>
      <c r="J104" s="874"/>
      <c r="K104" s="874"/>
      <c r="L104" s="874"/>
      <c r="M104" s="874"/>
    </row>
    <row r="105" spans="1:13">
      <c r="A105" s="874"/>
      <c r="B105" s="875"/>
      <c r="C105" s="874"/>
      <c r="D105" s="874"/>
      <c r="E105" s="874"/>
      <c r="F105" s="874"/>
      <c r="G105" s="874"/>
      <c r="H105" s="874"/>
      <c r="I105" s="874"/>
      <c r="J105" s="874"/>
      <c r="K105" s="874"/>
      <c r="L105" s="874"/>
      <c r="M105" s="874"/>
    </row>
    <row r="106" spans="1:13">
      <c r="A106" s="874"/>
      <c r="B106" s="875"/>
      <c r="C106" s="874"/>
      <c r="D106" s="874"/>
      <c r="E106" s="874"/>
      <c r="F106" s="874"/>
      <c r="G106" s="874"/>
      <c r="H106" s="874"/>
      <c r="I106" s="874"/>
      <c r="J106" s="874"/>
      <c r="K106" s="874"/>
      <c r="L106" s="874"/>
      <c r="M106" s="874"/>
    </row>
    <row r="107" spans="1:13">
      <c r="A107" s="874"/>
      <c r="B107" s="875"/>
      <c r="C107" s="874"/>
      <c r="D107" s="874"/>
      <c r="E107" s="874"/>
      <c r="F107" s="874"/>
      <c r="G107" s="874"/>
      <c r="H107" s="874"/>
      <c r="I107" s="874"/>
      <c r="J107" s="874"/>
      <c r="K107" s="874"/>
      <c r="L107" s="874"/>
      <c r="M107" s="874"/>
    </row>
    <row r="108" spans="1:13">
      <c r="A108" s="874"/>
      <c r="B108" s="875"/>
      <c r="C108" s="874"/>
      <c r="D108" s="874"/>
      <c r="E108" s="874"/>
      <c r="F108" s="874"/>
      <c r="G108" s="874"/>
      <c r="H108" s="874"/>
      <c r="I108" s="874"/>
      <c r="J108" s="874"/>
      <c r="K108" s="874"/>
      <c r="L108" s="874"/>
      <c r="M108" s="874"/>
    </row>
    <row r="109" spans="1:13">
      <c r="A109" s="874"/>
      <c r="B109" s="875"/>
      <c r="C109" s="874"/>
      <c r="D109" s="874"/>
      <c r="E109" s="874"/>
      <c r="F109" s="874"/>
      <c r="G109" s="874"/>
      <c r="H109" s="874"/>
      <c r="I109" s="874"/>
      <c r="J109" s="874"/>
      <c r="K109" s="874"/>
      <c r="L109" s="874"/>
      <c r="M109" s="874"/>
    </row>
    <row r="110" spans="1:13">
      <c r="A110" s="874"/>
      <c r="B110" s="875"/>
      <c r="C110" s="874"/>
      <c r="D110" s="874"/>
      <c r="E110" s="874"/>
      <c r="F110" s="874"/>
      <c r="G110" s="874"/>
      <c r="H110" s="874"/>
      <c r="I110" s="874"/>
      <c r="J110" s="874"/>
      <c r="K110" s="874"/>
      <c r="L110" s="874"/>
      <c r="M110" s="874"/>
    </row>
    <row r="111" spans="1:13">
      <c r="A111" s="874"/>
      <c r="B111" s="875"/>
      <c r="C111" s="874"/>
      <c r="D111" s="874"/>
      <c r="E111" s="874"/>
      <c r="F111" s="874"/>
      <c r="G111" s="874"/>
      <c r="H111" s="874"/>
      <c r="I111" s="874"/>
      <c r="J111" s="874"/>
      <c r="K111" s="874"/>
      <c r="L111" s="874"/>
      <c r="M111" s="874"/>
    </row>
    <row r="112" spans="1:13">
      <c r="A112" s="874"/>
      <c r="B112" s="875"/>
      <c r="C112" s="874"/>
      <c r="D112" s="874"/>
      <c r="E112" s="874"/>
      <c r="F112" s="874"/>
      <c r="G112" s="874"/>
      <c r="H112" s="874"/>
      <c r="I112" s="874"/>
      <c r="J112" s="874"/>
      <c r="K112" s="874"/>
      <c r="L112" s="874"/>
      <c r="M112" s="874"/>
    </row>
    <row r="113" spans="1:13">
      <c r="A113" s="874"/>
      <c r="B113" s="875"/>
      <c r="C113" s="874"/>
      <c r="D113" s="874"/>
      <c r="E113" s="874"/>
      <c r="F113" s="874"/>
      <c r="G113" s="874"/>
      <c r="H113" s="874"/>
      <c r="I113" s="874"/>
      <c r="J113" s="874"/>
      <c r="K113" s="874"/>
      <c r="L113" s="874"/>
      <c r="M113" s="874"/>
    </row>
    <row r="114" spans="1:13">
      <c r="A114" s="874"/>
      <c r="B114" s="875"/>
      <c r="C114" s="874"/>
      <c r="D114" s="874"/>
      <c r="E114" s="874"/>
      <c r="F114" s="874"/>
      <c r="G114" s="874"/>
      <c r="H114" s="874"/>
      <c r="I114" s="874"/>
      <c r="J114" s="874"/>
      <c r="K114" s="874"/>
      <c r="L114" s="874"/>
      <c r="M114" s="874"/>
    </row>
    <row r="115" spans="1:13">
      <c r="A115" s="874"/>
      <c r="B115" s="875"/>
      <c r="C115" s="874"/>
      <c r="D115" s="874"/>
      <c r="E115" s="874"/>
      <c r="F115" s="874"/>
      <c r="G115" s="874"/>
      <c r="H115" s="874"/>
      <c r="I115" s="874"/>
      <c r="J115" s="874"/>
      <c r="K115" s="874"/>
      <c r="L115" s="874"/>
      <c r="M115" s="874"/>
    </row>
    <row r="116" spans="1:13">
      <c r="A116" s="874"/>
      <c r="B116" s="875"/>
      <c r="C116" s="874"/>
      <c r="D116" s="874"/>
      <c r="E116" s="874"/>
      <c r="F116" s="874"/>
      <c r="G116" s="874"/>
      <c r="H116" s="874"/>
      <c r="I116" s="874"/>
      <c r="J116" s="874"/>
      <c r="K116" s="874"/>
      <c r="L116" s="874"/>
      <c r="M116" s="874"/>
    </row>
    <row r="117" spans="1:13">
      <c r="A117" s="874"/>
      <c r="B117" s="875"/>
      <c r="C117" s="874"/>
      <c r="D117" s="874"/>
      <c r="E117" s="874"/>
      <c r="F117" s="874"/>
      <c r="G117" s="874"/>
      <c r="H117" s="874"/>
      <c r="I117" s="874"/>
      <c r="J117" s="874"/>
      <c r="K117" s="874"/>
      <c r="L117" s="874"/>
      <c r="M117" s="874"/>
    </row>
    <row r="118" spans="1:13">
      <c r="A118" s="874"/>
      <c r="B118" s="875"/>
      <c r="C118" s="874"/>
      <c r="D118" s="874"/>
      <c r="E118" s="874"/>
      <c r="F118" s="874"/>
      <c r="G118" s="874"/>
      <c r="H118" s="874"/>
      <c r="I118" s="874"/>
      <c r="J118" s="874"/>
      <c r="K118" s="874"/>
      <c r="L118" s="874"/>
      <c r="M118" s="874"/>
    </row>
    <row r="119" spans="1:13">
      <c r="A119" s="874"/>
      <c r="B119" s="875"/>
      <c r="C119" s="874"/>
      <c r="D119" s="874"/>
      <c r="E119" s="874"/>
      <c r="F119" s="874"/>
      <c r="G119" s="874"/>
      <c r="H119" s="874"/>
      <c r="I119" s="874"/>
      <c r="J119" s="874"/>
      <c r="K119" s="874"/>
      <c r="L119" s="874"/>
      <c r="M119" s="874"/>
    </row>
    <row r="120" spans="1:13">
      <c r="A120" s="874"/>
      <c r="B120" s="875"/>
      <c r="C120" s="874"/>
      <c r="D120" s="874"/>
      <c r="E120" s="874"/>
      <c r="F120" s="874"/>
      <c r="G120" s="874"/>
      <c r="H120" s="874"/>
      <c r="I120" s="874"/>
      <c r="J120" s="874"/>
      <c r="K120" s="874"/>
      <c r="L120" s="874"/>
      <c r="M120" s="874"/>
    </row>
    <row r="121" spans="1:13">
      <c r="A121" s="874"/>
      <c r="B121" s="875"/>
      <c r="C121" s="874"/>
      <c r="D121" s="874"/>
      <c r="E121" s="874"/>
      <c r="F121" s="874"/>
      <c r="G121" s="874"/>
      <c r="H121" s="874"/>
      <c r="I121" s="874"/>
      <c r="J121" s="874"/>
      <c r="K121" s="874"/>
      <c r="L121" s="874"/>
      <c r="M121" s="874"/>
    </row>
    <row r="122" spans="1:13">
      <c r="A122" s="874"/>
      <c r="B122" s="875"/>
      <c r="C122" s="874"/>
      <c r="D122" s="874"/>
      <c r="E122" s="874"/>
      <c r="F122" s="874"/>
      <c r="G122" s="874"/>
      <c r="H122" s="874"/>
      <c r="I122" s="874"/>
      <c r="J122" s="874"/>
      <c r="K122" s="874"/>
      <c r="L122" s="874"/>
      <c r="M122" s="874"/>
    </row>
    <row r="123" spans="1:13">
      <c r="A123" s="874"/>
      <c r="B123" s="875"/>
      <c r="C123" s="874"/>
      <c r="D123" s="874"/>
      <c r="E123" s="874"/>
      <c r="F123" s="874"/>
      <c r="G123" s="874"/>
      <c r="H123" s="874"/>
      <c r="I123" s="874"/>
      <c r="J123" s="874"/>
      <c r="K123" s="874"/>
      <c r="L123" s="874"/>
      <c r="M123" s="874"/>
    </row>
    <row r="124" spans="1:13">
      <c r="A124" s="874"/>
      <c r="B124" s="875"/>
      <c r="C124" s="874"/>
      <c r="D124" s="874"/>
      <c r="E124" s="874"/>
      <c r="F124" s="874"/>
      <c r="G124" s="874"/>
      <c r="H124" s="874"/>
      <c r="I124" s="874"/>
      <c r="J124" s="874"/>
      <c r="K124" s="874"/>
      <c r="L124" s="874"/>
      <c r="M124" s="874"/>
    </row>
    <row r="125" spans="1:13">
      <c r="A125" s="874"/>
      <c r="B125" s="875"/>
      <c r="C125" s="874"/>
      <c r="D125" s="874"/>
      <c r="E125" s="874"/>
      <c r="F125" s="874"/>
      <c r="G125" s="874"/>
      <c r="H125" s="874"/>
      <c r="I125" s="874"/>
      <c r="J125" s="874"/>
      <c r="K125" s="874"/>
      <c r="L125" s="874"/>
      <c r="M125" s="874"/>
    </row>
    <row r="126" spans="1:13">
      <c r="A126" s="874"/>
      <c r="B126" s="875"/>
      <c r="C126" s="874"/>
      <c r="D126" s="874"/>
      <c r="E126" s="874"/>
      <c r="F126" s="874"/>
      <c r="G126" s="874"/>
      <c r="H126" s="874"/>
      <c r="I126" s="874"/>
      <c r="J126" s="874"/>
      <c r="K126" s="874"/>
      <c r="L126" s="874"/>
      <c r="M126" s="874"/>
    </row>
    <row r="127" spans="1:13">
      <c r="A127" s="874"/>
      <c r="B127" s="875"/>
      <c r="C127" s="874"/>
      <c r="D127" s="874"/>
      <c r="E127" s="874"/>
      <c r="F127" s="874"/>
      <c r="G127" s="874"/>
      <c r="H127" s="874"/>
      <c r="I127" s="874"/>
      <c r="J127" s="874"/>
      <c r="K127" s="874"/>
      <c r="L127" s="874"/>
      <c r="M127" s="874"/>
    </row>
    <row r="128" spans="1:13">
      <c r="A128" s="874"/>
      <c r="B128" s="875"/>
      <c r="C128" s="874"/>
      <c r="D128" s="874"/>
      <c r="E128" s="874"/>
      <c r="F128" s="874"/>
      <c r="G128" s="874"/>
      <c r="H128" s="874"/>
      <c r="I128" s="874"/>
      <c r="J128" s="874"/>
      <c r="K128" s="874"/>
      <c r="L128" s="874"/>
      <c r="M128" s="874"/>
    </row>
    <row r="129" spans="1:13">
      <c r="A129" s="874"/>
      <c r="B129" s="875"/>
      <c r="C129" s="874"/>
      <c r="D129" s="874"/>
      <c r="E129" s="874"/>
      <c r="F129" s="874"/>
      <c r="G129" s="874"/>
      <c r="H129" s="874"/>
      <c r="I129" s="874"/>
      <c r="J129" s="874"/>
      <c r="K129" s="874"/>
      <c r="L129" s="874"/>
      <c r="M129" s="874"/>
    </row>
    <row r="130" spans="1:13">
      <c r="A130" s="874"/>
      <c r="B130" s="875"/>
      <c r="C130" s="874"/>
      <c r="D130" s="874"/>
      <c r="E130" s="874"/>
      <c r="F130" s="874"/>
      <c r="G130" s="874"/>
      <c r="H130" s="874"/>
      <c r="I130" s="874"/>
      <c r="J130" s="874"/>
      <c r="K130" s="874"/>
      <c r="L130" s="874"/>
      <c r="M130" s="874"/>
    </row>
    <row r="131" spans="1:13">
      <c r="A131" s="874"/>
      <c r="B131" s="875"/>
      <c r="C131" s="874"/>
      <c r="D131" s="874"/>
      <c r="E131" s="874"/>
      <c r="F131" s="874"/>
      <c r="G131" s="874"/>
      <c r="H131" s="874"/>
      <c r="I131" s="874"/>
      <c r="J131" s="874"/>
      <c r="K131" s="874"/>
      <c r="L131" s="874"/>
      <c r="M131" s="874"/>
    </row>
    <row r="132" spans="1:13">
      <c r="A132" s="874"/>
      <c r="B132" s="875"/>
      <c r="C132" s="874"/>
      <c r="D132" s="874"/>
      <c r="E132" s="874"/>
      <c r="F132" s="874"/>
      <c r="G132" s="874"/>
      <c r="H132" s="874"/>
      <c r="I132" s="874"/>
      <c r="J132" s="874"/>
      <c r="K132" s="874"/>
      <c r="L132" s="874"/>
      <c r="M132" s="874"/>
    </row>
    <row r="133" spans="1:13">
      <c r="A133" s="874"/>
      <c r="B133" s="875"/>
      <c r="C133" s="874"/>
      <c r="D133" s="874"/>
      <c r="E133" s="874"/>
      <c r="F133" s="874"/>
      <c r="G133" s="874"/>
      <c r="H133" s="874"/>
      <c r="I133" s="874"/>
      <c r="J133" s="874"/>
      <c r="K133" s="874"/>
      <c r="L133" s="874"/>
      <c r="M133" s="874"/>
    </row>
    <row r="134" spans="1:13">
      <c r="A134" s="874"/>
      <c r="B134" s="875"/>
      <c r="C134" s="874"/>
      <c r="D134" s="874"/>
      <c r="E134" s="874"/>
      <c r="F134" s="874"/>
      <c r="G134" s="874"/>
      <c r="H134" s="874"/>
      <c r="I134" s="874"/>
      <c r="J134" s="874"/>
      <c r="K134" s="874"/>
      <c r="L134" s="874"/>
      <c r="M134" s="874"/>
    </row>
    <row r="135" spans="1:13">
      <c r="A135" s="874"/>
      <c r="B135" s="875"/>
      <c r="C135" s="874"/>
      <c r="D135" s="874"/>
      <c r="E135" s="874"/>
      <c r="F135" s="874"/>
      <c r="G135" s="874"/>
      <c r="H135" s="874"/>
      <c r="I135" s="874"/>
      <c r="J135" s="874"/>
      <c r="K135" s="874"/>
      <c r="L135" s="874"/>
      <c r="M135" s="874"/>
    </row>
    <row r="136" spans="1:13">
      <c r="A136" s="874"/>
      <c r="B136" s="875"/>
      <c r="C136" s="874"/>
      <c r="D136" s="874"/>
      <c r="E136" s="874"/>
      <c r="F136" s="874"/>
      <c r="G136" s="874"/>
      <c r="H136" s="874"/>
      <c r="I136" s="874"/>
      <c r="J136" s="874"/>
      <c r="K136" s="874"/>
      <c r="L136" s="874"/>
      <c r="M136" s="874"/>
    </row>
    <row r="137" spans="1:13">
      <c r="A137" s="874"/>
      <c r="B137" s="875"/>
      <c r="C137" s="874"/>
      <c r="D137" s="874"/>
      <c r="E137" s="874"/>
      <c r="F137" s="874"/>
      <c r="G137" s="874"/>
      <c r="H137" s="874"/>
      <c r="I137" s="874"/>
      <c r="J137" s="874"/>
      <c r="K137" s="874"/>
      <c r="L137" s="874"/>
      <c r="M137" s="874"/>
    </row>
    <row r="138" spans="1:13">
      <c r="A138" s="874"/>
      <c r="B138" s="875"/>
      <c r="C138" s="874"/>
      <c r="D138" s="874"/>
      <c r="E138" s="874"/>
      <c r="F138" s="874"/>
      <c r="G138" s="874"/>
      <c r="H138" s="874"/>
      <c r="I138" s="874"/>
      <c r="J138" s="874"/>
      <c r="K138" s="874"/>
      <c r="L138" s="874"/>
      <c r="M138" s="874"/>
    </row>
    <row r="139" spans="1:13">
      <c r="A139" s="874"/>
      <c r="B139" s="875"/>
      <c r="C139" s="874"/>
      <c r="D139" s="874"/>
      <c r="E139" s="874"/>
      <c r="F139" s="874"/>
      <c r="G139" s="874"/>
      <c r="H139" s="874"/>
      <c r="I139" s="874"/>
      <c r="J139" s="874"/>
      <c r="K139" s="874"/>
      <c r="L139" s="874"/>
      <c r="M139" s="874"/>
    </row>
    <row r="140" spans="1:13">
      <c r="A140" s="874"/>
      <c r="B140" s="875"/>
      <c r="C140" s="874"/>
      <c r="D140" s="874"/>
      <c r="E140" s="874"/>
      <c r="F140" s="874"/>
      <c r="G140" s="874"/>
      <c r="H140" s="874"/>
      <c r="I140" s="874"/>
      <c r="J140" s="874"/>
      <c r="K140" s="874"/>
      <c r="L140" s="874"/>
      <c r="M140" s="874"/>
    </row>
    <row r="141" spans="1:13">
      <c r="A141" s="874"/>
      <c r="B141" s="875"/>
      <c r="C141" s="874"/>
      <c r="D141" s="874"/>
      <c r="E141" s="874"/>
      <c r="F141" s="874"/>
      <c r="G141" s="874"/>
      <c r="H141" s="874"/>
      <c r="I141" s="874"/>
      <c r="J141" s="874"/>
      <c r="K141" s="874"/>
      <c r="L141" s="874"/>
      <c r="M141" s="874"/>
    </row>
    <row r="142" spans="1:13">
      <c r="A142" s="874"/>
      <c r="B142" s="875"/>
      <c r="C142" s="874"/>
      <c r="D142" s="874"/>
      <c r="E142" s="874"/>
      <c r="F142" s="874"/>
      <c r="G142" s="874"/>
      <c r="H142" s="874"/>
      <c r="I142" s="874"/>
      <c r="J142" s="874"/>
      <c r="K142" s="874"/>
      <c r="L142" s="874"/>
      <c r="M142" s="874"/>
    </row>
    <row r="143" spans="1:13">
      <c r="A143" s="874"/>
      <c r="B143" s="875"/>
      <c r="C143" s="874"/>
      <c r="D143" s="874"/>
      <c r="E143" s="874"/>
      <c r="F143" s="874"/>
      <c r="G143" s="874"/>
      <c r="H143" s="874"/>
      <c r="I143" s="874"/>
      <c r="J143" s="874"/>
      <c r="K143" s="874"/>
      <c r="L143" s="874"/>
      <c r="M143" s="874"/>
    </row>
    <row r="144" spans="1:13">
      <c r="A144" s="874"/>
      <c r="B144" s="875"/>
      <c r="C144" s="874"/>
      <c r="D144" s="874"/>
      <c r="E144" s="874"/>
      <c r="F144" s="874"/>
      <c r="G144" s="874"/>
      <c r="H144" s="874"/>
      <c r="I144" s="874"/>
      <c r="J144" s="874"/>
      <c r="K144" s="874"/>
      <c r="L144" s="874"/>
      <c r="M144" s="874"/>
    </row>
    <row r="145" spans="1:13">
      <c r="A145" s="874"/>
      <c r="B145" s="875"/>
      <c r="C145" s="874"/>
      <c r="D145" s="874"/>
      <c r="E145" s="874"/>
      <c r="F145" s="874"/>
      <c r="G145" s="874"/>
      <c r="H145" s="874"/>
      <c r="I145" s="874"/>
      <c r="J145" s="874"/>
      <c r="K145" s="874"/>
      <c r="L145" s="874"/>
      <c r="M145" s="874"/>
    </row>
    <row r="146" spans="1:13">
      <c r="A146" s="874"/>
      <c r="B146" s="875"/>
      <c r="C146" s="874"/>
      <c r="D146" s="874"/>
      <c r="E146" s="874"/>
      <c r="F146" s="874"/>
      <c r="G146" s="874"/>
      <c r="H146" s="874"/>
      <c r="I146" s="874"/>
      <c r="J146" s="874"/>
      <c r="K146" s="874"/>
      <c r="L146" s="874"/>
      <c r="M146" s="874"/>
    </row>
    <row r="147" spans="1:13">
      <c r="A147" s="874"/>
      <c r="B147" s="875"/>
      <c r="C147" s="874"/>
      <c r="D147" s="874"/>
      <c r="E147" s="874"/>
      <c r="F147" s="874"/>
      <c r="G147" s="874"/>
      <c r="H147" s="874"/>
      <c r="I147" s="874"/>
      <c r="J147" s="874"/>
      <c r="K147" s="874"/>
      <c r="L147" s="874"/>
      <c r="M147" s="874"/>
    </row>
    <row r="148" spans="1:13">
      <c r="A148" s="874"/>
      <c r="B148" s="875"/>
      <c r="C148" s="874"/>
      <c r="D148" s="874"/>
      <c r="E148" s="874"/>
      <c r="F148" s="874"/>
      <c r="G148" s="874"/>
      <c r="H148" s="874"/>
      <c r="I148" s="874"/>
      <c r="J148" s="874"/>
      <c r="K148" s="874"/>
      <c r="L148" s="874"/>
      <c r="M148" s="874"/>
    </row>
    <row r="149" spans="1:13">
      <c r="A149" s="874"/>
      <c r="B149" s="875"/>
      <c r="C149" s="874"/>
      <c r="D149" s="874"/>
      <c r="E149" s="874"/>
      <c r="F149" s="874"/>
      <c r="G149" s="874"/>
      <c r="H149" s="874"/>
      <c r="I149" s="874"/>
      <c r="J149" s="874"/>
      <c r="K149" s="874"/>
      <c r="L149" s="874"/>
      <c r="M149" s="874"/>
    </row>
    <row r="150" spans="1:13">
      <c r="A150" s="874"/>
      <c r="B150" s="875"/>
      <c r="C150" s="874"/>
      <c r="D150" s="874"/>
      <c r="E150" s="874"/>
      <c r="F150" s="874"/>
      <c r="G150" s="874"/>
      <c r="H150" s="874"/>
      <c r="I150" s="874"/>
      <c r="J150" s="874"/>
      <c r="K150" s="874"/>
      <c r="L150" s="874"/>
      <c r="M150" s="874"/>
    </row>
    <row r="151" spans="1:13">
      <c r="A151" s="874"/>
      <c r="B151" s="875"/>
      <c r="C151" s="874"/>
      <c r="D151" s="874"/>
      <c r="E151" s="874"/>
      <c r="F151" s="874"/>
      <c r="G151" s="874"/>
      <c r="H151" s="874"/>
      <c r="I151" s="874"/>
      <c r="J151" s="874"/>
      <c r="K151" s="874"/>
      <c r="L151" s="874"/>
      <c r="M151" s="874"/>
    </row>
    <row r="152" spans="1:13">
      <c r="A152" s="874"/>
      <c r="B152" s="875"/>
      <c r="C152" s="874"/>
      <c r="D152" s="874"/>
      <c r="E152" s="874"/>
      <c r="F152" s="874"/>
      <c r="G152" s="874"/>
      <c r="H152" s="874"/>
      <c r="I152" s="874"/>
      <c r="J152" s="874"/>
      <c r="K152" s="874"/>
      <c r="L152" s="874"/>
      <c r="M152" s="874"/>
    </row>
    <row r="153" spans="1:13">
      <c r="A153" s="874"/>
      <c r="B153" s="875"/>
      <c r="C153" s="874"/>
      <c r="D153" s="874"/>
      <c r="E153" s="874"/>
      <c r="F153" s="874"/>
      <c r="G153" s="874"/>
      <c r="H153" s="874"/>
      <c r="I153" s="874"/>
      <c r="J153" s="874"/>
      <c r="K153" s="874"/>
      <c r="L153" s="874"/>
      <c r="M153" s="874"/>
    </row>
    <row r="154" spans="1:13">
      <c r="A154" s="874"/>
      <c r="B154" s="875"/>
      <c r="C154" s="874"/>
      <c r="D154" s="874"/>
      <c r="E154" s="874"/>
      <c r="F154" s="874"/>
      <c r="G154" s="874"/>
      <c r="H154" s="874"/>
      <c r="I154" s="874"/>
      <c r="J154" s="874"/>
      <c r="K154" s="874"/>
      <c r="L154" s="874"/>
      <c r="M154" s="874"/>
    </row>
    <row r="155" spans="1:13">
      <c r="A155" s="874"/>
      <c r="B155" s="875"/>
      <c r="C155" s="874"/>
      <c r="D155" s="874"/>
      <c r="E155" s="874"/>
      <c r="F155" s="874"/>
      <c r="G155" s="874"/>
      <c r="H155" s="874"/>
      <c r="I155" s="874"/>
      <c r="J155" s="874"/>
      <c r="K155" s="874"/>
      <c r="L155" s="874"/>
      <c r="M155" s="874"/>
    </row>
    <row r="156" spans="1:13">
      <c r="A156" s="874"/>
      <c r="B156" s="875"/>
      <c r="C156" s="874"/>
      <c r="D156" s="874"/>
      <c r="E156" s="874"/>
      <c r="F156" s="874"/>
      <c r="G156" s="874"/>
      <c r="H156" s="874"/>
      <c r="I156" s="874"/>
      <c r="J156" s="874"/>
      <c r="K156" s="874"/>
      <c r="L156" s="874"/>
      <c r="M156" s="874"/>
    </row>
    <row r="157" spans="1:13">
      <c r="A157" s="874"/>
      <c r="B157" s="875"/>
      <c r="C157" s="874"/>
      <c r="D157" s="874"/>
      <c r="E157" s="874"/>
      <c r="F157" s="874"/>
      <c r="G157" s="874"/>
      <c r="H157" s="874"/>
      <c r="I157" s="874"/>
      <c r="J157" s="874"/>
      <c r="K157" s="874"/>
      <c r="L157" s="874"/>
      <c r="M157" s="874"/>
    </row>
    <row r="158" spans="1:13">
      <c r="A158" s="874"/>
      <c r="B158" s="875"/>
      <c r="C158" s="874"/>
      <c r="D158" s="874"/>
      <c r="E158" s="874"/>
      <c r="F158" s="874"/>
      <c r="G158" s="874"/>
      <c r="H158" s="874"/>
      <c r="I158" s="874"/>
      <c r="J158" s="874"/>
      <c r="K158" s="874"/>
      <c r="L158" s="874"/>
      <c r="M158" s="874"/>
    </row>
    <row r="159" spans="1:13">
      <c r="A159" s="874"/>
      <c r="B159" s="875"/>
      <c r="C159" s="874"/>
      <c r="D159" s="874"/>
      <c r="E159" s="874"/>
      <c r="F159" s="874"/>
      <c r="G159" s="874"/>
      <c r="H159" s="874"/>
      <c r="I159" s="874"/>
      <c r="J159" s="874"/>
      <c r="K159" s="874"/>
      <c r="L159" s="874"/>
      <c r="M159" s="874"/>
    </row>
    <row r="160" spans="1:13">
      <c r="A160" s="874"/>
      <c r="B160" s="875"/>
      <c r="C160" s="874"/>
      <c r="D160" s="874"/>
      <c r="E160" s="874"/>
      <c r="F160" s="874"/>
      <c r="G160" s="874"/>
      <c r="H160" s="874"/>
      <c r="I160" s="874"/>
      <c r="J160" s="874"/>
      <c r="K160" s="874"/>
      <c r="L160" s="874"/>
      <c r="M160" s="874"/>
    </row>
    <row r="161" spans="1:13">
      <c r="A161" s="874"/>
      <c r="B161" s="875"/>
      <c r="C161" s="874"/>
      <c r="D161" s="874"/>
      <c r="E161" s="874"/>
      <c r="F161" s="874"/>
      <c r="G161" s="874"/>
      <c r="H161" s="874"/>
      <c r="I161" s="874"/>
      <c r="J161" s="874"/>
      <c r="K161" s="874"/>
      <c r="L161" s="874"/>
      <c r="M161" s="874"/>
    </row>
    <row r="162" spans="1:13">
      <c r="A162" s="874"/>
      <c r="B162" s="875"/>
      <c r="C162" s="874"/>
      <c r="D162" s="874"/>
      <c r="E162" s="874"/>
      <c r="F162" s="874"/>
      <c r="G162" s="874"/>
      <c r="H162" s="874"/>
      <c r="I162" s="874"/>
      <c r="J162" s="874"/>
      <c r="K162" s="874"/>
      <c r="L162" s="874"/>
      <c r="M162" s="874"/>
    </row>
    <row r="163" spans="1:13">
      <c r="A163" s="874"/>
      <c r="B163" s="875"/>
      <c r="C163" s="874"/>
      <c r="D163" s="874"/>
      <c r="E163" s="874"/>
      <c r="F163" s="874"/>
      <c r="G163" s="874"/>
      <c r="H163" s="874"/>
      <c r="I163" s="874"/>
      <c r="J163" s="874"/>
      <c r="K163" s="874"/>
      <c r="L163" s="874"/>
      <c r="M163" s="874"/>
    </row>
    <row r="164" spans="1:13">
      <c r="A164" s="874"/>
      <c r="B164" s="875"/>
      <c r="C164" s="874"/>
      <c r="D164" s="874"/>
      <c r="E164" s="874"/>
      <c r="F164" s="874"/>
      <c r="G164" s="874"/>
      <c r="H164" s="874"/>
      <c r="I164" s="874"/>
      <c r="J164" s="874"/>
      <c r="K164" s="874"/>
      <c r="L164" s="874"/>
      <c r="M164" s="874"/>
    </row>
    <row r="165" spans="1:13">
      <c r="A165" s="874"/>
      <c r="B165" s="875"/>
      <c r="C165" s="874"/>
      <c r="D165" s="874"/>
      <c r="E165" s="874"/>
      <c r="F165" s="874"/>
      <c r="G165" s="874"/>
      <c r="H165" s="874"/>
      <c r="I165" s="874"/>
      <c r="J165" s="874"/>
      <c r="K165" s="874"/>
      <c r="L165" s="874"/>
      <c r="M165" s="874"/>
    </row>
    <row r="166" spans="1:13">
      <c r="A166" s="874"/>
      <c r="B166" s="875"/>
      <c r="C166" s="874"/>
      <c r="D166" s="874"/>
      <c r="E166" s="874"/>
      <c r="F166" s="874"/>
      <c r="G166" s="874"/>
      <c r="H166" s="874"/>
      <c r="I166" s="874"/>
      <c r="J166" s="874"/>
      <c r="K166" s="874"/>
      <c r="L166" s="874"/>
      <c r="M166" s="874"/>
    </row>
    <row r="167" spans="1:13">
      <c r="A167" s="874"/>
      <c r="B167" s="875"/>
      <c r="C167" s="874"/>
      <c r="D167" s="874"/>
      <c r="E167" s="874"/>
      <c r="F167" s="874"/>
      <c r="G167" s="874"/>
      <c r="H167" s="874"/>
      <c r="I167" s="874"/>
      <c r="J167" s="874"/>
      <c r="K167" s="874"/>
      <c r="L167" s="874"/>
      <c r="M167" s="874"/>
    </row>
    <row r="168" spans="1:13">
      <c r="A168" s="874"/>
      <c r="B168" s="875"/>
      <c r="C168" s="874"/>
      <c r="D168" s="874"/>
      <c r="E168" s="874"/>
      <c r="F168" s="874"/>
      <c r="G168" s="874"/>
      <c r="H168" s="874"/>
      <c r="I168" s="874"/>
      <c r="J168" s="874"/>
      <c r="K168" s="874"/>
      <c r="L168" s="874"/>
      <c r="M168" s="874"/>
    </row>
    <row r="169" spans="1:13">
      <c r="A169" s="874"/>
      <c r="B169" s="875"/>
      <c r="C169" s="874"/>
      <c r="D169" s="874"/>
      <c r="E169" s="874"/>
      <c r="F169" s="874"/>
      <c r="G169" s="874"/>
      <c r="H169" s="874"/>
      <c r="I169" s="874"/>
      <c r="J169" s="874"/>
      <c r="K169" s="874"/>
      <c r="L169" s="874"/>
      <c r="M169" s="874"/>
    </row>
    <row r="170" spans="1:13">
      <c r="A170" s="874"/>
      <c r="B170" s="875"/>
      <c r="C170" s="874"/>
      <c r="D170" s="874"/>
      <c r="E170" s="874"/>
      <c r="F170" s="874"/>
      <c r="G170" s="874"/>
      <c r="H170" s="874"/>
      <c r="I170" s="874"/>
      <c r="J170" s="874"/>
      <c r="K170" s="874"/>
      <c r="L170" s="874"/>
      <c r="M170" s="874"/>
    </row>
    <row r="171" spans="1:13">
      <c r="A171" s="874"/>
      <c r="B171" s="875"/>
      <c r="C171" s="874"/>
      <c r="D171" s="874"/>
      <c r="E171" s="874"/>
      <c r="F171" s="874"/>
      <c r="G171" s="874"/>
      <c r="H171" s="874"/>
      <c r="I171" s="874"/>
      <c r="J171" s="874"/>
      <c r="K171" s="874"/>
      <c r="L171" s="874"/>
      <c r="M171" s="874"/>
    </row>
    <row r="172" spans="1:13">
      <c r="A172" s="874"/>
      <c r="B172" s="875"/>
      <c r="C172" s="874"/>
      <c r="D172" s="874"/>
      <c r="E172" s="874"/>
      <c r="F172" s="874"/>
      <c r="G172" s="874"/>
      <c r="H172" s="874"/>
      <c r="I172" s="874"/>
      <c r="J172" s="874"/>
      <c r="K172" s="874"/>
      <c r="L172" s="874"/>
      <c r="M172" s="874"/>
    </row>
    <row r="173" spans="1:13">
      <c r="A173" s="874"/>
      <c r="B173" s="875"/>
      <c r="C173" s="874"/>
      <c r="D173" s="874"/>
      <c r="E173" s="874"/>
      <c r="F173" s="874"/>
      <c r="G173" s="874"/>
      <c r="H173" s="874"/>
      <c r="I173" s="874"/>
      <c r="J173" s="874"/>
      <c r="K173" s="874"/>
      <c r="L173" s="874"/>
      <c r="M173" s="874"/>
    </row>
    <row r="174" spans="1:13">
      <c r="A174" s="874"/>
      <c r="B174" s="875"/>
      <c r="C174" s="874"/>
      <c r="D174" s="874"/>
      <c r="E174" s="874"/>
      <c r="F174" s="874"/>
      <c r="G174" s="874"/>
      <c r="H174" s="874"/>
      <c r="I174" s="874"/>
      <c r="J174" s="874"/>
      <c r="K174" s="874"/>
      <c r="L174" s="874"/>
      <c r="M174" s="874"/>
    </row>
    <row r="175" spans="1:13">
      <c r="A175" s="874"/>
      <c r="B175" s="875"/>
      <c r="C175" s="874"/>
      <c r="D175" s="874"/>
      <c r="E175" s="874"/>
      <c r="F175" s="874"/>
      <c r="G175" s="874"/>
      <c r="H175" s="874"/>
      <c r="I175" s="874"/>
      <c r="J175" s="874"/>
      <c r="K175" s="874"/>
      <c r="L175" s="874"/>
      <c r="M175" s="874"/>
    </row>
    <row r="176" spans="1:13">
      <c r="A176" s="874"/>
      <c r="B176" s="875"/>
      <c r="C176" s="874"/>
      <c r="D176" s="874"/>
      <c r="E176" s="874"/>
      <c r="F176" s="874"/>
      <c r="G176" s="874"/>
      <c r="H176" s="874"/>
      <c r="I176" s="874"/>
      <c r="J176" s="874"/>
      <c r="K176" s="874"/>
      <c r="L176" s="874"/>
      <c r="M176" s="874"/>
    </row>
    <row r="177" spans="1:13">
      <c r="A177" s="874"/>
      <c r="B177" s="875"/>
      <c r="C177" s="874"/>
      <c r="D177" s="874"/>
      <c r="E177" s="874"/>
      <c r="F177" s="874"/>
      <c r="G177" s="874"/>
      <c r="H177" s="874"/>
      <c r="I177" s="874"/>
      <c r="J177" s="874"/>
      <c r="K177" s="874"/>
      <c r="L177" s="874"/>
      <c r="M177" s="874"/>
    </row>
    <row r="178" spans="1:13">
      <c r="A178" s="874"/>
      <c r="B178" s="875"/>
      <c r="C178" s="874"/>
      <c r="D178" s="874"/>
      <c r="E178" s="874"/>
      <c r="F178" s="874"/>
      <c r="G178" s="874"/>
      <c r="H178" s="874"/>
      <c r="I178" s="874"/>
      <c r="J178" s="874"/>
      <c r="K178" s="874"/>
      <c r="L178" s="874"/>
      <c r="M178" s="874"/>
    </row>
    <row r="179" spans="1:13">
      <c r="A179" s="874"/>
      <c r="B179" s="875"/>
      <c r="C179" s="874"/>
      <c r="D179" s="874"/>
      <c r="E179" s="874"/>
      <c r="F179" s="874"/>
      <c r="G179" s="874"/>
      <c r="H179" s="874"/>
      <c r="I179" s="874"/>
      <c r="J179" s="874"/>
      <c r="K179" s="874"/>
      <c r="L179" s="874"/>
      <c r="M179" s="874"/>
    </row>
    <row r="180" spans="1:13">
      <c r="A180" s="874"/>
      <c r="B180" s="875"/>
      <c r="C180" s="874"/>
      <c r="D180" s="874"/>
      <c r="E180" s="874"/>
      <c r="F180" s="874"/>
      <c r="G180" s="874"/>
      <c r="H180" s="874"/>
      <c r="I180" s="874"/>
      <c r="J180" s="874"/>
      <c r="K180" s="874"/>
      <c r="L180" s="874"/>
      <c r="M180" s="874"/>
    </row>
    <row r="181" spans="1:13">
      <c r="A181" s="874"/>
      <c r="B181" s="875"/>
      <c r="C181" s="874"/>
      <c r="D181" s="874"/>
      <c r="E181" s="874"/>
      <c r="F181" s="874"/>
      <c r="G181" s="874"/>
      <c r="H181" s="874"/>
      <c r="I181" s="874"/>
      <c r="J181" s="874"/>
      <c r="K181" s="874"/>
      <c r="L181" s="874"/>
      <c r="M181" s="874"/>
    </row>
    <row r="182" spans="1:13">
      <c r="A182" s="874"/>
      <c r="B182" s="875"/>
      <c r="C182" s="874"/>
      <c r="D182" s="874"/>
      <c r="E182" s="874"/>
      <c r="F182" s="874"/>
      <c r="G182" s="874"/>
      <c r="H182" s="874"/>
      <c r="I182" s="874"/>
      <c r="J182" s="874"/>
      <c r="K182" s="874"/>
      <c r="L182" s="874"/>
      <c r="M182" s="874"/>
    </row>
    <row r="183" spans="1:13">
      <c r="A183" s="874"/>
      <c r="B183" s="875"/>
      <c r="C183" s="874"/>
      <c r="D183" s="874"/>
      <c r="E183" s="874"/>
      <c r="F183" s="874"/>
      <c r="G183" s="874"/>
      <c r="H183" s="874"/>
      <c r="I183" s="874"/>
      <c r="J183" s="874"/>
      <c r="K183" s="874"/>
      <c r="L183" s="874"/>
      <c r="M183" s="874"/>
    </row>
    <row r="184" spans="1:13">
      <c r="A184" s="874"/>
      <c r="B184" s="875"/>
      <c r="C184" s="874"/>
      <c r="D184" s="874"/>
      <c r="E184" s="874"/>
      <c r="F184" s="874"/>
      <c r="G184" s="874"/>
      <c r="H184" s="874"/>
      <c r="I184" s="874"/>
      <c r="J184" s="874"/>
      <c r="K184" s="874"/>
      <c r="L184" s="874"/>
      <c r="M184" s="874"/>
    </row>
    <row r="185" spans="1:13">
      <c r="A185" s="874"/>
      <c r="B185" s="875"/>
      <c r="C185" s="874"/>
      <c r="D185" s="874"/>
      <c r="E185" s="874"/>
      <c r="F185" s="874"/>
      <c r="G185" s="874"/>
      <c r="H185" s="874"/>
      <c r="I185" s="874"/>
      <c r="J185" s="874"/>
      <c r="K185" s="874"/>
      <c r="L185" s="874"/>
      <c r="M185" s="874"/>
    </row>
    <row r="186" spans="1:13">
      <c r="A186" s="874"/>
      <c r="B186" s="875"/>
      <c r="C186" s="874"/>
      <c r="D186" s="874"/>
      <c r="E186" s="874"/>
      <c r="F186" s="874"/>
      <c r="G186" s="874"/>
      <c r="H186" s="874"/>
      <c r="I186" s="874"/>
      <c r="J186" s="874"/>
      <c r="K186" s="874"/>
      <c r="L186" s="874"/>
      <c r="M186" s="874"/>
    </row>
    <row r="187" spans="1:13">
      <c r="A187" s="874"/>
      <c r="B187" s="875"/>
      <c r="C187" s="874"/>
      <c r="D187" s="874"/>
      <c r="E187" s="874"/>
      <c r="F187" s="874"/>
      <c r="G187" s="874"/>
      <c r="H187" s="874"/>
      <c r="I187" s="874"/>
      <c r="J187" s="874"/>
      <c r="K187" s="874"/>
      <c r="L187" s="874"/>
      <c r="M187" s="874"/>
    </row>
    <row r="188" spans="1:13">
      <c r="A188" s="874"/>
      <c r="B188" s="875"/>
      <c r="C188" s="874"/>
      <c r="D188" s="874"/>
      <c r="E188" s="874"/>
      <c r="F188" s="874"/>
      <c r="G188" s="874"/>
      <c r="H188" s="874"/>
      <c r="I188" s="874"/>
      <c r="J188" s="874"/>
      <c r="K188" s="874"/>
      <c r="L188" s="874"/>
      <c r="M188" s="874"/>
    </row>
    <row r="189" spans="1:13">
      <c r="A189" s="874"/>
      <c r="B189" s="875"/>
      <c r="C189" s="874"/>
      <c r="D189" s="874"/>
      <c r="E189" s="874"/>
      <c r="F189" s="874"/>
      <c r="G189" s="874"/>
      <c r="H189" s="874"/>
      <c r="I189" s="874"/>
      <c r="J189" s="874"/>
      <c r="K189" s="874"/>
      <c r="L189" s="874"/>
      <c r="M189" s="874"/>
    </row>
    <row r="190" spans="1:13">
      <c r="A190" s="874"/>
      <c r="B190" s="875"/>
      <c r="C190" s="874"/>
      <c r="D190" s="874"/>
      <c r="E190" s="874"/>
      <c r="F190" s="874"/>
      <c r="G190" s="874"/>
      <c r="H190" s="874"/>
      <c r="I190" s="874"/>
      <c r="J190" s="874"/>
      <c r="K190" s="874"/>
      <c r="L190" s="874"/>
      <c r="M190" s="874"/>
    </row>
    <row r="191" spans="1:13">
      <c r="A191" s="874"/>
      <c r="B191" s="875"/>
      <c r="C191" s="874"/>
      <c r="D191" s="874"/>
      <c r="E191" s="874"/>
      <c r="F191" s="874"/>
      <c r="G191" s="874"/>
      <c r="H191" s="874"/>
      <c r="I191" s="874"/>
      <c r="J191" s="874"/>
      <c r="K191" s="874"/>
      <c r="L191" s="874"/>
      <c r="M191" s="874"/>
    </row>
    <row r="192" spans="1:13">
      <c r="A192" s="874"/>
      <c r="B192" s="875"/>
      <c r="C192" s="874"/>
      <c r="D192" s="874"/>
      <c r="E192" s="874"/>
      <c r="F192" s="874"/>
      <c r="G192" s="874"/>
      <c r="H192" s="874"/>
      <c r="I192" s="874"/>
      <c r="J192" s="874"/>
      <c r="K192" s="874"/>
      <c r="L192" s="874"/>
      <c r="M192" s="874"/>
    </row>
    <row r="193" spans="1:13">
      <c r="A193" s="874"/>
      <c r="B193" s="875"/>
      <c r="C193" s="874"/>
      <c r="D193" s="874"/>
      <c r="E193" s="874"/>
      <c r="F193" s="874"/>
      <c r="G193" s="874"/>
      <c r="H193" s="874"/>
      <c r="I193" s="874"/>
      <c r="J193" s="874"/>
      <c r="K193" s="874"/>
      <c r="L193" s="874"/>
      <c r="M193" s="874"/>
    </row>
    <row r="194" spans="1:13">
      <c r="A194" s="874"/>
      <c r="B194" s="875"/>
      <c r="C194" s="874"/>
      <c r="D194" s="874"/>
      <c r="E194" s="874"/>
      <c r="F194" s="874"/>
      <c r="G194" s="874"/>
      <c r="H194" s="874"/>
      <c r="I194" s="874"/>
      <c r="J194" s="874"/>
      <c r="K194" s="874"/>
      <c r="L194" s="874"/>
      <c r="M194" s="874"/>
    </row>
    <row r="195" spans="1:13">
      <c r="A195" s="874"/>
      <c r="B195" s="875"/>
      <c r="C195" s="874"/>
      <c r="D195" s="874"/>
      <c r="E195" s="874"/>
      <c r="F195" s="874"/>
      <c r="G195" s="874"/>
      <c r="H195" s="874"/>
      <c r="I195" s="874"/>
      <c r="J195" s="874"/>
      <c r="K195" s="874"/>
      <c r="L195" s="874"/>
      <c r="M195" s="874"/>
    </row>
    <row r="196" spans="1:13">
      <c r="A196" s="874"/>
      <c r="B196" s="875"/>
      <c r="C196" s="874"/>
      <c r="D196" s="874"/>
      <c r="E196" s="874"/>
      <c r="F196" s="874"/>
      <c r="G196" s="874"/>
      <c r="H196" s="874"/>
      <c r="I196" s="874"/>
      <c r="J196" s="874"/>
      <c r="K196" s="874"/>
      <c r="L196" s="874"/>
      <c r="M196" s="874"/>
    </row>
    <row r="197" spans="1:13">
      <c r="A197" s="874"/>
      <c r="B197" s="875"/>
      <c r="C197" s="874"/>
      <c r="D197" s="874"/>
      <c r="E197" s="874"/>
      <c r="F197" s="874"/>
      <c r="G197" s="874"/>
      <c r="H197" s="874"/>
      <c r="I197" s="874"/>
      <c r="J197" s="874"/>
      <c r="K197" s="874"/>
      <c r="L197" s="874"/>
      <c r="M197" s="874"/>
    </row>
    <row r="198" spans="1:13">
      <c r="A198" s="874"/>
      <c r="B198" s="875"/>
      <c r="C198" s="874"/>
      <c r="D198" s="874"/>
      <c r="E198" s="874"/>
      <c r="F198" s="874"/>
      <c r="G198" s="874"/>
      <c r="H198" s="874"/>
      <c r="I198" s="874"/>
      <c r="J198" s="874"/>
      <c r="K198" s="874"/>
      <c r="L198" s="874"/>
      <c r="M198" s="874"/>
    </row>
    <row r="199" spans="1:13">
      <c r="A199" s="874"/>
      <c r="B199" s="875"/>
      <c r="C199" s="874"/>
      <c r="D199" s="874"/>
      <c r="E199" s="874"/>
      <c r="F199" s="874"/>
      <c r="G199" s="874"/>
      <c r="H199" s="874"/>
      <c r="I199" s="874"/>
      <c r="J199" s="874"/>
      <c r="K199" s="874"/>
      <c r="L199" s="874"/>
      <c r="M199" s="874"/>
    </row>
    <row r="200" spans="1:13">
      <c r="A200" s="874"/>
      <c r="B200" s="875"/>
      <c r="C200" s="874"/>
      <c r="D200" s="874"/>
      <c r="E200" s="874"/>
      <c r="F200" s="874"/>
      <c r="G200" s="874"/>
      <c r="H200" s="874"/>
      <c r="I200" s="874"/>
      <c r="J200" s="874"/>
      <c r="K200" s="874"/>
      <c r="L200" s="874"/>
      <c r="M200" s="874"/>
    </row>
    <row r="201" spans="1:13">
      <c r="A201" s="874"/>
      <c r="B201" s="875"/>
      <c r="C201" s="874"/>
      <c r="D201" s="874"/>
      <c r="E201" s="874"/>
      <c r="F201" s="874"/>
      <c r="G201" s="874"/>
      <c r="H201" s="874"/>
      <c r="I201" s="874"/>
      <c r="J201" s="874"/>
      <c r="K201" s="874"/>
      <c r="L201" s="874"/>
      <c r="M201" s="874"/>
    </row>
    <row r="202" spans="1:13">
      <c r="A202" s="874"/>
      <c r="B202" s="875"/>
      <c r="C202" s="874"/>
      <c r="D202" s="874"/>
      <c r="E202" s="874"/>
      <c r="F202" s="874"/>
      <c r="G202" s="874"/>
      <c r="H202" s="874"/>
      <c r="I202" s="874"/>
      <c r="J202" s="874"/>
      <c r="K202" s="874"/>
      <c r="L202" s="874"/>
      <c r="M202" s="874"/>
    </row>
    <row r="203" spans="1:13">
      <c r="A203" s="874"/>
      <c r="B203" s="875"/>
      <c r="C203" s="874"/>
      <c r="D203" s="874"/>
      <c r="E203" s="874"/>
      <c r="F203" s="874"/>
      <c r="G203" s="874"/>
      <c r="H203" s="874"/>
      <c r="I203" s="874"/>
      <c r="J203" s="874"/>
      <c r="K203" s="874"/>
      <c r="L203" s="874"/>
      <c r="M203" s="874"/>
    </row>
    <row r="204" spans="1:13">
      <c r="A204" s="874"/>
      <c r="B204" s="875"/>
      <c r="C204" s="874"/>
      <c r="D204" s="874"/>
      <c r="E204" s="874"/>
      <c r="F204" s="874"/>
      <c r="G204" s="874"/>
      <c r="H204" s="874"/>
      <c r="I204" s="874"/>
      <c r="J204" s="874"/>
      <c r="K204" s="874"/>
      <c r="L204" s="874"/>
      <c r="M204" s="874"/>
    </row>
    <row r="205" spans="1:13">
      <c r="A205" s="874"/>
      <c r="B205" s="875"/>
      <c r="C205" s="874"/>
      <c r="D205" s="874"/>
      <c r="E205" s="874"/>
      <c r="F205" s="874"/>
      <c r="G205" s="874"/>
      <c r="H205" s="874"/>
      <c r="I205" s="874"/>
      <c r="J205" s="874"/>
      <c r="K205" s="874"/>
      <c r="L205" s="874"/>
      <c r="M205" s="874"/>
    </row>
    <row r="206" spans="1:13">
      <c r="A206" s="874"/>
      <c r="B206" s="875"/>
      <c r="C206" s="874"/>
      <c r="D206" s="874"/>
      <c r="E206" s="874"/>
      <c r="F206" s="874"/>
      <c r="G206" s="874"/>
      <c r="H206" s="874"/>
      <c r="I206" s="874"/>
      <c r="J206" s="874"/>
      <c r="K206" s="874"/>
      <c r="L206" s="874"/>
      <c r="M206" s="874"/>
    </row>
    <row r="207" spans="1:13">
      <c r="A207" s="874"/>
      <c r="B207" s="875"/>
      <c r="C207" s="874"/>
      <c r="D207" s="874"/>
      <c r="E207" s="874"/>
      <c r="F207" s="874"/>
      <c r="G207" s="874"/>
      <c r="H207" s="874"/>
      <c r="I207" s="874"/>
      <c r="J207" s="874"/>
      <c r="K207" s="874"/>
      <c r="L207" s="874"/>
      <c r="M207" s="874"/>
    </row>
    <row r="208" spans="1:13">
      <c r="A208" s="874"/>
      <c r="B208" s="875"/>
      <c r="C208" s="874"/>
      <c r="D208" s="874"/>
      <c r="E208" s="874"/>
      <c r="F208" s="874"/>
      <c r="G208" s="874"/>
      <c r="H208" s="874"/>
      <c r="I208" s="874"/>
      <c r="J208" s="874"/>
      <c r="K208" s="874"/>
      <c r="L208" s="874"/>
      <c r="M208" s="874"/>
    </row>
    <row r="209" spans="1:13">
      <c r="A209" s="874"/>
      <c r="B209" s="875"/>
      <c r="C209" s="874"/>
      <c r="D209" s="874"/>
      <c r="E209" s="874"/>
      <c r="F209" s="874"/>
      <c r="G209" s="874"/>
      <c r="H209" s="874"/>
      <c r="I209" s="874"/>
      <c r="J209" s="874"/>
      <c r="K209" s="874"/>
      <c r="L209" s="874"/>
      <c r="M209" s="874"/>
    </row>
    <row r="210" spans="1:13">
      <c r="A210" s="874"/>
      <c r="B210" s="875"/>
      <c r="C210" s="874"/>
      <c r="D210" s="874"/>
      <c r="E210" s="874"/>
      <c r="F210" s="874"/>
      <c r="G210" s="874"/>
      <c r="H210" s="874"/>
      <c r="I210" s="874"/>
      <c r="J210" s="874"/>
      <c r="K210" s="874"/>
      <c r="L210" s="874"/>
      <c r="M210" s="874"/>
    </row>
    <row r="211" spans="1:13">
      <c r="A211" s="874"/>
      <c r="B211" s="875"/>
      <c r="C211" s="874"/>
      <c r="D211" s="874"/>
      <c r="E211" s="874"/>
      <c r="F211" s="874"/>
      <c r="G211" s="874"/>
      <c r="H211" s="874"/>
      <c r="I211" s="874"/>
      <c r="J211" s="874"/>
      <c r="K211" s="874"/>
      <c r="L211" s="874"/>
      <c r="M211" s="874"/>
    </row>
    <row r="212" spans="1:13">
      <c r="A212" s="874"/>
      <c r="B212" s="875"/>
      <c r="C212" s="874"/>
      <c r="D212" s="874"/>
      <c r="E212" s="874"/>
      <c r="F212" s="874"/>
      <c r="G212" s="874"/>
      <c r="H212" s="874"/>
      <c r="I212" s="874"/>
      <c r="J212" s="874"/>
      <c r="K212" s="874"/>
      <c r="L212" s="874"/>
      <c r="M212" s="874"/>
    </row>
    <row r="213" spans="1:13">
      <c r="A213" s="874"/>
      <c r="B213" s="875"/>
      <c r="C213" s="874"/>
      <c r="D213" s="874"/>
      <c r="E213" s="874"/>
      <c r="F213" s="874"/>
      <c r="G213" s="874"/>
      <c r="H213" s="874"/>
      <c r="I213" s="874"/>
      <c r="J213" s="874"/>
      <c r="K213" s="874"/>
      <c r="L213" s="874"/>
      <c r="M213" s="874"/>
    </row>
    <row r="214" spans="1:13">
      <c r="A214" s="874"/>
      <c r="B214" s="875"/>
      <c r="C214" s="874"/>
      <c r="D214" s="874"/>
      <c r="E214" s="874"/>
      <c r="F214" s="874"/>
      <c r="G214" s="874"/>
      <c r="H214" s="874"/>
      <c r="I214" s="874"/>
      <c r="J214" s="874"/>
      <c r="K214" s="874"/>
      <c r="L214" s="874"/>
      <c r="M214" s="874"/>
    </row>
    <row r="215" spans="1:13">
      <c r="A215" s="874"/>
      <c r="B215" s="875"/>
      <c r="C215" s="874"/>
      <c r="D215" s="874"/>
      <c r="E215" s="874"/>
      <c r="F215" s="874"/>
      <c r="G215" s="874"/>
      <c r="H215" s="874"/>
      <c r="I215" s="874"/>
      <c r="J215" s="874"/>
      <c r="K215" s="874"/>
      <c r="L215" s="874"/>
      <c r="M215" s="874"/>
    </row>
    <row r="216" spans="1:13">
      <c r="A216" s="874"/>
      <c r="B216" s="875"/>
      <c r="C216" s="874"/>
      <c r="D216" s="874"/>
      <c r="E216" s="874"/>
      <c r="F216" s="874"/>
      <c r="G216" s="874"/>
      <c r="H216" s="874"/>
      <c r="I216" s="874"/>
      <c r="J216" s="874"/>
      <c r="K216" s="874"/>
      <c r="L216" s="874"/>
      <c r="M216" s="874"/>
    </row>
    <row r="217" spans="1:13">
      <c r="A217" s="874"/>
      <c r="B217" s="875"/>
      <c r="C217" s="874"/>
      <c r="D217" s="874"/>
      <c r="E217" s="874"/>
      <c r="F217" s="874"/>
      <c r="G217" s="874"/>
      <c r="H217" s="874"/>
      <c r="I217" s="874"/>
      <c r="J217" s="874"/>
      <c r="K217" s="874"/>
      <c r="L217" s="874"/>
      <c r="M217" s="874"/>
    </row>
    <row r="218" spans="1:13">
      <c r="A218" s="874"/>
      <c r="B218" s="875"/>
      <c r="C218" s="874"/>
      <c r="D218" s="874"/>
      <c r="E218" s="874"/>
      <c r="F218" s="874"/>
      <c r="G218" s="874"/>
      <c r="H218" s="874"/>
      <c r="I218" s="874"/>
      <c r="J218" s="874"/>
      <c r="K218" s="874"/>
      <c r="L218" s="874"/>
      <c r="M218" s="874"/>
    </row>
    <row r="219" spans="1:13">
      <c r="A219" s="874"/>
      <c r="B219" s="875"/>
      <c r="C219" s="874"/>
      <c r="D219" s="874"/>
      <c r="E219" s="874"/>
      <c r="F219" s="874"/>
      <c r="G219" s="874"/>
      <c r="H219" s="874"/>
      <c r="I219" s="874"/>
      <c r="J219" s="874"/>
      <c r="K219" s="874"/>
      <c r="L219" s="874"/>
      <c r="M219" s="874"/>
    </row>
    <row r="220" spans="1:13">
      <c r="A220" s="874"/>
      <c r="B220" s="875"/>
      <c r="C220" s="874"/>
      <c r="D220" s="874"/>
      <c r="E220" s="874"/>
      <c r="F220" s="874"/>
      <c r="G220" s="874"/>
      <c r="H220" s="874"/>
      <c r="I220" s="874"/>
      <c r="J220" s="874"/>
      <c r="K220" s="874"/>
      <c r="L220" s="874"/>
      <c r="M220" s="874"/>
    </row>
    <row r="221" spans="1:13">
      <c r="A221" s="874"/>
      <c r="B221" s="875"/>
      <c r="C221" s="874"/>
      <c r="D221" s="874"/>
      <c r="E221" s="874"/>
      <c r="F221" s="874"/>
      <c r="G221" s="874"/>
      <c r="H221" s="874"/>
      <c r="I221" s="874"/>
      <c r="J221" s="874"/>
      <c r="K221" s="874"/>
      <c r="L221" s="874"/>
      <c r="M221" s="874"/>
    </row>
    <row r="222" spans="1:13">
      <c r="A222" s="874"/>
      <c r="B222" s="875"/>
      <c r="C222" s="874"/>
      <c r="D222" s="874"/>
      <c r="E222" s="874"/>
      <c r="F222" s="874"/>
      <c r="G222" s="874"/>
      <c r="H222" s="874"/>
      <c r="I222" s="874"/>
      <c r="J222" s="874"/>
      <c r="K222" s="874"/>
      <c r="L222" s="874"/>
      <c r="M222" s="874"/>
    </row>
    <row r="223" spans="1:13">
      <c r="A223" s="874"/>
      <c r="B223" s="875"/>
      <c r="C223" s="874"/>
      <c r="D223" s="874"/>
      <c r="E223" s="874"/>
      <c r="F223" s="874"/>
      <c r="G223" s="874"/>
      <c r="H223" s="874"/>
      <c r="I223" s="874"/>
      <c r="J223" s="874"/>
      <c r="K223" s="874"/>
      <c r="L223" s="874"/>
      <c r="M223" s="874"/>
    </row>
    <row r="224" spans="1:13">
      <c r="A224" s="874"/>
      <c r="B224" s="875"/>
      <c r="C224" s="874"/>
      <c r="D224" s="874"/>
      <c r="E224" s="874"/>
      <c r="F224" s="874"/>
      <c r="G224" s="874"/>
      <c r="H224" s="874"/>
      <c r="I224" s="874"/>
      <c r="J224" s="874"/>
      <c r="K224" s="874"/>
      <c r="L224" s="874"/>
      <c r="M224" s="874"/>
    </row>
    <row r="225" spans="1:13">
      <c r="A225" s="874"/>
      <c r="B225" s="875"/>
      <c r="C225" s="874"/>
      <c r="D225" s="874"/>
      <c r="E225" s="874"/>
      <c r="F225" s="874"/>
      <c r="G225" s="874"/>
      <c r="H225" s="874"/>
      <c r="I225" s="874"/>
      <c r="J225" s="874"/>
      <c r="K225" s="874"/>
      <c r="L225" s="874"/>
      <c r="M225" s="874"/>
    </row>
    <row r="226" spans="1:13">
      <c r="A226" s="874"/>
      <c r="B226" s="875"/>
      <c r="C226" s="874"/>
      <c r="D226" s="874"/>
      <c r="E226" s="874"/>
      <c r="F226" s="874"/>
      <c r="G226" s="874"/>
      <c r="H226" s="874"/>
      <c r="I226" s="874"/>
      <c r="J226" s="874"/>
      <c r="K226" s="874"/>
      <c r="L226" s="874"/>
      <c r="M226" s="874"/>
    </row>
    <row r="227" spans="1:13">
      <c r="A227" s="874"/>
      <c r="B227" s="875"/>
      <c r="C227" s="874"/>
      <c r="D227" s="874"/>
      <c r="E227" s="874"/>
      <c r="F227" s="874"/>
      <c r="G227" s="874"/>
      <c r="H227" s="874"/>
      <c r="I227" s="874"/>
      <c r="J227" s="874"/>
      <c r="K227" s="874"/>
      <c r="L227" s="874"/>
      <c r="M227" s="874"/>
    </row>
    <row r="228" spans="1:13">
      <c r="A228" s="874"/>
      <c r="B228" s="875"/>
      <c r="C228" s="874"/>
      <c r="D228" s="874"/>
      <c r="E228" s="874"/>
      <c r="F228" s="874"/>
      <c r="G228" s="874"/>
      <c r="H228" s="874"/>
      <c r="I228" s="874"/>
      <c r="J228" s="874"/>
      <c r="K228" s="874"/>
      <c r="L228" s="874"/>
      <c r="M228" s="874"/>
    </row>
    <row r="229" spans="1:13">
      <c r="A229" s="874"/>
      <c r="B229" s="875"/>
      <c r="C229" s="874"/>
      <c r="D229" s="874"/>
      <c r="E229" s="874"/>
      <c r="F229" s="874"/>
      <c r="G229" s="874"/>
      <c r="H229" s="874"/>
      <c r="I229" s="874"/>
      <c r="J229" s="874"/>
      <c r="K229" s="874"/>
      <c r="L229" s="874"/>
      <c r="M229" s="874"/>
    </row>
    <row r="230" spans="1:13">
      <c r="A230" s="874"/>
      <c r="B230" s="875"/>
      <c r="C230" s="874"/>
      <c r="D230" s="874"/>
      <c r="E230" s="874"/>
      <c r="F230" s="874"/>
      <c r="G230" s="874"/>
      <c r="H230" s="874"/>
      <c r="I230" s="874"/>
      <c r="J230" s="874"/>
      <c r="K230" s="874"/>
      <c r="L230" s="874"/>
      <c r="M230" s="874"/>
    </row>
    <row r="231" spans="1:13">
      <c r="A231" s="874"/>
      <c r="B231" s="875"/>
      <c r="C231" s="874"/>
      <c r="D231" s="874"/>
      <c r="E231" s="874"/>
      <c r="F231" s="874"/>
      <c r="G231" s="874"/>
      <c r="H231" s="874"/>
      <c r="I231" s="874"/>
      <c r="J231" s="874"/>
      <c r="K231" s="874"/>
      <c r="L231" s="874"/>
      <c r="M231" s="874"/>
    </row>
    <row r="232" spans="1:13">
      <c r="A232" s="874"/>
      <c r="B232" s="875"/>
      <c r="C232" s="874"/>
      <c r="D232" s="874"/>
      <c r="E232" s="874"/>
      <c r="F232" s="874"/>
      <c r="G232" s="874"/>
      <c r="H232" s="874"/>
      <c r="I232" s="874"/>
      <c r="J232" s="874"/>
      <c r="K232" s="874"/>
      <c r="L232" s="874"/>
      <c r="M232" s="874"/>
    </row>
    <row r="233" spans="1:13">
      <c r="A233" s="874"/>
      <c r="B233" s="875"/>
      <c r="C233" s="874"/>
      <c r="D233" s="874"/>
      <c r="E233" s="874"/>
      <c r="F233" s="874"/>
      <c r="G233" s="874"/>
      <c r="H233" s="874"/>
      <c r="I233" s="874"/>
      <c r="J233" s="874"/>
      <c r="K233" s="874"/>
      <c r="L233" s="874"/>
      <c r="M233" s="874"/>
    </row>
    <row r="234" spans="1:13">
      <c r="A234" s="874"/>
      <c r="B234" s="875"/>
      <c r="C234" s="874"/>
      <c r="D234" s="874"/>
      <c r="E234" s="874"/>
      <c r="F234" s="874"/>
      <c r="G234" s="874"/>
      <c r="H234" s="874"/>
      <c r="I234" s="874"/>
      <c r="J234" s="874"/>
      <c r="K234" s="874"/>
      <c r="L234" s="874"/>
      <c r="M234" s="874"/>
    </row>
    <row r="235" spans="1:13">
      <c r="A235" s="874"/>
      <c r="B235" s="875"/>
      <c r="C235" s="874"/>
      <c r="D235" s="874"/>
      <c r="E235" s="874"/>
      <c r="F235" s="874"/>
      <c r="G235" s="874"/>
      <c r="H235" s="874"/>
      <c r="I235" s="874"/>
      <c r="J235" s="874"/>
      <c r="K235" s="874"/>
      <c r="L235" s="874"/>
      <c r="M235" s="874"/>
    </row>
    <row r="236" spans="1:13">
      <c r="A236" s="874"/>
      <c r="B236" s="875"/>
      <c r="C236" s="874"/>
      <c r="D236" s="874"/>
      <c r="E236" s="874"/>
      <c r="F236" s="874"/>
      <c r="G236" s="874"/>
      <c r="H236" s="874"/>
      <c r="I236" s="874"/>
      <c r="J236" s="874"/>
      <c r="K236" s="874"/>
      <c r="L236" s="874"/>
      <c r="M236" s="874"/>
    </row>
    <row r="237" spans="1:13">
      <c r="A237" s="874"/>
      <c r="B237" s="875"/>
      <c r="C237" s="874"/>
      <c r="D237" s="874"/>
      <c r="E237" s="874"/>
      <c r="F237" s="874"/>
      <c r="G237" s="874"/>
      <c r="H237" s="874"/>
      <c r="I237" s="874"/>
      <c r="J237" s="874"/>
      <c r="K237" s="874"/>
      <c r="L237" s="874"/>
      <c r="M237" s="874"/>
    </row>
    <row r="238" spans="1:13">
      <c r="A238" s="874"/>
      <c r="B238" s="875"/>
      <c r="C238" s="874"/>
      <c r="D238" s="874"/>
      <c r="E238" s="874"/>
      <c r="F238" s="874"/>
      <c r="G238" s="874"/>
      <c r="H238" s="874"/>
      <c r="I238" s="874"/>
      <c r="J238" s="874"/>
      <c r="K238" s="874"/>
      <c r="L238" s="874"/>
      <c r="M238" s="874"/>
    </row>
    <row r="239" spans="1:13">
      <c r="A239" s="874"/>
      <c r="B239" s="875"/>
      <c r="C239" s="874"/>
      <c r="D239" s="874"/>
      <c r="E239" s="874"/>
      <c r="F239" s="874"/>
      <c r="G239" s="874"/>
      <c r="H239" s="874"/>
      <c r="I239" s="874"/>
      <c r="J239" s="874"/>
      <c r="K239" s="874"/>
      <c r="L239" s="874"/>
      <c r="M239" s="874"/>
    </row>
    <row r="240" spans="1:13">
      <c r="A240" s="874"/>
      <c r="B240" s="875"/>
      <c r="C240" s="874"/>
      <c r="D240" s="874"/>
      <c r="E240" s="874"/>
      <c r="F240" s="874"/>
      <c r="G240" s="874"/>
      <c r="H240" s="874"/>
      <c r="I240" s="874"/>
      <c r="J240" s="874"/>
      <c r="K240" s="874"/>
      <c r="L240" s="874"/>
      <c r="M240" s="874"/>
    </row>
    <row r="241" spans="1:13">
      <c r="A241" s="874"/>
      <c r="B241" s="875"/>
      <c r="C241" s="874"/>
      <c r="D241" s="874"/>
      <c r="E241" s="874"/>
      <c r="F241" s="874"/>
      <c r="G241" s="874"/>
      <c r="H241" s="874"/>
      <c r="I241" s="874"/>
      <c r="J241" s="874"/>
      <c r="K241" s="874"/>
      <c r="L241" s="874"/>
      <c r="M241" s="874"/>
    </row>
    <row r="242" spans="1:13">
      <c r="A242" s="874"/>
      <c r="B242" s="875"/>
      <c r="C242" s="874"/>
      <c r="D242" s="874"/>
      <c r="E242" s="874"/>
      <c r="F242" s="874"/>
      <c r="G242" s="874"/>
      <c r="H242" s="874"/>
      <c r="I242" s="874"/>
      <c r="J242" s="874"/>
      <c r="K242" s="874"/>
      <c r="L242" s="874"/>
      <c r="M242" s="874"/>
    </row>
    <row r="243" spans="1:13">
      <c r="A243" s="874"/>
      <c r="B243" s="875"/>
      <c r="C243" s="874"/>
      <c r="D243" s="874"/>
      <c r="E243" s="874"/>
      <c r="F243" s="874"/>
      <c r="G243" s="874"/>
      <c r="H243" s="874"/>
      <c r="I243" s="874"/>
      <c r="J243" s="874"/>
      <c r="K243" s="874"/>
      <c r="L243" s="874"/>
      <c r="M243" s="874"/>
    </row>
    <row r="244" spans="1:13">
      <c r="A244" s="874"/>
      <c r="B244" s="875"/>
      <c r="C244" s="874"/>
      <c r="D244" s="874"/>
      <c r="E244" s="874"/>
      <c r="F244" s="874"/>
      <c r="G244" s="874"/>
      <c r="H244" s="874"/>
      <c r="I244" s="874"/>
      <c r="J244" s="874"/>
      <c r="K244" s="874"/>
      <c r="L244" s="874"/>
      <c r="M244" s="874"/>
    </row>
    <row r="245" spans="1:13">
      <c r="A245" s="874"/>
      <c r="B245" s="875"/>
      <c r="C245" s="874"/>
      <c r="D245" s="874"/>
      <c r="E245" s="874"/>
      <c r="F245" s="874"/>
      <c r="G245" s="874"/>
      <c r="H245" s="874"/>
      <c r="I245" s="874"/>
      <c r="J245" s="874"/>
      <c r="K245" s="874"/>
      <c r="L245" s="874"/>
      <c r="M245" s="874"/>
    </row>
    <row r="246" spans="1:13">
      <c r="A246" s="874"/>
      <c r="B246" s="875"/>
      <c r="C246" s="874"/>
      <c r="D246" s="874"/>
      <c r="E246" s="874"/>
      <c r="F246" s="874"/>
      <c r="G246" s="874"/>
      <c r="H246" s="874"/>
      <c r="I246" s="874"/>
      <c r="J246" s="874"/>
      <c r="K246" s="874"/>
      <c r="L246" s="874"/>
      <c r="M246" s="874"/>
    </row>
    <row r="247" spans="1:13">
      <c r="A247" s="874"/>
      <c r="B247" s="875"/>
      <c r="C247" s="874"/>
      <c r="D247" s="874"/>
      <c r="E247" s="874"/>
      <c r="F247" s="874"/>
      <c r="G247" s="874"/>
      <c r="H247" s="874"/>
      <c r="I247" s="874"/>
      <c r="J247" s="874"/>
      <c r="K247" s="874"/>
      <c r="L247" s="874"/>
      <c r="M247" s="874"/>
    </row>
    <row r="248" spans="1:13">
      <c r="A248" s="874"/>
      <c r="B248" s="875"/>
      <c r="C248" s="874"/>
      <c r="D248" s="874"/>
      <c r="E248" s="874"/>
      <c r="F248" s="874"/>
      <c r="G248" s="874"/>
      <c r="H248" s="874"/>
      <c r="I248" s="874"/>
      <c r="J248" s="874"/>
      <c r="K248" s="874"/>
      <c r="L248" s="874"/>
      <c r="M248" s="874"/>
    </row>
    <row r="249" spans="1:13">
      <c r="A249" s="874"/>
      <c r="B249" s="875"/>
      <c r="C249" s="874"/>
      <c r="D249" s="874"/>
      <c r="E249" s="874"/>
      <c r="F249" s="874"/>
      <c r="G249" s="874"/>
      <c r="H249" s="874"/>
      <c r="I249" s="874"/>
      <c r="J249" s="874"/>
      <c r="K249" s="874"/>
      <c r="L249" s="874"/>
      <c r="M249" s="874"/>
    </row>
    <row r="250" spans="1:13">
      <c r="A250" s="874"/>
      <c r="B250" s="875"/>
      <c r="C250" s="874"/>
      <c r="D250" s="874"/>
      <c r="E250" s="874"/>
      <c r="F250" s="874"/>
      <c r="G250" s="874"/>
      <c r="H250" s="874"/>
      <c r="I250" s="874"/>
      <c r="J250" s="874"/>
      <c r="K250" s="874"/>
      <c r="L250" s="874"/>
      <c r="M250" s="874"/>
    </row>
    <row r="251" spans="1:13">
      <c r="A251" s="874"/>
      <c r="B251" s="875"/>
      <c r="C251" s="874"/>
      <c r="D251" s="874"/>
      <c r="E251" s="874"/>
      <c r="F251" s="874"/>
      <c r="G251" s="874"/>
      <c r="H251" s="874"/>
      <c r="I251" s="874"/>
      <c r="J251" s="874"/>
      <c r="K251" s="874"/>
      <c r="L251" s="874"/>
      <c r="M251" s="874"/>
    </row>
    <row r="252" spans="1:13">
      <c r="A252" s="874"/>
      <c r="B252" s="875"/>
      <c r="C252" s="874"/>
      <c r="D252" s="874"/>
      <c r="E252" s="874"/>
      <c r="F252" s="874"/>
      <c r="G252" s="874"/>
      <c r="H252" s="874"/>
      <c r="I252" s="874"/>
      <c r="J252" s="874"/>
      <c r="K252" s="874"/>
      <c r="L252" s="874"/>
      <c r="M252" s="874"/>
    </row>
    <row r="253" spans="1:13">
      <c r="A253" s="874"/>
      <c r="B253" s="875"/>
      <c r="C253" s="874"/>
      <c r="D253" s="874"/>
      <c r="E253" s="874"/>
      <c r="F253" s="874"/>
      <c r="G253" s="874"/>
      <c r="H253" s="874"/>
      <c r="I253" s="874"/>
      <c r="J253" s="874"/>
      <c r="K253" s="874"/>
      <c r="L253" s="874"/>
      <c r="M253" s="874"/>
    </row>
    <row r="254" spans="1:13">
      <c r="A254" s="874"/>
      <c r="B254" s="875"/>
      <c r="C254" s="874"/>
      <c r="D254" s="874"/>
      <c r="E254" s="874"/>
      <c r="F254" s="874"/>
      <c r="G254" s="874"/>
      <c r="H254" s="874"/>
      <c r="I254" s="874"/>
      <c r="J254" s="874"/>
      <c r="K254" s="874"/>
      <c r="L254" s="874"/>
      <c r="M254" s="874"/>
    </row>
    <row r="255" spans="1:13">
      <c r="A255" s="874"/>
      <c r="B255" s="875"/>
      <c r="C255" s="874"/>
      <c r="D255" s="874"/>
      <c r="E255" s="874"/>
      <c r="F255" s="874"/>
      <c r="G255" s="874"/>
      <c r="H255" s="874"/>
      <c r="I255" s="874"/>
      <c r="J255" s="874"/>
      <c r="K255" s="874"/>
      <c r="L255" s="874"/>
      <c r="M255" s="874"/>
    </row>
    <row r="256" spans="1:13">
      <c r="A256" s="874"/>
      <c r="B256" s="875"/>
      <c r="C256" s="874"/>
      <c r="D256" s="874"/>
      <c r="E256" s="874"/>
      <c r="F256" s="874"/>
      <c r="G256" s="874"/>
      <c r="H256" s="874"/>
      <c r="I256" s="874"/>
      <c r="J256" s="874"/>
      <c r="K256" s="874"/>
      <c r="L256" s="874"/>
      <c r="M256" s="874"/>
    </row>
    <row r="257" spans="1:13">
      <c r="A257" s="874"/>
      <c r="B257" s="875"/>
      <c r="C257" s="874"/>
      <c r="D257" s="874"/>
      <c r="E257" s="874"/>
      <c r="F257" s="874"/>
      <c r="G257" s="874"/>
      <c r="H257" s="874"/>
      <c r="I257" s="874"/>
      <c r="J257" s="874"/>
      <c r="K257" s="874"/>
      <c r="L257" s="874"/>
      <c r="M257" s="874"/>
    </row>
    <row r="258" spans="1:13">
      <c r="A258" s="874"/>
      <c r="B258" s="875"/>
      <c r="C258" s="874"/>
      <c r="D258" s="874"/>
      <c r="E258" s="874"/>
      <c r="F258" s="874"/>
      <c r="G258" s="874"/>
      <c r="H258" s="874"/>
      <c r="I258" s="874"/>
      <c r="J258" s="874"/>
      <c r="K258" s="874"/>
      <c r="L258" s="874"/>
      <c r="M258" s="874"/>
    </row>
    <row r="259" spans="1:13">
      <c r="A259" s="874"/>
      <c r="B259" s="875"/>
      <c r="C259" s="874"/>
      <c r="D259" s="874"/>
      <c r="E259" s="874"/>
      <c r="F259" s="874"/>
      <c r="G259" s="874"/>
      <c r="H259" s="874"/>
      <c r="I259" s="874"/>
      <c r="J259" s="874"/>
      <c r="K259" s="874"/>
      <c r="L259" s="874"/>
      <c r="M259" s="874"/>
    </row>
    <row r="260" spans="1:13">
      <c r="A260" s="874"/>
      <c r="B260" s="875"/>
      <c r="C260" s="874"/>
      <c r="D260" s="874"/>
      <c r="E260" s="874"/>
      <c r="F260" s="874"/>
      <c r="G260" s="874"/>
      <c r="H260" s="874"/>
      <c r="I260" s="874"/>
      <c r="J260" s="874"/>
      <c r="K260" s="874"/>
      <c r="L260" s="874"/>
      <c r="M260" s="874"/>
    </row>
    <row r="261" spans="1:13">
      <c r="A261" s="874"/>
      <c r="B261" s="875"/>
      <c r="C261" s="874"/>
      <c r="D261" s="874"/>
      <c r="E261" s="874"/>
      <c r="F261" s="874"/>
      <c r="G261" s="874"/>
      <c r="H261" s="874"/>
      <c r="I261" s="874"/>
      <c r="J261" s="874"/>
      <c r="K261" s="874"/>
      <c r="L261" s="874"/>
      <c r="M261" s="874"/>
    </row>
    <row r="262" spans="1:13">
      <c r="A262" s="874"/>
      <c r="B262" s="875"/>
      <c r="C262" s="874"/>
      <c r="D262" s="874"/>
      <c r="E262" s="874"/>
      <c r="F262" s="874"/>
      <c r="G262" s="874"/>
      <c r="H262" s="874"/>
      <c r="I262" s="874"/>
      <c r="J262" s="874"/>
      <c r="K262" s="874"/>
      <c r="L262" s="874"/>
      <c r="M262" s="874"/>
    </row>
    <row r="263" spans="1:13">
      <c r="A263" s="874"/>
      <c r="B263" s="875"/>
      <c r="C263" s="874"/>
      <c r="D263" s="874"/>
      <c r="E263" s="874"/>
      <c r="F263" s="874"/>
      <c r="G263" s="874"/>
      <c r="H263" s="874"/>
      <c r="I263" s="874"/>
      <c r="J263" s="874"/>
      <c r="K263" s="874"/>
      <c r="L263" s="874"/>
      <c r="M263" s="874"/>
    </row>
    <row r="264" spans="1:13">
      <c r="A264" s="874"/>
      <c r="B264" s="875"/>
      <c r="C264" s="874"/>
      <c r="D264" s="874"/>
      <c r="E264" s="874"/>
      <c r="F264" s="874"/>
      <c r="G264" s="874"/>
      <c r="H264" s="874"/>
      <c r="I264" s="874"/>
      <c r="J264" s="874"/>
      <c r="K264" s="874"/>
      <c r="L264" s="874"/>
      <c r="M264" s="874"/>
    </row>
    <row r="265" spans="1:13">
      <c r="A265" s="874"/>
      <c r="B265" s="875"/>
      <c r="C265" s="874"/>
      <c r="D265" s="874"/>
      <c r="E265" s="874"/>
      <c r="F265" s="874"/>
      <c r="G265" s="874"/>
      <c r="H265" s="874"/>
      <c r="I265" s="874"/>
      <c r="J265" s="874"/>
      <c r="K265" s="874"/>
      <c r="L265" s="874"/>
      <c r="M265" s="874"/>
    </row>
    <row r="266" spans="1:13">
      <c r="A266" s="874"/>
      <c r="B266" s="875"/>
      <c r="C266" s="874"/>
      <c r="D266" s="874"/>
      <c r="E266" s="874"/>
      <c r="F266" s="874"/>
      <c r="G266" s="874"/>
      <c r="H266" s="874"/>
      <c r="I266" s="874"/>
      <c r="J266" s="874"/>
      <c r="K266" s="874"/>
      <c r="L266" s="874"/>
      <c r="M266" s="874"/>
    </row>
    <row r="267" spans="1:13">
      <c r="A267" s="874"/>
      <c r="B267" s="875"/>
      <c r="C267" s="874"/>
      <c r="D267" s="874"/>
      <c r="E267" s="874"/>
      <c r="F267" s="874"/>
      <c r="G267" s="874"/>
      <c r="H267" s="874"/>
      <c r="I267" s="874"/>
      <c r="J267" s="874"/>
      <c r="K267" s="874"/>
      <c r="L267" s="874"/>
      <c r="M267" s="874"/>
    </row>
    <row r="268" spans="1:13">
      <c r="A268" s="874"/>
      <c r="B268" s="875"/>
      <c r="C268" s="874"/>
      <c r="D268" s="874"/>
      <c r="E268" s="874"/>
      <c r="F268" s="874"/>
      <c r="G268" s="874"/>
      <c r="H268" s="874"/>
      <c r="I268" s="874"/>
      <c r="J268" s="874"/>
      <c r="K268" s="874"/>
      <c r="L268" s="874"/>
      <c r="M268" s="874"/>
    </row>
    <row r="269" spans="1:13">
      <c r="A269" s="874"/>
      <c r="B269" s="875"/>
      <c r="C269" s="874"/>
      <c r="D269" s="874"/>
      <c r="E269" s="874"/>
      <c r="F269" s="874"/>
      <c r="G269" s="874"/>
      <c r="H269" s="874"/>
      <c r="I269" s="874"/>
      <c r="J269" s="874"/>
      <c r="K269" s="874"/>
      <c r="L269" s="874"/>
      <c r="M269" s="874"/>
    </row>
    <row r="270" spans="1:13">
      <c r="A270" s="874"/>
      <c r="B270" s="875"/>
      <c r="C270" s="874"/>
      <c r="D270" s="874"/>
      <c r="E270" s="874"/>
      <c r="F270" s="874"/>
      <c r="G270" s="874"/>
      <c r="H270" s="874"/>
      <c r="I270" s="874"/>
      <c r="J270" s="874"/>
      <c r="K270" s="874"/>
      <c r="L270" s="874"/>
      <c r="M270" s="874"/>
    </row>
    <row r="271" spans="1:13">
      <c r="A271" s="874"/>
      <c r="B271" s="875"/>
      <c r="C271" s="874"/>
      <c r="D271" s="874"/>
      <c r="E271" s="874"/>
      <c r="F271" s="874"/>
      <c r="G271" s="874"/>
      <c r="H271" s="874"/>
      <c r="I271" s="874"/>
      <c r="J271" s="874"/>
      <c r="K271" s="874"/>
      <c r="L271" s="874"/>
      <c r="M271" s="874"/>
    </row>
    <row r="272" spans="1:13">
      <c r="A272" s="874"/>
      <c r="B272" s="875"/>
      <c r="C272" s="874"/>
      <c r="D272" s="874"/>
      <c r="E272" s="874"/>
      <c r="F272" s="874"/>
      <c r="G272" s="874"/>
      <c r="H272" s="874"/>
      <c r="I272" s="874"/>
      <c r="J272" s="874"/>
      <c r="K272" s="874"/>
      <c r="L272" s="874"/>
      <c r="M272" s="874"/>
    </row>
    <row r="273" spans="1:13">
      <c r="A273" s="874"/>
      <c r="B273" s="875"/>
      <c r="C273" s="874"/>
      <c r="D273" s="874"/>
      <c r="E273" s="874"/>
      <c r="F273" s="874"/>
      <c r="G273" s="874"/>
      <c r="H273" s="874"/>
      <c r="I273" s="874"/>
      <c r="J273" s="874"/>
      <c r="K273" s="874"/>
      <c r="L273" s="874"/>
      <c r="M273" s="874"/>
    </row>
    <row r="274" spans="1:13">
      <c r="A274" s="874"/>
      <c r="B274" s="875"/>
      <c r="C274" s="874"/>
      <c r="D274" s="874"/>
      <c r="E274" s="874"/>
      <c r="F274" s="874"/>
      <c r="G274" s="874"/>
      <c r="H274" s="874"/>
      <c r="I274" s="874"/>
      <c r="J274" s="874"/>
      <c r="K274" s="874"/>
      <c r="L274" s="874"/>
      <c r="M274" s="874"/>
    </row>
    <row r="275" spans="1:13">
      <c r="A275" s="874"/>
      <c r="B275" s="875"/>
      <c r="C275" s="874"/>
      <c r="D275" s="874"/>
      <c r="E275" s="874"/>
      <c r="F275" s="874"/>
      <c r="G275" s="874"/>
      <c r="H275" s="874"/>
      <c r="I275" s="874"/>
      <c r="J275" s="874"/>
      <c r="K275" s="874"/>
      <c r="L275" s="874"/>
      <c r="M275" s="874"/>
    </row>
    <row r="276" spans="1:13">
      <c r="A276" s="874"/>
      <c r="B276" s="875"/>
      <c r="C276" s="874"/>
      <c r="D276" s="874"/>
      <c r="E276" s="874"/>
      <c r="F276" s="874"/>
      <c r="G276" s="874"/>
      <c r="H276" s="874"/>
      <c r="I276" s="874"/>
      <c r="J276" s="874"/>
      <c r="K276" s="874"/>
      <c r="L276" s="874"/>
      <c r="M276" s="874"/>
    </row>
    <row r="277" spans="1:13">
      <c r="A277" s="874"/>
      <c r="B277" s="875"/>
      <c r="C277" s="874"/>
      <c r="D277" s="874"/>
      <c r="E277" s="874"/>
      <c r="F277" s="874"/>
      <c r="G277" s="874"/>
      <c r="H277" s="874"/>
      <c r="I277" s="874"/>
      <c r="J277" s="874"/>
      <c r="K277" s="874"/>
      <c r="L277" s="874"/>
      <c r="M277" s="874"/>
    </row>
    <row r="278" spans="1:13">
      <c r="A278" s="874"/>
      <c r="B278" s="875"/>
      <c r="C278" s="874"/>
      <c r="D278" s="874"/>
      <c r="E278" s="874"/>
      <c r="F278" s="874"/>
      <c r="G278" s="874"/>
      <c r="H278" s="874"/>
      <c r="I278" s="874"/>
      <c r="J278" s="874"/>
      <c r="K278" s="874"/>
      <c r="L278" s="874"/>
      <c r="M278" s="874"/>
    </row>
    <row r="279" spans="1:13">
      <c r="A279" s="874"/>
      <c r="B279" s="875"/>
      <c r="C279" s="874"/>
      <c r="D279" s="874"/>
      <c r="E279" s="874"/>
      <c r="F279" s="874"/>
      <c r="G279" s="874"/>
      <c r="H279" s="874"/>
      <c r="I279" s="874"/>
      <c r="J279" s="874"/>
      <c r="K279" s="874"/>
      <c r="L279" s="874"/>
      <c r="M279" s="874"/>
    </row>
    <row r="280" spans="1:13">
      <c r="A280" s="874"/>
      <c r="B280" s="875"/>
      <c r="C280" s="874"/>
      <c r="D280" s="874"/>
      <c r="E280" s="874"/>
      <c r="F280" s="874"/>
      <c r="G280" s="874"/>
      <c r="H280" s="874"/>
      <c r="I280" s="874"/>
      <c r="J280" s="874"/>
      <c r="K280" s="874"/>
      <c r="L280" s="874"/>
      <c r="M280" s="874"/>
    </row>
    <row r="281" spans="1:13">
      <c r="A281" s="874"/>
      <c r="B281" s="875"/>
      <c r="C281" s="874"/>
      <c r="D281" s="874"/>
      <c r="E281" s="874"/>
      <c r="F281" s="874"/>
      <c r="G281" s="874"/>
      <c r="H281" s="874"/>
      <c r="I281" s="874"/>
      <c r="J281" s="874"/>
      <c r="K281" s="874"/>
      <c r="L281" s="874"/>
      <c r="M281" s="874"/>
    </row>
    <row r="282" spans="1:13">
      <c r="A282" s="874"/>
      <c r="B282" s="875"/>
      <c r="C282" s="874"/>
      <c r="D282" s="874"/>
      <c r="E282" s="874"/>
      <c r="F282" s="874"/>
      <c r="G282" s="874"/>
      <c r="H282" s="874"/>
      <c r="I282" s="874"/>
      <c r="J282" s="874"/>
      <c r="K282" s="874"/>
      <c r="L282" s="874"/>
      <c r="M282" s="874"/>
    </row>
    <row r="283" spans="1:13">
      <c r="A283" s="874"/>
      <c r="B283" s="875"/>
      <c r="C283" s="874"/>
      <c r="D283" s="874"/>
      <c r="E283" s="874"/>
      <c r="F283" s="874"/>
      <c r="G283" s="874"/>
      <c r="H283" s="874"/>
      <c r="I283" s="874"/>
      <c r="J283" s="874"/>
      <c r="K283" s="874"/>
      <c r="L283" s="874"/>
      <c r="M283" s="874"/>
    </row>
    <row r="284" spans="1:13">
      <c r="A284" s="874"/>
      <c r="B284" s="875"/>
      <c r="C284" s="874"/>
      <c r="D284" s="874"/>
      <c r="E284" s="874"/>
      <c r="F284" s="874"/>
      <c r="G284" s="874"/>
      <c r="H284" s="874"/>
      <c r="I284" s="874"/>
      <c r="J284" s="874"/>
      <c r="K284" s="874"/>
      <c r="L284" s="874"/>
      <c r="M284" s="874"/>
    </row>
    <row r="285" spans="1:13">
      <c r="A285" s="874"/>
      <c r="B285" s="875"/>
      <c r="C285" s="874"/>
      <c r="D285" s="874"/>
      <c r="E285" s="874"/>
      <c r="F285" s="874"/>
      <c r="G285" s="874"/>
      <c r="H285" s="874"/>
      <c r="I285" s="874"/>
      <c r="J285" s="874"/>
      <c r="K285" s="874"/>
      <c r="L285" s="874"/>
      <c r="M285" s="874"/>
    </row>
    <row r="286" spans="1:13">
      <c r="A286" s="874"/>
      <c r="B286" s="875"/>
      <c r="C286" s="874"/>
      <c r="D286" s="874"/>
      <c r="E286" s="874"/>
      <c r="F286" s="874"/>
      <c r="G286" s="874"/>
      <c r="H286" s="874"/>
      <c r="I286" s="874"/>
      <c r="J286" s="874"/>
      <c r="K286" s="874"/>
      <c r="L286" s="874"/>
      <c r="M286" s="874"/>
    </row>
    <row r="287" spans="1:13">
      <c r="A287" s="874"/>
      <c r="B287" s="875"/>
      <c r="C287" s="874"/>
      <c r="D287" s="874"/>
      <c r="E287" s="874"/>
      <c r="F287" s="874"/>
      <c r="G287" s="874"/>
      <c r="H287" s="874"/>
      <c r="I287" s="874"/>
      <c r="J287" s="874"/>
      <c r="K287" s="874"/>
      <c r="L287" s="874"/>
      <c r="M287" s="874"/>
    </row>
    <row r="288" spans="1:13">
      <c r="A288" s="874"/>
      <c r="B288" s="875"/>
      <c r="C288" s="874"/>
      <c r="D288" s="874"/>
      <c r="E288" s="874"/>
      <c r="F288" s="874"/>
      <c r="G288" s="874"/>
      <c r="H288" s="874"/>
      <c r="I288" s="874"/>
      <c r="J288" s="874"/>
      <c r="K288" s="874"/>
      <c r="L288" s="874"/>
      <c r="M288" s="874"/>
    </row>
    <row r="289" spans="1:13">
      <c r="A289" s="874"/>
      <c r="B289" s="875"/>
      <c r="C289" s="874"/>
      <c r="D289" s="874"/>
      <c r="E289" s="874"/>
      <c r="F289" s="874"/>
      <c r="G289" s="874"/>
      <c r="H289" s="874"/>
      <c r="I289" s="874"/>
      <c r="J289" s="874"/>
      <c r="K289" s="874"/>
      <c r="L289" s="874"/>
      <c r="M289" s="874"/>
    </row>
    <row r="290" spans="1:13">
      <c r="A290" s="874"/>
      <c r="B290" s="875"/>
      <c r="C290" s="874"/>
      <c r="D290" s="874"/>
      <c r="E290" s="874"/>
      <c r="F290" s="874"/>
      <c r="G290" s="874"/>
      <c r="H290" s="874"/>
      <c r="I290" s="874"/>
      <c r="J290" s="874"/>
      <c r="K290" s="874"/>
      <c r="L290" s="874"/>
      <c r="M290" s="874"/>
    </row>
    <row r="291" spans="1:13">
      <c r="A291" s="874"/>
      <c r="B291" s="875"/>
      <c r="C291" s="874"/>
      <c r="D291" s="874"/>
      <c r="E291" s="874"/>
      <c r="F291" s="874"/>
      <c r="G291" s="874"/>
      <c r="H291" s="874"/>
      <c r="I291" s="874"/>
      <c r="J291" s="874"/>
      <c r="K291" s="874"/>
      <c r="L291" s="874"/>
      <c r="M291" s="874"/>
    </row>
    <row r="292" spans="1:13">
      <c r="A292" s="874"/>
      <c r="B292" s="875"/>
      <c r="C292" s="874"/>
      <c r="D292" s="874"/>
      <c r="E292" s="874"/>
      <c r="F292" s="874"/>
      <c r="G292" s="874"/>
      <c r="H292" s="874"/>
      <c r="I292" s="874"/>
      <c r="J292" s="874"/>
      <c r="K292" s="874"/>
      <c r="L292" s="874"/>
      <c r="M292" s="874"/>
    </row>
    <row r="293" spans="1:13">
      <c r="A293" s="874"/>
      <c r="B293" s="875"/>
      <c r="C293" s="874"/>
      <c r="D293" s="874"/>
      <c r="E293" s="874"/>
      <c r="F293" s="874"/>
      <c r="G293" s="874"/>
      <c r="H293" s="874"/>
      <c r="I293" s="874"/>
      <c r="J293" s="874"/>
      <c r="K293" s="874"/>
      <c r="L293" s="874"/>
      <c r="M293" s="874"/>
    </row>
    <row r="294" spans="1:13">
      <c r="A294" s="874"/>
      <c r="B294" s="875"/>
      <c r="C294" s="874"/>
      <c r="D294" s="874"/>
      <c r="E294" s="874"/>
      <c r="F294" s="874"/>
      <c r="G294" s="874"/>
      <c r="H294" s="874"/>
      <c r="I294" s="874"/>
      <c r="J294" s="874"/>
      <c r="K294" s="874"/>
      <c r="L294" s="874"/>
      <c r="M294" s="874"/>
    </row>
    <row r="295" spans="1:13">
      <c r="A295" s="874"/>
      <c r="B295" s="875"/>
      <c r="C295" s="874"/>
      <c r="D295" s="874"/>
      <c r="E295" s="874"/>
      <c r="F295" s="874"/>
      <c r="G295" s="874"/>
      <c r="H295" s="874"/>
      <c r="I295" s="874"/>
      <c r="J295" s="874"/>
      <c r="K295" s="874"/>
      <c r="L295" s="874"/>
      <c r="M295" s="874"/>
    </row>
    <row r="296" spans="1:13">
      <c r="A296" s="874"/>
      <c r="B296" s="875"/>
      <c r="C296" s="874"/>
      <c r="D296" s="874"/>
      <c r="E296" s="874"/>
      <c r="F296" s="874"/>
      <c r="G296" s="874"/>
      <c r="H296" s="874"/>
      <c r="I296" s="874"/>
      <c r="J296" s="874"/>
      <c r="K296" s="874"/>
      <c r="L296" s="874"/>
      <c r="M296" s="874"/>
    </row>
    <row r="297" spans="1:13">
      <c r="A297" s="874"/>
      <c r="B297" s="875"/>
      <c r="C297" s="874"/>
      <c r="D297" s="874"/>
      <c r="E297" s="874"/>
      <c r="F297" s="874"/>
      <c r="G297" s="874"/>
      <c r="H297" s="874"/>
      <c r="I297" s="874"/>
      <c r="J297" s="874"/>
      <c r="K297" s="874"/>
      <c r="L297" s="874"/>
      <c r="M297" s="874"/>
    </row>
    <row r="298" spans="1:13">
      <c r="A298" s="874"/>
      <c r="B298" s="875"/>
      <c r="C298" s="874"/>
      <c r="D298" s="874"/>
      <c r="E298" s="874"/>
      <c r="F298" s="874"/>
      <c r="G298" s="874"/>
      <c r="H298" s="874"/>
      <c r="I298" s="874"/>
      <c r="J298" s="874"/>
      <c r="K298" s="874"/>
      <c r="L298" s="874"/>
      <c r="M298" s="874"/>
    </row>
    <row r="299" spans="1:13">
      <c r="A299" s="874"/>
      <c r="B299" s="875"/>
      <c r="C299" s="874"/>
      <c r="D299" s="874"/>
      <c r="E299" s="874"/>
      <c r="F299" s="874"/>
      <c r="G299" s="874"/>
      <c r="H299" s="874"/>
      <c r="I299" s="874"/>
      <c r="J299" s="874"/>
      <c r="K299" s="874"/>
      <c r="L299" s="874"/>
      <c r="M299" s="874"/>
    </row>
    <row r="300" spans="1:13">
      <c r="A300" s="874"/>
      <c r="B300" s="875"/>
      <c r="C300" s="874"/>
      <c r="D300" s="874"/>
      <c r="E300" s="874"/>
      <c r="F300" s="874"/>
      <c r="G300" s="874"/>
      <c r="H300" s="874"/>
      <c r="I300" s="874"/>
      <c r="J300" s="874"/>
      <c r="K300" s="874"/>
      <c r="L300" s="874"/>
      <c r="M300" s="874"/>
    </row>
    <row r="301" spans="1:13">
      <c r="A301" s="874"/>
      <c r="B301" s="875"/>
      <c r="C301" s="874"/>
      <c r="D301" s="874"/>
      <c r="E301" s="874"/>
      <c r="F301" s="874"/>
      <c r="G301" s="874"/>
      <c r="H301" s="874"/>
      <c r="I301" s="874"/>
      <c r="J301" s="874"/>
      <c r="K301" s="874"/>
      <c r="L301" s="874"/>
      <c r="M301" s="874"/>
    </row>
    <row r="302" spans="1:13">
      <c r="A302" s="874"/>
      <c r="B302" s="875"/>
      <c r="C302" s="874"/>
      <c r="D302" s="874"/>
      <c r="E302" s="874"/>
      <c r="F302" s="874"/>
      <c r="G302" s="874"/>
      <c r="H302" s="874"/>
      <c r="I302" s="874"/>
      <c r="J302" s="874"/>
      <c r="K302" s="874"/>
      <c r="L302" s="874"/>
      <c r="M302" s="874"/>
    </row>
    <row r="303" spans="1:13">
      <c r="A303" s="874"/>
      <c r="B303" s="875"/>
      <c r="C303" s="874"/>
      <c r="D303" s="874"/>
      <c r="E303" s="874"/>
      <c r="F303" s="874"/>
      <c r="G303" s="874"/>
      <c r="H303" s="874"/>
      <c r="I303" s="874"/>
      <c r="J303" s="874"/>
      <c r="K303" s="874"/>
      <c r="L303" s="874"/>
      <c r="M303" s="874"/>
    </row>
    <row r="304" spans="1:13">
      <c r="A304" s="874"/>
      <c r="B304" s="875"/>
      <c r="C304" s="874"/>
      <c r="D304" s="874"/>
      <c r="E304" s="874"/>
      <c r="F304" s="874"/>
      <c r="G304" s="874"/>
      <c r="H304" s="874"/>
      <c r="I304" s="874"/>
      <c r="J304" s="874"/>
      <c r="K304" s="874"/>
      <c r="L304" s="874"/>
      <c r="M304" s="874"/>
    </row>
    <row r="305" spans="1:13">
      <c r="A305" s="874"/>
      <c r="B305" s="875"/>
      <c r="C305" s="874"/>
      <c r="D305" s="874"/>
      <c r="E305" s="874"/>
      <c r="F305" s="874"/>
      <c r="G305" s="874"/>
      <c r="H305" s="874"/>
      <c r="I305" s="874"/>
      <c r="J305" s="874"/>
      <c r="K305" s="874"/>
      <c r="L305" s="874"/>
      <c r="M305" s="874"/>
    </row>
    <row r="306" spans="1:13">
      <c r="A306" s="874"/>
      <c r="B306" s="875"/>
      <c r="C306" s="874"/>
      <c r="D306" s="874"/>
      <c r="E306" s="874"/>
      <c r="F306" s="874"/>
      <c r="G306" s="874"/>
      <c r="H306" s="874"/>
      <c r="I306" s="874"/>
      <c r="J306" s="874"/>
      <c r="K306" s="874"/>
      <c r="L306" s="874"/>
      <c r="M306" s="874"/>
    </row>
    <row r="307" spans="1:13">
      <c r="A307" s="874"/>
      <c r="B307" s="875"/>
      <c r="C307" s="874"/>
      <c r="D307" s="874"/>
      <c r="E307" s="874"/>
      <c r="F307" s="874"/>
      <c r="G307" s="874"/>
      <c r="H307" s="874"/>
      <c r="I307" s="874"/>
      <c r="J307" s="874"/>
      <c r="K307" s="874"/>
      <c r="L307" s="874"/>
      <c r="M307" s="874"/>
    </row>
    <row r="308" spans="1:13">
      <c r="A308" s="874"/>
      <c r="B308" s="875"/>
      <c r="C308" s="874"/>
      <c r="D308" s="874"/>
      <c r="E308" s="874"/>
      <c r="F308" s="874"/>
      <c r="G308" s="874"/>
      <c r="H308" s="874"/>
      <c r="I308" s="874"/>
      <c r="J308" s="874"/>
      <c r="K308" s="874"/>
      <c r="L308" s="874"/>
      <c r="M308" s="874"/>
    </row>
    <row r="309" spans="1:13">
      <c r="A309" s="874"/>
      <c r="B309" s="875"/>
      <c r="C309" s="874"/>
      <c r="D309" s="874"/>
      <c r="E309" s="874"/>
      <c r="F309" s="874"/>
      <c r="G309" s="874"/>
      <c r="H309" s="874"/>
      <c r="I309" s="874"/>
      <c r="J309" s="874"/>
      <c r="K309" s="874"/>
      <c r="L309" s="874"/>
      <c r="M309" s="874"/>
    </row>
    <row r="310" spans="1:13">
      <c r="A310" s="874"/>
      <c r="B310" s="875"/>
      <c r="C310" s="874"/>
      <c r="D310" s="874"/>
      <c r="E310" s="874"/>
      <c r="F310" s="874"/>
      <c r="G310" s="874"/>
      <c r="H310" s="874"/>
      <c r="I310" s="874"/>
      <c r="J310" s="874"/>
      <c r="K310" s="874"/>
      <c r="L310" s="874"/>
      <c r="M310" s="874"/>
    </row>
    <row r="311" spans="1:13">
      <c r="A311" s="874"/>
      <c r="B311" s="875"/>
      <c r="C311" s="874"/>
      <c r="D311" s="874"/>
      <c r="E311" s="874"/>
      <c r="F311" s="874"/>
      <c r="G311" s="874"/>
      <c r="H311" s="874"/>
      <c r="I311" s="874"/>
      <c r="J311" s="874"/>
      <c r="K311" s="874"/>
      <c r="L311" s="874"/>
      <c r="M311" s="874"/>
    </row>
    <row r="312" spans="1:13">
      <c r="A312" s="874"/>
      <c r="B312" s="875"/>
      <c r="C312" s="874"/>
      <c r="D312" s="874"/>
      <c r="E312" s="874"/>
      <c r="F312" s="874"/>
      <c r="G312" s="874"/>
      <c r="H312" s="874"/>
      <c r="I312" s="874"/>
      <c r="J312" s="874"/>
      <c r="K312" s="874"/>
      <c r="L312" s="874"/>
      <c r="M312" s="874"/>
    </row>
    <row r="313" spans="1:13">
      <c r="A313" s="874"/>
      <c r="B313" s="875"/>
      <c r="C313" s="874"/>
      <c r="D313" s="874"/>
      <c r="E313" s="874"/>
      <c r="F313" s="874"/>
      <c r="G313" s="874"/>
      <c r="H313" s="874"/>
      <c r="I313" s="874"/>
      <c r="J313" s="874"/>
      <c r="K313" s="874"/>
      <c r="L313" s="874"/>
      <c r="M313" s="874"/>
    </row>
    <row r="314" spans="1:13">
      <c r="A314" s="874"/>
      <c r="B314" s="875"/>
      <c r="C314" s="874"/>
      <c r="D314" s="874"/>
      <c r="E314" s="874"/>
      <c r="F314" s="874"/>
      <c r="G314" s="874"/>
      <c r="H314" s="874"/>
      <c r="I314" s="874"/>
      <c r="J314" s="874"/>
      <c r="K314" s="874"/>
      <c r="L314" s="874"/>
      <c r="M314" s="874"/>
    </row>
    <row r="315" spans="1:13">
      <c r="A315" s="874"/>
      <c r="B315" s="875"/>
      <c r="C315" s="874"/>
      <c r="D315" s="874"/>
      <c r="E315" s="874"/>
      <c r="F315" s="874"/>
      <c r="G315" s="874"/>
      <c r="H315" s="874"/>
      <c r="I315" s="874"/>
      <c r="J315" s="874"/>
      <c r="K315" s="874"/>
      <c r="L315" s="874"/>
      <c r="M315" s="874"/>
    </row>
    <row r="316" spans="1:13">
      <c r="A316" s="874"/>
      <c r="B316" s="875"/>
      <c r="C316" s="874"/>
      <c r="D316" s="874"/>
      <c r="E316" s="874"/>
      <c r="F316" s="874"/>
      <c r="G316" s="874"/>
      <c r="H316" s="874"/>
      <c r="I316" s="874"/>
      <c r="J316" s="874"/>
      <c r="K316" s="874"/>
      <c r="L316" s="874"/>
      <c r="M316" s="874"/>
    </row>
    <row r="317" spans="1:13">
      <c r="A317" s="874"/>
      <c r="B317" s="875"/>
      <c r="C317" s="874"/>
      <c r="D317" s="874"/>
      <c r="E317" s="874"/>
      <c r="F317" s="874"/>
      <c r="G317" s="874"/>
      <c r="H317" s="874"/>
      <c r="I317" s="874"/>
      <c r="J317" s="874"/>
      <c r="K317" s="874"/>
      <c r="L317" s="874"/>
      <c r="M317" s="874"/>
    </row>
    <row r="318" spans="1:13">
      <c r="A318" s="874"/>
      <c r="B318" s="875"/>
      <c r="C318" s="874"/>
      <c r="D318" s="874"/>
      <c r="E318" s="874"/>
      <c r="F318" s="874"/>
      <c r="G318" s="874"/>
      <c r="H318" s="874"/>
      <c r="I318" s="874"/>
      <c r="J318" s="874"/>
      <c r="K318" s="874"/>
      <c r="L318" s="874"/>
      <c r="M318" s="874"/>
    </row>
    <row r="319" spans="1:13">
      <c r="A319" s="874"/>
      <c r="B319" s="875"/>
      <c r="C319" s="874"/>
      <c r="D319" s="874"/>
      <c r="E319" s="874"/>
      <c r="F319" s="874"/>
      <c r="G319" s="874"/>
      <c r="H319" s="874"/>
      <c r="I319" s="874"/>
      <c r="J319" s="874"/>
      <c r="K319" s="874"/>
      <c r="L319" s="874"/>
      <c r="M319" s="874"/>
    </row>
    <row r="320" spans="1:13">
      <c r="A320" s="874"/>
      <c r="B320" s="875"/>
      <c r="C320" s="874"/>
      <c r="D320" s="874"/>
      <c r="E320" s="874"/>
      <c r="F320" s="874"/>
      <c r="G320" s="874"/>
      <c r="H320" s="874"/>
      <c r="I320" s="874"/>
      <c r="J320" s="874"/>
      <c r="K320" s="874"/>
      <c r="L320" s="874"/>
      <c r="M320" s="874"/>
    </row>
    <row r="321" spans="1:13">
      <c r="A321" s="874"/>
      <c r="B321" s="875"/>
      <c r="C321" s="874"/>
      <c r="D321" s="874"/>
      <c r="E321" s="874"/>
      <c r="F321" s="874"/>
      <c r="G321" s="874"/>
      <c r="H321" s="874"/>
      <c r="I321" s="874"/>
      <c r="J321" s="874"/>
      <c r="K321" s="874"/>
      <c r="L321" s="874"/>
      <c r="M321" s="874"/>
    </row>
    <row r="322" spans="1:13">
      <c r="A322" s="874"/>
      <c r="B322" s="875"/>
      <c r="C322" s="874"/>
      <c r="D322" s="874"/>
      <c r="E322" s="874"/>
      <c r="F322" s="874"/>
      <c r="G322" s="874"/>
      <c r="H322" s="874"/>
      <c r="I322" s="874"/>
      <c r="J322" s="874"/>
      <c r="K322" s="874"/>
      <c r="L322" s="874"/>
      <c r="M322" s="874"/>
    </row>
    <row r="323" spans="1:13">
      <c r="A323" s="874"/>
      <c r="B323" s="875"/>
      <c r="C323" s="874"/>
      <c r="D323" s="874"/>
      <c r="E323" s="874"/>
      <c r="F323" s="874"/>
      <c r="G323" s="874"/>
      <c r="H323" s="874"/>
      <c r="I323" s="874"/>
      <c r="J323" s="874"/>
      <c r="K323" s="874"/>
      <c r="L323" s="874"/>
      <c r="M323" s="874"/>
    </row>
    <row r="324" spans="1:13">
      <c r="A324" s="874"/>
      <c r="B324" s="875"/>
      <c r="C324" s="874"/>
      <c r="D324" s="874"/>
      <c r="E324" s="874"/>
      <c r="F324" s="874"/>
      <c r="G324" s="874"/>
      <c r="H324" s="874"/>
      <c r="I324" s="874"/>
      <c r="J324" s="874"/>
      <c r="K324" s="874"/>
      <c r="L324" s="874"/>
      <c r="M324" s="874"/>
    </row>
    <row r="325" spans="1:13">
      <c r="A325" s="874"/>
      <c r="B325" s="875"/>
      <c r="C325" s="874"/>
      <c r="D325" s="874"/>
      <c r="E325" s="874"/>
      <c r="F325" s="874"/>
      <c r="G325" s="874"/>
      <c r="H325" s="874"/>
      <c r="I325" s="874"/>
      <c r="J325" s="874"/>
      <c r="K325" s="874"/>
      <c r="L325" s="874"/>
      <c r="M325" s="874"/>
    </row>
    <row r="326" spans="1:13">
      <c r="A326" s="874"/>
      <c r="B326" s="875"/>
      <c r="C326" s="874"/>
      <c r="D326" s="874"/>
      <c r="E326" s="874"/>
      <c r="F326" s="874"/>
      <c r="G326" s="874"/>
      <c r="H326" s="874"/>
      <c r="I326" s="874"/>
      <c r="J326" s="874"/>
      <c r="K326" s="874"/>
      <c r="L326" s="874"/>
      <c r="M326" s="874"/>
    </row>
    <row r="327" spans="1:13">
      <c r="A327" s="874"/>
      <c r="B327" s="875"/>
      <c r="C327" s="874"/>
      <c r="D327" s="874"/>
      <c r="E327" s="874"/>
      <c r="F327" s="874"/>
      <c r="G327" s="874"/>
      <c r="H327" s="874"/>
      <c r="I327" s="874"/>
      <c r="J327" s="874"/>
      <c r="K327" s="874"/>
      <c r="L327" s="874"/>
      <c r="M327" s="874"/>
    </row>
    <row r="328" spans="1:13">
      <c r="A328" s="874"/>
      <c r="B328" s="875"/>
      <c r="C328" s="874"/>
      <c r="D328" s="874"/>
      <c r="E328" s="874"/>
      <c r="F328" s="874"/>
      <c r="G328" s="874"/>
      <c r="H328" s="874"/>
      <c r="I328" s="874"/>
      <c r="J328" s="874"/>
      <c r="K328" s="874"/>
      <c r="L328" s="874"/>
      <c r="M328" s="874"/>
    </row>
    <row r="329" spans="1:13">
      <c r="A329" s="874"/>
      <c r="B329" s="875"/>
      <c r="C329" s="874"/>
      <c r="D329" s="874"/>
      <c r="E329" s="874"/>
      <c r="F329" s="874"/>
      <c r="G329" s="874"/>
      <c r="H329" s="874"/>
      <c r="I329" s="874"/>
      <c r="J329" s="874"/>
      <c r="K329" s="874"/>
      <c r="L329" s="874"/>
      <c r="M329" s="874"/>
    </row>
    <row r="330" spans="1:13">
      <c r="A330" s="874"/>
      <c r="B330" s="875"/>
      <c r="C330" s="874"/>
      <c r="D330" s="874"/>
      <c r="E330" s="874"/>
      <c r="F330" s="874"/>
      <c r="G330" s="874"/>
      <c r="H330" s="874"/>
      <c r="I330" s="874"/>
      <c r="J330" s="874"/>
      <c r="K330" s="874"/>
      <c r="L330" s="874"/>
      <c r="M330" s="874"/>
    </row>
    <row r="331" spans="1:13">
      <c r="A331" s="874"/>
      <c r="B331" s="875"/>
      <c r="C331" s="874"/>
      <c r="D331" s="874"/>
      <c r="E331" s="874"/>
      <c r="F331" s="874"/>
      <c r="G331" s="874"/>
      <c r="H331" s="874"/>
      <c r="I331" s="874"/>
      <c r="J331" s="874"/>
      <c r="K331" s="874"/>
      <c r="L331" s="874"/>
      <c r="M331" s="874"/>
    </row>
    <row r="332" spans="1:13">
      <c r="A332" s="874"/>
      <c r="B332" s="875"/>
      <c r="C332" s="874"/>
      <c r="D332" s="874"/>
      <c r="E332" s="874"/>
      <c r="F332" s="874"/>
      <c r="G332" s="874"/>
      <c r="H332" s="874"/>
      <c r="I332" s="874"/>
      <c r="J332" s="874"/>
      <c r="K332" s="874"/>
      <c r="L332" s="874"/>
      <c r="M332" s="874"/>
    </row>
    <row r="333" spans="1:13">
      <c r="A333" s="874"/>
      <c r="B333" s="875"/>
      <c r="C333" s="874"/>
      <c r="D333" s="874"/>
      <c r="E333" s="874"/>
      <c r="F333" s="874"/>
      <c r="G333" s="874"/>
      <c r="H333" s="874"/>
      <c r="I333" s="874"/>
      <c r="J333" s="874"/>
      <c r="K333" s="874"/>
      <c r="L333" s="874"/>
      <c r="M333" s="874"/>
    </row>
    <row r="334" spans="1:13">
      <c r="A334" s="874"/>
      <c r="B334" s="875"/>
      <c r="C334" s="874"/>
      <c r="D334" s="874"/>
      <c r="E334" s="874"/>
      <c r="F334" s="874"/>
      <c r="G334" s="874"/>
      <c r="H334" s="874"/>
      <c r="I334" s="874"/>
      <c r="J334" s="874"/>
      <c r="K334" s="874"/>
      <c r="L334" s="874"/>
      <c r="M334" s="874"/>
    </row>
    <row r="335" spans="1:13">
      <c r="A335" s="874"/>
      <c r="B335" s="875"/>
      <c r="C335" s="874"/>
      <c r="D335" s="874"/>
      <c r="E335" s="874"/>
      <c r="F335" s="874"/>
      <c r="G335" s="874"/>
      <c r="H335" s="874"/>
      <c r="I335" s="874"/>
      <c r="J335" s="874"/>
      <c r="K335" s="874"/>
      <c r="L335" s="874"/>
      <c r="M335" s="874"/>
    </row>
    <row r="336" spans="1:13">
      <c r="A336" s="874"/>
      <c r="B336" s="875"/>
      <c r="C336" s="874"/>
      <c r="D336" s="874"/>
      <c r="E336" s="874"/>
      <c r="F336" s="874"/>
      <c r="G336" s="874"/>
      <c r="H336" s="874"/>
      <c r="I336" s="874"/>
      <c r="J336" s="874"/>
      <c r="K336" s="874"/>
      <c r="L336" s="874"/>
      <c r="M336" s="874"/>
    </row>
    <row r="337" spans="1:13">
      <c r="A337" s="874"/>
      <c r="B337" s="875"/>
      <c r="C337" s="874"/>
      <c r="D337" s="874"/>
      <c r="E337" s="874"/>
      <c r="F337" s="874"/>
      <c r="G337" s="874"/>
      <c r="H337" s="874"/>
      <c r="I337" s="874"/>
      <c r="J337" s="874"/>
      <c r="K337" s="874"/>
      <c r="L337" s="874"/>
      <c r="M337" s="874"/>
    </row>
    <row r="338" spans="1:13">
      <c r="A338" s="874"/>
      <c r="B338" s="875"/>
      <c r="C338" s="874"/>
      <c r="D338" s="874"/>
      <c r="E338" s="874"/>
      <c r="F338" s="874"/>
      <c r="G338" s="874"/>
      <c r="H338" s="874"/>
      <c r="I338" s="874"/>
      <c r="J338" s="874"/>
      <c r="K338" s="874"/>
      <c r="L338" s="874"/>
      <c r="M338" s="874"/>
    </row>
    <row r="339" spans="1:13">
      <c r="A339" s="874"/>
      <c r="B339" s="875"/>
      <c r="C339" s="874"/>
      <c r="D339" s="874"/>
      <c r="E339" s="874"/>
      <c r="F339" s="874"/>
      <c r="G339" s="874"/>
      <c r="H339" s="874"/>
      <c r="I339" s="874"/>
      <c r="J339" s="874"/>
      <c r="K339" s="874"/>
      <c r="L339" s="874"/>
      <c r="M339" s="874"/>
    </row>
    <row r="340" spans="1:13">
      <c r="A340" s="874"/>
      <c r="B340" s="875"/>
      <c r="C340" s="874"/>
      <c r="D340" s="874"/>
      <c r="E340" s="874"/>
      <c r="F340" s="874"/>
      <c r="G340" s="874"/>
      <c r="H340" s="874"/>
      <c r="I340" s="874"/>
      <c r="J340" s="874"/>
      <c r="K340" s="874"/>
      <c r="L340" s="874"/>
      <c r="M340" s="874"/>
    </row>
    <row r="341" spans="1:13">
      <c r="A341" s="874"/>
      <c r="B341" s="875"/>
      <c r="C341" s="874"/>
      <c r="D341" s="874"/>
      <c r="E341" s="874"/>
      <c r="F341" s="874"/>
      <c r="G341" s="874"/>
      <c r="H341" s="874"/>
      <c r="I341" s="874"/>
      <c r="J341" s="874"/>
      <c r="K341" s="874"/>
      <c r="L341" s="874"/>
      <c r="M341" s="874"/>
    </row>
    <row r="342" spans="1:13">
      <c r="A342" s="874"/>
      <c r="B342" s="875"/>
      <c r="C342" s="874"/>
      <c r="D342" s="874"/>
      <c r="E342" s="874"/>
      <c r="F342" s="874"/>
      <c r="G342" s="874"/>
      <c r="H342" s="874"/>
      <c r="I342" s="874"/>
      <c r="J342" s="874"/>
      <c r="K342" s="874"/>
      <c r="L342" s="874"/>
      <c r="M342" s="874"/>
    </row>
    <row r="343" spans="1:13">
      <c r="A343" s="874"/>
      <c r="B343" s="875"/>
      <c r="C343" s="874"/>
      <c r="D343" s="874"/>
      <c r="E343" s="874"/>
      <c r="F343" s="874"/>
      <c r="G343" s="874"/>
      <c r="H343" s="874"/>
      <c r="I343" s="874"/>
      <c r="J343" s="874"/>
      <c r="K343" s="874"/>
      <c r="L343" s="874"/>
      <c r="M343" s="874"/>
    </row>
    <row r="344" spans="1:13">
      <c r="A344" s="874"/>
      <c r="B344" s="875"/>
      <c r="C344" s="874"/>
      <c r="D344" s="874"/>
      <c r="E344" s="874"/>
      <c r="F344" s="874"/>
      <c r="G344" s="874"/>
      <c r="H344" s="874"/>
      <c r="I344" s="874"/>
      <c r="J344" s="874"/>
      <c r="K344" s="874"/>
      <c r="L344" s="874"/>
      <c r="M344" s="874"/>
    </row>
    <row r="345" spans="1:13">
      <c r="A345" s="874"/>
      <c r="B345" s="875"/>
      <c r="C345" s="874"/>
      <c r="D345" s="874"/>
      <c r="E345" s="874"/>
      <c r="F345" s="874"/>
      <c r="G345" s="874"/>
      <c r="H345" s="874"/>
      <c r="I345" s="874"/>
      <c r="J345" s="874"/>
      <c r="K345" s="874"/>
      <c r="L345" s="874"/>
      <c r="M345" s="874"/>
    </row>
    <row r="346" spans="1:13">
      <c r="A346" s="874"/>
      <c r="B346" s="875"/>
      <c r="C346" s="874"/>
      <c r="D346" s="874"/>
      <c r="E346" s="874"/>
      <c r="F346" s="874"/>
      <c r="G346" s="874"/>
      <c r="H346" s="874"/>
      <c r="I346" s="874"/>
      <c r="J346" s="874"/>
      <c r="K346" s="874"/>
      <c r="L346" s="874"/>
      <c r="M346" s="874"/>
    </row>
    <row r="347" spans="1:13">
      <c r="A347" s="874"/>
      <c r="B347" s="875"/>
      <c r="C347" s="874"/>
      <c r="D347" s="874"/>
      <c r="E347" s="874"/>
      <c r="F347" s="874"/>
      <c r="G347" s="874"/>
      <c r="H347" s="874"/>
      <c r="I347" s="874"/>
      <c r="J347" s="874"/>
      <c r="K347" s="874"/>
      <c r="L347" s="874"/>
      <c r="M347" s="874"/>
    </row>
    <row r="348" spans="1:13">
      <c r="A348" s="874"/>
      <c r="B348" s="875"/>
      <c r="C348" s="874"/>
      <c r="D348" s="874"/>
      <c r="E348" s="874"/>
      <c r="F348" s="874"/>
      <c r="G348" s="874"/>
      <c r="H348" s="874"/>
      <c r="I348" s="874"/>
      <c r="J348" s="874"/>
      <c r="K348" s="874"/>
      <c r="L348" s="874"/>
      <c r="M348" s="874"/>
    </row>
    <row r="349" spans="1:13">
      <c r="A349" s="874"/>
      <c r="B349" s="875"/>
      <c r="C349" s="874"/>
      <c r="D349" s="874"/>
      <c r="E349" s="874"/>
      <c r="F349" s="874"/>
      <c r="G349" s="874"/>
      <c r="H349" s="874"/>
      <c r="I349" s="874"/>
      <c r="J349" s="874"/>
      <c r="K349" s="874"/>
      <c r="L349" s="874"/>
      <c r="M349" s="874"/>
    </row>
    <row r="350" spans="1:13">
      <c r="A350" s="874"/>
      <c r="B350" s="875"/>
      <c r="C350" s="874"/>
      <c r="D350" s="874"/>
      <c r="E350" s="874"/>
      <c r="F350" s="874"/>
      <c r="G350" s="874"/>
      <c r="H350" s="874"/>
      <c r="I350" s="874"/>
      <c r="J350" s="874"/>
      <c r="K350" s="874"/>
      <c r="L350" s="874"/>
      <c r="M350" s="874"/>
    </row>
    <row r="351" spans="1:13">
      <c r="A351" s="874"/>
      <c r="B351" s="875"/>
      <c r="C351" s="874"/>
      <c r="D351" s="874"/>
      <c r="E351" s="874"/>
      <c r="F351" s="874"/>
      <c r="G351" s="874"/>
      <c r="H351" s="874"/>
      <c r="I351" s="874"/>
      <c r="J351" s="874"/>
      <c r="K351" s="874"/>
      <c r="L351" s="874"/>
      <c r="M351" s="874"/>
    </row>
    <row r="352" spans="1:13">
      <c r="A352" s="874"/>
      <c r="B352" s="875"/>
      <c r="C352" s="874"/>
      <c r="D352" s="874"/>
      <c r="E352" s="874"/>
      <c r="F352" s="874"/>
      <c r="G352" s="874"/>
      <c r="H352" s="874"/>
      <c r="I352" s="874"/>
      <c r="J352" s="874"/>
      <c r="K352" s="874"/>
      <c r="L352" s="874"/>
      <c r="M352" s="874"/>
    </row>
    <row r="353" spans="1:13">
      <c r="A353" s="874"/>
      <c r="B353" s="875"/>
      <c r="C353" s="874"/>
      <c r="D353" s="874"/>
      <c r="E353" s="874"/>
      <c r="F353" s="874"/>
      <c r="G353" s="874"/>
      <c r="H353" s="874"/>
      <c r="I353" s="874"/>
      <c r="J353" s="874"/>
      <c r="K353" s="874"/>
      <c r="L353" s="874"/>
      <c r="M353" s="874"/>
    </row>
    <row r="354" spans="1:13">
      <c r="A354" s="874"/>
      <c r="B354" s="875"/>
      <c r="C354" s="874"/>
      <c r="D354" s="874"/>
      <c r="E354" s="874"/>
      <c r="F354" s="874"/>
      <c r="G354" s="874"/>
      <c r="H354" s="874"/>
      <c r="I354" s="874"/>
      <c r="J354" s="874"/>
      <c r="K354" s="874"/>
      <c r="L354" s="874"/>
      <c r="M354" s="874"/>
    </row>
    <row r="355" spans="1:13">
      <c r="A355" s="874"/>
      <c r="B355" s="875"/>
      <c r="C355" s="874"/>
      <c r="D355" s="874"/>
      <c r="E355" s="874"/>
      <c r="F355" s="874"/>
      <c r="G355" s="874"/>
      <c r="H355" s="874"/>
      <c r="I355" s="874"/>
      <c r="J355" s="874"/>
      <c r="K355" s="874"/>
      <c r="L355" s="874"/>
      <c r="M355" s="874"/>
    </row>
    <row r="356" spans="1:13">
      <c r="A356" s="874"/>
      <c r="B356" s="875"/>
      <c r="C356" s="874"/>
      <c r="D356" s="874"/>
      <c r="E356" s="874"/>
      <c r="F356" s="874"/>
      <c r="G356" s="874"/>
      <c r="H356" s="874"/>
      <c r="I356" s="874"/>
      <c r="J356" s="874"/>
      <c r="K356" s="874"/>
      <c r="L356" s="874"/>
      <c r="M356" s="874"/>
    </row>
    <row r="357" spans="1:13">
      <c r="A357" s="874"/>
      <c r="B357" s="875"/>
      <c r="C357" s="874"/>
      <c r="D357" s="874"/>
      <c r="E357" s="874"/>
      <c r="F357" s="874"/>
      <c r="G357" s="874"/>
      <c r="H357" s="874"/>
      <c r="I357" s="874"/>
      <c r="J357" s="874"/>
      <c r="K357" s="874"/>
      <c r="L357" s="874"/>
      <c r="M357" s="874"/>
    </row>
    <row r="358" spans="1:13">
      <c r="A358" s="874"/>
      <c r="B358" s="875"/>
      <c r="C358" s="874"/>
      <c r="D358" s="874"/>
      <c r="E358" s="874"/>
      <c r="F358" s="874"/>
      <c r="G358" s="874"/>
      <c r="H358" s="874"/>
      <c r="I358" s="874"/>
      <c r="J358" s="874"/>
      <c r="K358" s="874"/>
      <c r="L358" s="874"/>
      <c r="M358" s="874"/>
    </row>
    <row r="359" spans="1:13">
      <c r="A359" s="874"/>
      <c r="B359" s="875"/>
      <c r="C359" s="874"/>
      <c r="D359" s="874"/>
      <c r="E359" s="874"/>
      <c r="F359" s="874"/>
      <c r="G359" s="874"/>
      <c r="H359" s="874"/>
      <c r="I359" s="874"/>
      <c r="J359" s="874"/>
      <c r="K359" s="874"/>
      <c r="L359" s="874"/>
      <c r="M359" s="874"/>
    </row>
    <row r="360" spans="1:13">
      <c r="A360" s="874"/>
      <c r="B360" s="875"/>
      <c r="C360" s="874"/>
      <c r="D360" s="874"/>
      <c r="E360" s="874"/>
      <c r="F360" s="874"/>
      <c r="G360" s="874"/>
      <c r="H360" s="874"/>
      <c r="I360" s="874"/>
      <c r="J360" s="874"/>
      <c r="K360" s="874"/>
      <c r="L360" s="874"/>
      <c r="M360" s="874"/>
    </row>
    <row r="361" spans="1:13">
      <c r="A361" s="874"/>
      <c r="B361" s="875"/>
      <c r="C361" s="874"/>
      <c r="D361" s="874"/>
      <c r="E361" s="874"/>
      <c r="F361" s="874"/>
      <c r="G361" s="874"/>
      <c r="H361" s="874"/>
      <c r="I361" s="874"/>
      <c r="J361" s="874"/>
      <c r="K361" s="874"/>
      <c r="L361" s="874"/>
      <c r="M361" s="874"/>
    </row>
    <row r="362" spans="1:13">
      <c r="A362" s="874"/>
      <c r="B362" s="875"/>
      <c r="C362" s="874"/>
      <c r="D362" s="874"/>
      <c r="E362" s="874"/>
      <c r="F362" s="874"/>
      <c r="G362" s="874"/>
      <c r="H362" s="874"/>
      <c r="I362" s="874"/>
      <c r="J362" s="874"/>
      <c r="K362" s="874"/>
      <c r="L362" s="874"/>
      <c r="M362" s="874"/>
    </row>
    <row r="363" spans="1:13">
      <c r="A363" s="874"/>
      <c r="B363" s="875"/>
      <c r="C363" s="874"/>
      <c r="D363" s="874"/>
      <c r="E363" s="874"/>
      <c r="F363" s="874"/>
      <c r="G363" s="874"/>
      <c r="H363" s="874"/>
      <c r="I363" s="874"/>
      <c r="J363" s="874"/>
      <c r="K363" s="874"/>
      <c r="L363" s="874"/>
      <c r="M363" s="874"/>
    </row>
    <row r="364" spans="1:13">
      <c r="A364" s="874"/>
      <c r="B364" s="875"/>
      <c r="C364" s="874"/>
      <c r="D364" s="874"/>
      <c r="E364" s="874"/>
      <c r="F364" s="874"/>
      <c r="G364" s="874"/>
      <c r="H364" s="874"/>
      <c r="I364" s="874"/>
      <c r="J364" s="874"/>
      <c r="K364" s="874"/>
      <c r="L364" s="874"/>
      <c r="M364" s="874"/>
    </row>
    <row r="365" spans="1:13">
      <c r="A365" s="874"/>
      <c r="B365" s="875"/>
      <c r="C365" s="874"/>
      <c r="D365" s="874"/>
      <c r="E365" s="874"/>
      <c r="F365" s="874"/>
      <c r="G365" s="874"/>
      <c r="H365" s="874"/>
      <c r="I365" s="874"/>
      <c r="J365" s="874"/>
      <c r="K365" s="874"/>
      <c r="L365" s="874"/>
      <c r="M365" s="874"/>
    </row>
    <row r="366" spans="1:13">
      <c r="A366" s="874"/>
      <c r="B366" s="875"/>
      <c r="C366" s="874"/>
      <c r="D366" s="874"/>
      <c r="E366" s="874"/>
      <c r="F366" s="874"/>
      <c r="G366" s="874"/>
      <c r="H366" s="874"/>
      <c r="I366" s="874"/>
      <c r="J366" s="874"/>
      <c r="K366" s="874"/>
      <c r="L366" s="874"/>
      <c r="M366" s="874"/>
    </row>
    <row r="367" spans="1:13">
      <c r="A367" s="874"/>
      <c r="B367" s="875"/>
      <c r="C367" s="874"/>
      <c r="D367" s="874"/>
      <c r="E367" s="874"/>
      <c r="F367" s="874"/>
      <c r="G367" s="874"/>
      <c r="H367" s="874"/>
      <c r="I367" s="874"/>
      <c r="J367" s="874"/>
      <c r="K367" s="874"/>
      <c r="L367" s="874"/>
      <c r="M367" s="874"/>
    </row>
    <row r="368" spans="1:13">
      <c r="A368" s="874"/>
      <c r="B368" s="875"/>
      <c r="C368" s="874"/>
      <c r="D368" s="874"/>
      <c r="E368" s="874"/>
      <c r="F368" s="874"/>
      <c r="G368" s="874"/>
      <c r="H368" s="874"/>
      <c r="I368" s="874"/>
      <c r="J368" s="874"/>
      <c r="K368" s="874"/>
      <c r="L368" s="874"/>
      <c r="M368" s="874"/>
    </row>
    <row r="369" spans="1:13">
      <c r="A369" s="874"/>
      <c r="B369" s="875"/>
      <c r="C369" s="874"/>
      <c r="D369" s="874"/>
      <c r="E369" s="874"/>
      <c r="F369" s="874"/>
      <c r="G369" s="874"/>
      <c r="H369" s="874"/>
      <c r="I369" s="874"/>
      <c r="J369" s="874"/>
      <c r="K369" s="874"/>
      <c r="L369" s="874"/>
      <c r="M369" s="874"/>
    </row>
    <row r="370" spans="1:13">
      <c r="A370" s="874"/>
      <c r="B370" s="875"/>
      <c r="C370" s="874"/>
      <c r="D370" s="874"/>
      <c r="E370" s="874"/>
      <c r="F370" s="874"/>
      <c r="G370" s="874"/>
      <c r="H370" s="874"/>
      <c r="I370" s="874"/>
      <c r="J370" s="874"/>
      <c r="K370" s="874"/>
      <c r="L370" s="874"/>
      <c r="M370" s="874"/>
    </row>
    <row r="371" spans="1:13">
      <c r="A371" s="874"/>
      <c r="B371" s="875"/>
      <c r="C371" s="874"/>
      <c r="D371" s="874"/>
      <c r="E371" s="874"/>
      <c r="F371" s="874"/>
      <c r="G371" s="874"/>
      <c r="H371" s="874"/>
      <c r="I371" s="874"/>
      <c r="J371" s="874"/>
      <c r="K371" s="874"/>
      <c r="L371" s="874"/>
      <c r="M371" s="874"/>
    </row>
    <row r="372" spans="1:13">
      <c r="A372" s="874"/>
      <c r="B372" s="875"/>
      <c r="C372" s="874"/>
      <c r="D372" s="874"/>
      <c r="E372" s="874"/>
      <c r="F372" s="874"/>
      <c r="G372" s="874"/>
      <c r="H372" s="874"/>
      <c r="I372" s="874"/>
      <c r="J372" s="874"/>
      <c r="K372" s="874"/>
      <c r="L372" s="874"/>
      <c r="M372" s="874"/>
    </row>
    <row r="373" spans="1:13">
      <c r="A373" s="874"/>
      <c r="B373" s="875"/>
      <c r="C373" s="874"/>
      <c r="D373" s="874"/>
      <c r="E373" s="874"/>
      <c r="F373" s="874"/>
      <c r="G373" s="874"/>
      <c r="H373" s="874"/>
      <c r="I373" s="874"/>
      <c r="J373" s="874"/>
      <c r="K373" s="874"/>
      <c r="L373" s="874"/>
      <c r="M373" s="874"/>
    </row>
    <row r="374" spans="1:13">
      <c r="A374" s="874"/>
      <c r="B374" s="875"/>
      <c r="C374" s="874"/>
      <c r="D374" s="874"/>
      <c r="E374" s="874"/>
      <c r="F374" s="874"/>
      <c r="G374" s="874"/>
      <c r="H374" s="874"/>
      <c r="I374" s="874"/>
      <c r="J374" s="874"/>
      <c r="K374" s="874"/>
      <c r="L374" s="874"/>
      <c r="M374" s="874"/>
    </row>
    <row r="375" spans="1:13">
      <c r="A375" s="874"/>
      <c r="B375" s="875"/>
      <c r="C375" s="874"/>
      <c r="D375" s="874"/>
      <c r="E375" s="874"/>
      <c r="F375" s="874"/>
      <c r="G375" s="874"/>
      <c r="H375" s="874"/>
      <c r="I375" s="874"/>
      <c r="J375" s="874"/>
      <c r="K375" s="874"/>
      <c r="L375" s="874"/>
      <c r="M375" s="874"/>
    </row>
    <row r="376" spans="1:13">
      <c r="A376" s="874"/>
      <c r="B376" s="875"/>
      <c r="C376" s="874"/>
      <c r="D376" s="874"/>
      <c r="E376" s="874"/>
      <c r="F376" s="874"/>
      <c r="G376" s="874"/>
      <c r="H376" s="874"/>
      <c r="I376" s="874"/>
      <c r="J376" s="874"/>
      <c r="K376" s="874"/>
      <c r="L376" s="874"/>
      <c r="M376" s="874"/>
    </row>
    <row r="377" spans="1:13">
      <c r="A377" s="874"/>
      <c r="B377" s="875"/>
      <c r="C377" s="874"/>
      <c r="D377" s="874"/>
      <c r="E377" s="874"/>
      <c r="F377" s="874"/>
      <c r="G377" s="874"/>
      <c r="H377" s="874"/>
      <c r="I377" s="874"/>
      <c r="J377" s="874"/>
      <c r="K377" s="874"/>
      <c r="L377" s="874"/>
      <c r="M377" s="874"/>
    </row>
    <row r="378" spans="1:13">
      <c r="A378" s="874"/>
      <c r="B378" s="875"/>
      <c r="C378" s="874"/>
      <c r="D378" s="874"/>
      <c r="E378" s="874"/>
      <c r="F378" s="874"/>
      <c r="G378" s="874"/>
      <c r="H378" s="874"/>
      <c r="I378" s="874"/>
      <c r="J378" s="874"/>
      <c r="K378" s="874"/>
      <c r="L378" s="874"/>
      <c r="M378" s="874"/>
    </row>
    <row r="379" spans="1:13">
      <c r="A379" s="874"/>
      <c r="B379" s="875"/>
      <c r="C379" s="874"/>
      <c r="D379" s="874"/>
      <c r="E379" s="874"/>
      <c r="F379" s="874"/>
      <c r="G379" s="874"/>
      <c r="H379" s="874"/>
      <c r="I379" s="874"/>
      <c r="J379" s="874"/>
      <c r="K379" s="874"/>
      <c r="L379" s="874"/>
      <c r="M379" s="874"/>
    </row>
    <row r="380" spans="1:13">
      <c r="A380" s="874"/>
      <c r="B380" s="875"/>
      <c r="C380" s="874"/>
      <c r="D380" s="874"/>
      <c r="E380" s="874"/>
      <c r="F380" s="874"/>
      <c r="G380" s="874"/>
      <c r="H380" s="874"/>
      <c r="I380" s="874"/>
      <c r="J380" s="874"/>
      <c r="K380" s="874"/>
      <c r="L380" s="874"/>
      <c r="M380" s="874"/>
    </row>
    <row r="381" spans="1:13">
      <c r="A381" s="874"/>
      <c r="B381" s="875"/>
      <c r="C381" s="874"/>
      <c r="D381" s="874"/>
      <c r="E381" s="874"/>
      <c r="F381" s="874"/>
      <c r="G381" s="874"/>
      <c r="H381" s="874"/>
      <c r="I381" s="874"/>
      <c r="J381" s="874"/>
      <c r="K381" s="874"/>
      <c r="L381" s="874"/>
      <c r="M381" s="874"/>
    </row>
    <row r="382" spans="1:13">
      <c r="A382" s="874"/>
      <c r="B382" s="875"/>
      <c r="C382" s="874"/>
      <c r="D382" s="874"/>
      <c r="E382" s="874"/>
      <c r="F382" s="874"/>
      <c r="G382" s="874"/>
      <c r="H382" s="874"/>
      <c r="I382" s="874"/>
      <c r="J382" s="874"/>
      <c r="K382" s="874"/>
      <c r="L382" s="874"/>
      <c r="M382" s="874"/>
    </row>
    <row r="383" spans="1:13">
      <c r="A383" s="874"/>
      <c r="B383" s="875"/>
      <c r="C383" s="874"/>
      <c r="D383" s="874"/>
      <c r="E383" s="874"/>
      <c r="F383" s="874"/>
      <c r="G383" s="874"/>
      <c r="H383" s="874"/>
      <c r="I383" s="874"/>
      <c r="J383" s="874"/>
      <c r="K383" s="874"/>
      <c r="L383" s="874"/>
      <c r="M383" s="874"/>
    </row>
    <row r="384" spans="1:13">
      <c r="A384" s="874"/>
      <c r="B384" s="875"/>
      <c r="C384" s="874"/>
      <c r="D384" s="874"/>
      <c r="E384" s="874"/>
      <c r="F384" s="874"/>
      <c r="G384" s="874"/>
      <c r="H384" s="874"/>
      <c r="I384" s="874"/>
      <c r="J384" s="874"/>
      <c r="K384" s="874"/>
      <c r="L384" s="874"/>
      <c r="M384" s="874"/>
    </row>
    <row r="385" spans="1:13">
      <c r="A385" s="874"/>
      <c r="B385" s="875"/>
      <c r="C385" s="874"/>
      <c r="D385" s="874"/>
      <c r="E385" s="874"/>
      <c r="F385" s="874"/>
      <c r="G385" s="874"/>
      <c r="H385" s="874"/>
      <c r="I385" s="874"/>
      <c r="J385" s="874"/>
      <c r="K385" s="874"/>
      <c r="L385" s="874"/>
      <c r="M385" s="874"/>
    </row>
    <row r="386" spans="1:13">
      <c r="A386" s="874"/>
      <c r="B386" s="875"/>
      <c r="C386" s="874"/>
      <c r="D386" s="874"/>
      <c r="E386" s="874"/>
      <c r="F386" s="874"/>
      <c r="G386" s="874"/>
      <c r="H386" s="874"/>
      <c r="I386" s="874"/>
      <c r="J386" s="874"/>
      <c r="K386" s="874"/>
      <c r="L386" s="874"/>
      <c r="M386" s="874"/>
    </row>
    <row r="387" spans="1:13">
      <c r="A387" s="874"/>
      <c r="B387" s="875"/>
      <c r="C387" s="874"/>
      <c r="D387" s="874"/>
      <c r="E387" s="874"/>
      <c r="F387" s="874"/>
      <c r="G387" s="874"/>
      <c r="H387" s="874"/>
      <c r="I387" s="874"/>
      <c r="J387" s="874"/>
      <c r="K387" s="874"/>
      <c r="L387" s="874"/>
      <c r="M387" s="874"/>
    </row>
    <row r="388" spans="1:13">
      <c r="A388" s="874"/>
      <c r="B388" s="875"/>
      <c r="C388" s="874"/>
      <c r="D388" s="874"/>
      <c r="E388" s="874"/>
      <c r="F388" s="874"/>
      <c r="G388" s="874"/>
      <c r="H388" s="874"/>
      <c r="I388" s="874"/>
      <c r="J388" s="874"/>
      <c r="K388" s="874"/>
      <c r="L388" s="874"/>
      <c r="M388" s="874"/>
    </row>
    <row r="389" spans="1:13">
      <c r="A389" s="874"/>
      <c r="B389" s="875"/>
      <c r="C389" s="874"/>
      <c r="D389" s="874"/>
      <c r="E389" s="874"/>
      <c r="F389" s="874"/>
      <c r="G389" s="874"/>
      <c r="H389" s="874"/>
      <c r="I389" s="874"/>
      <c r="J389" s="874"/>
      <c r="K389" s="874"/>
      <c r="L389" s="874"/>
      <c r="M389" s="874"/>
    </row>
    <row r="390" spans="1:13">
      <c r="A390" s="874"/>
      <c r="B390" s="875"/>
      <c r="C390" s="874"/>
      <c r="D390" s="874"/>
      <c r="E390" s="874"/>
      <c r="F390" s="874"/>
      <c r="G390" s="874"/>
      <c r="H390" s="874"/>
      <c r="I390" s="874"/>
      <c r="J390" s="874"/>
      <c r="K390" s="874"/>
      <c r="L390" s="874"/>
      <c r="M390" s="874"/>
    </row>
    <row r="391" spans="1:13">
      <c r="A391" s="874"/>
      <c r="B391" s="875"/>
      <c r="C391" s="874"/>
      <c r="D391" s="874"/>
      <c r="E391" s="874"/>
      <c r="F391" s="874"/>
      <c r="G391" s="874"/>
      <c r="H391" s="874"/>
      <c r="I391" s="874"/>
      <c r="J391" s="874"/>
      <c r="K391" s="874"/>
      <c r="L391" s="874"/>
      <c r="M391" s="874"/>
    </row>
    <row r="392" spans="1:13">
      <c r="A392" s="874"/>
      <c r="B392" s="875"/>
      <c r="C392" s="874"/>
      <c r="D392" s="874"/>
      <c r="E392" s="874"/>
      <c r="F392" s="874"/>
      <c r="G392" s="874"/>
      <c r="H392" s="874"/>
      <c r="I392" s="874"/>
      <c r="J392" s="874"/>
      <c r="K392" s="874"/>
      <c r="L392" s="874"/>
      <c r="M392" s="874"/>
    </row>
    <row r="393" spans="1:13">
      <c r="A393" s="874"/>
      <c r="B393" s="875"/>
      <c r="C393" s="874"/>
      <c r="D393" s="874"/>
      <c r="E393" s="874"/>
      <c r="F393" s="874"/>
      <c r="G393" s="874"/>
      <c r="H393" s="874"/>
      <c r="I393" s="874"/>
      <c r="J393" s="874"/>
      <c r="K393" s="874"/>
      <c r="L393" s="874"/>
      <c r="M393" s="874"/>
    </row>
    <row r="394" spans="1:13">
      <c r="A394" s="874"/>
      <c r="B394" s="875"/>
      <c r="C394" s="874"/>
      <c r="D394" s="874"/>
      <c r="E394" s="874"/>
      <c r="F394" s="874"/>
      <c r="G394" s="874"/>
      <c r="H394" s="874"/>
      <c r="I394" s="874"/>
      <c r="J394" s="874"/>
      <c r="K394" s="874"/>
      <c r="L394" s="874"/>
      <c r="M394" s="874"/>
    </row>
    <row r="395" spans="1:13">
      <c r="A395" s="874"/>
      <c r="B395" s="875"/>
      <c r="C395" s="874"/>
      <c r="D395" s="874"/>
      <c r="E395" s="874"/>
      <c r="F395" s="874"/>
      <c r="G395" s="874"/>
      <c r="H395" s="874"/>
      <c r="I395" s="874"/>
      <c r="J395" s="874"/>
      <c r="K395" s="874"/>
      <c r="L395" s="874"/>
      <c r="M395" s="874"/>
    </row>
    <row r="396" spans="1:13">
      <c r="A396" s="874"/>
      <c r="B396" s="875"/>
      <c r="C396" s="874"/>
      <c r="D396" s="874"/>
      <c r="E396" s="874"/>
      <c r="F396" s="874"/>
      <c r="G396" s="874"/>
      <c r="H396" s="874"/>
      <c r="I396" s="874"/>
      <c r="J396" s="874"/>
      <c r="K396" s="874"/>
      <c r="L396" s="874"/>
      <c r="M396" s="874"/>
    </row>
    <row r="397" spans="1:13">
      <c r="A397" s="874"/>
      <c r="B397" s="875"/>
      <c r="C397" s="874"/>
      <c r="D397" s="874"/>
      <c r="E397" s="874"/>
      <c r="F397" s="874"/>
      <c r="G397" s="874"/>
      <c r="H397" s="874"/>
      <c r="I397" s="874"/>
      <c r="J397" s="874"/>
      <c r="K397" s="874"/>
      <c r="L397" s="874"/>
      <c r="M397" s="874"/>
    </row>
    <row r="398" spans="1:13">
      <c r="A398" s="874"/>
      <c r="B398" s="875"/>
      <c r="C398" s="874"/>
      <c r="D398" s="874"/>
      <c r="E398" s="874"/>
      <c r="F398" s="874"/>
      <c r="G398" s="874"/>
      <c r="H398" s="874"/>
      <c r="I398" s="874"/>
      <c r="J398" s="874"/>
      <c r="K398" s="874"/>
      <c r="L398" s="874"/>
      <c r="M398" s="874"/>
    </row>
    <row r="399" spans="1:13">
      <c r="A399" s="874"/>
      <c r="B399" s="875"/>
      <c r="C399" s="874"/>
      <c r="D399" s="874"/>
      <c r="E399" s="874"/>
      <c r="F399" s="874"/>
      <c r="G399" s="874"/>
      <c r="H399" s="874"/>
      <c r="I399" s="874"/>
      <c r="J399" s="874"/>
      <c r="K399" s="874"/>
      <c r="L399" s="874"/>
      <c r="M399" s="874"/>
    </row>
    <row r="400" spans="1:13">
      <c r="A400" s="874"/>
      <c r="B400" s="875"/>
      <c r="C400" s="874"/>
      <c r="D400" s="874"/>
      <c r="E400" s="874"/>
      <c r="F400" s="874"/>
      <c r="G400" s="874"/>
      <c r="H400" s="874"/>
      <c r="I400" s="874"/>
      <c r="J400" s="874"/>
      <c r="K400" s="874"/>
      <c r="L400" s="874"/>
      <c r="M400" s="874"/>
    </row>
    <row r="401" spans="1:13">
      <c r="A401" s="874"/>
      <c r="B401" s="875"/>
      <c r="C401" s="874"/>
      <c r="D401" s="874"/>
      <c r="E401" s="874"/>
      <c r="F401" s="874"/>
      <c r="G401" s="874"/>
      <c r="H401" s="874"/>
      <c r="I401" s="874"/>
      <c r="J401" s="874"/>
      <c r="K401" s="874"/>
      <c r="L401" s="874"/>
      <c r="M401" s="874"/>
    </row>
    <row r="402" spans="1:13">
      <c r="A402" s="874"/>
      <c r="B402" s="875"/>
      <c r="C402" s="874"/>
      <c r="D402" s="874"/>
      <c r="E402" s="874"/>
      <c r="F402" s="874"/>
      <c r="G402" s="874"/>
      <c r="H402" s="874"/>
      <c r="I402" s="874"/>
      <c r="J402" s="874"/>
      <c r="K402" s="874"/>
      <c r="L402" s="874"/>
      <c r="M402" s="874"/>
    </row>
    <row r="403" spans="1:13">
      <c r="A403" s="874"/>
      <c r="B403" s="875"/>
      <c r="C403" s="874"/>
      <c r="D403" s="874"/>
      <c r="E403" s="874"/>
      <c r="F403" s="874"/>
      <c r="G403" s="874"/>
      <c r="H403" s="874"/>
      <c r="I403" s="874"/>
      <c r="J403" s="874"/>
      <c r="K403" s="874"/>
      <c r="L403" s="874"/>
      <c r="M403" s="874"/>
    </row>
    <row r="404" spans="1:13">
      <c r="A404" s="874"/>
      <c r="B404" s="875"/>
      <c r="C404" s="874"/>
      <c r="D404" s="874"/>
      <c r="E404" s="874"/>
      <c r="F404" s="874"/>
      <c r="G404" s="874"/>
      <c r="H404" s="874"/>
      <c r="I404" s="874"/>
      <c r="J404" s="874"/>
      <c r="K404" s="874"/>
      <c r="L404" s="874"/>
      <c r="M404" s="874"/>
    </row>
    <row r="405" spans="1:13">
      <c r="A405" s="874"/>
      <c r="B405" s="875"/>
      <c r="C405" s="874"/>
      <c r="D405" s="874"/>
      <c r="E405" s="874"/>
      <c r="F405" s="874"/>
      <c r="G405" s="874"/>
      <c r="H405" s="874"/>
      <c r="I405" s="874"/>
      <c r="J405" s="874"/>
      <c r="K405" s="874"/>
      <c r="L405" s="874"/>
      <c r="M405" s="874"/>
    </row>
    <row r="406" spans="1:13">
      <c r="A406" s="874"/>
      <c r="B406" s="875"/>
      <c r="C406" s="874"/>
      <c r="D406" s="874"/>
      <c r="E406" s="874"/>
      <c r="F406" s="874"/>
      <c r="G406" s="874"/>
      <c r="H406" s="874"/>
      <c r="I406" s="874"/>
      <c r="J406" s="874"/>
      <c r="K406" s="874"/>
      <c r="L406" s="874"/>
      <c r="M406" s="874"/>
    </row>
    <row r="407" spans="1:13">
      <c r="A407" s="874"/>
      <c r="B407" s="875"/>
      <c r="C407" s="874"/>
      <c r="D407" s="874"/>
      <c r="E407" s="874"/>
      <c r="F407" s="874"/>
      <c r="G407" s="874"/>
      <c r="H407" s="874"/>
      <c r="I407" s="874"/>
      <c r="J407" s="874"/>
      <c r="K407" s="874"/>
      <c r="L407" s="874"/>
      <c r="M407" s="874"/>
    </row>
    <row r="408" spans="1:13">
      <c r="A408" s="874"/>
      <c r="B408" s="875"/>
      <c r="C408" s="874"/>
      <c r="D408" s="874"/>
      <c r="E408" s="874"/>
      <c r="F408" s="874"/>
      <c r="G408" s="874"/>
      <c r="H408" s="874"/>
      <c r="I408" s="874"/>
      <c r="J408" s="874"/>
      <c r="K408" s="874"/>
      <c r="L408" s="874"/>
      <c r="M408" s="874"/>
    </row>
    <row r="409" spans="1:13">
      <c r="A409" s="874"/>
      <c r="B409" s="875"/>
      <c r="C409" s="874"/>
      <c r="D409" s="874"/>
      <c r="E409" s="874"/>
      <c r="F409" s="874"/>
      <c r="G409" s="874"/>
      <c r="H409" s="874"/>
      <c r="I409" s="874"/>
      <c r="J409" s="874"/>
      <c r="K409" s="874"/>
      <c r="L409" s="874"/>
      <c r="M409" s="874"/>
    </row>
    <row r="410" spans="1:13">
      <c r="A410" s="874"/>
      <c r="B410" s="875"/>
      <c r="C410" s="874"/>
      <c r="D410" s="874"/>
      <c r="E410" s="874"/>
      <c r="F410" s="874"/>
      <c r="G410" s="874"/>
      <c r="H410" s="874"/>
      <c r="I410" s="874"/>
      <c r="J410" s="874"/>
      <c r="K410" s="874"/>
      <c r="L410" s="874"/>
      <c r="M410" s="874"/>
    </row>
    <row r="411" spans="1:13">
      <c r="A411" s="874"/>
      <c r="B411" s="875"/>
      <c r="C411" s="874"/>
      <c r="D411" s="874"/>
      <c r="E411" s="874"/>
      <c r="F411" s="874"/>
      <c r="G411" s="874"/>
      <c r="H411" s="874"/>
      <c r="I411" s="874"/>
      <c r="J411" s="874"/>
      <c r="K411" s="874"/>
      <c r="L411" s="874"/>
      <c r="M411" s="874"/>
    </row>
    <row r="412" spans="1:13">
      <c r="A412" s="874"/>
      <c r="B412" s="875"/>
      <c r="C412" s="874"/>
      <c r="D412" s="874"/>
      <c r="E412" s="874"/>
      <c r="F412" s="874"/>
      <c r="G412" s="874"/>
      <c r="H412" s="874"/>
      <c r="I412" s="874"/>
      <c r="J412" s="874"/>
      <c r="K412" s="874"/>
      <c r="L412" s="874"/>
      <c r="M412" s="874"/>
    </row>
    <row r="413" spans="1:13">
      <c r="A413" s="874"/>
      <c r="B413" s="875"/>
      <c r="C413" s="874"/>
      <c r="D413" s="874"/>
      <c r="E413" s="874"/>
      <c r="F413" s="874"/>
      <c r="G413" s="874"/>
      <c r="H413" s="874"/>
      <c r="I413" s="874"/>
      <c r="J413" s="874"/>
      <c r="K413" s="874"/>
      <c r="L413" s="874"/>
      <c r="M413" s="874"/>
    </row>
    <row r="414" spans="1:13">
      <c r="A414" s="874"/>
      <c r="B414" s="875"/>
      <c r="C414" s="874"/>
      <c r="D414" s="874"/>
      <c r="E414" s="874"/>
      <c r="F414" s="874"/>
      <c r="G414" s="874"/>
      <c r="H414" s="874"/>
      <c r="I414" s="874"/>
      <c r="J414" s="874"/>
      <c r="K414" s="874"/>
      <c r="L414" s="874"/>
      <c r="M414" s="874"/>
    </row>
    <row r="415" spans="1:13">
      <c r="A415" s="874"/>
      <c r="B415" s="875"/>
      <c r="C415" s="874"/>
      <c r="D415" s="874"/>
      <c r="E415" s="874"/>
      <c r="F415" s="874"/>
      <c r="G415" s="874"/>
      <c r="H415" s="874"/>
      <c r="I415" s="874"/>
      <c r="J415" s="874"/>
      <c r="K415" s="874"/>
      <c r="L415" s="874"/>
      <c r="M415" s="874"/>
    </row>
    <row r="416" spans="1:13">
      <c r="A416" s="874"/>
      <c r="B416" s="875"/>
      <c r="C416" s="874"/>
      <c r="D416" s="874"/>
      <c r="E416" s="874"/>
      <c r="F416" s="874"/>
      <c r="G416" s="874"/>
      <c r="H416" s="874"/>
      <c r="I416" s="874"/>
      <c r="J416" s="874"/>
      <c r="K416" s="874"/>
      <c r="L416" s="874"/>
      <c r="M416" s="874"/>
    </row>
    <row r="417" spans="1:13">
      <c r="A417" s="874"/>
      <c r="B417" s="875"/>
      <c r="C417" s="874"/>
      <c r="D417" s="874"/>
      <c r="E417" s="874"/>
      <c r="F417" s="874"/>
      <c r="G417" s="874"/>
      <c r="H417" s="874"/>
      <c r="I417" s="874"/>
      <c r="J417" s="874"/>
      <c r="K417" s="874"/>
      <c r="L417" s="874"/>
      <c r="M417" s="874"/>
    </row>
    <row r="418" spans="1:13">
      <c r="A418" s="874"/>
      <c r="B418" s="875"/>
      <c r="C418" s="874"/>
      <c r="D418" s="874"/>
      <c r="E418" s="874"/>
      <c r="F418" s="874"/>
      <c r="G418" s="874"/>
      <c r="H418" s="874"/>
      <c r="I418" s="874"/>
      <c r="J418" s="874"/>
      <c r="K418" s="874"/>
      <c r="L418" s="874"/>
      <c r="M418" s="874"/>
    </row>
    <row r="419" spans="1:13">
      <c r="A419" s="874"/>
      <c r="B419" s="875"/>
      <c r="C419" s="874"/>
      <c r="D419" s="874"/>
      <c r="E419" s="874"/>
      <c r="F419" s="874"/>
      <c r="G419" s="874"/>
      <c r="H419" s="874"/>
      <c r="I419" s="874"/>
      <c r="J419" s="874"/>
      <c r="K419" s="874"/>
      <c r="L419" s="874"/>
      <c r="M419" s="874"/>
    </row>
    <row r="420" spans="1:13">
      <c r="A420" s="874"/>
      <c r="B420" s="875"/>
      <c r="C420" s="874"/>
      <c r="D420" s="874"/>
      <c r="E420" s="874"/>
      <c r="F420" s="874"/>
      <c r="G420" s="874"/>
      <c r="H420" s="874"/>
      <c r="I420" s="874"/>
      <c r="J420" s="874"/>
      <c r="K420" s="874"/>
      <c r="L420" s="874"/>
      <c r="M420" s="874"/>
    </row>
    <row r="421" spans="1:13">
      <c r="A421" s="874"/>
      <c r="B421" s="875"/>
      <c r="C421" s="874"/>
      <c r="D421" s="874"/>
      <c r="E421" s="874"/>
      <c r="F421" s="874"/>
      <c r="G421" s="874"/>
      <c r="H421" s="874"/>
      <c r="I421" s="874"/>
      <c r="J421" s="874"/>
      <c r="K421" s="874"/>
      <c r="L421" s="874"/>
      <c r="M421" s="874"/>
    </row>
    <row r="422" spans="1:13">
      <c r="A422" s="874"/>
      <c r="B422" s="875"/>
      <c r="C422" s="874"/>
      <c r="D422" s="874"/>
      <c r="E422" s="874"/>
      <c r="F422" s="874"/>
      <c r="G422" s="874"/>
      <c r="H422" s="874"/>
      <c r="I422" s="874"/>
      <c r="J422" s="874"/>
      <c r="K422" s="874"/>
      <c r="L422" s="874"/>
      <c r="M422" s="874"/>
    </row>
    <row r="423" spans="1:13">
      <c r="A423" s="874"/>
      <c r="B423" s="875"/>
      <c r="C423" s="874"/>
      <c r="D423" s="874"/>
      <c r="E423" s="874"/>
      <c r="F423" s="874"/>
      <c r="G423" s="874"/>
      <c r="H423" s="874"/>
      <c r="I423" s="874"/>
      <c r="J423" s="874"/>
      <c r="K423" s="874"/>
      <c r="L423" s="874"/>
      <c r="M423" s="874"/>
    </row>
    <row r="424" spans="1:13">
      <c r="A424" s="874"/>
      <c r="B424" s="875"/>
      <c r="C424" s="874"/>
      <c r="D424" s="874"/>
      <c r="E424" s="874"/>
      <c r="F424" s="874"/>
      <c r="G424" s="874"/>
      <c r="H424" s="874"/>
      <c r="I424" s="874"/>
      <c r="J424" s="874"/>
      <c r="K424" s="874"/>
      <c r="L424" s="874"/>
      <c r="M424" s="874"/>
    </row>
    <row r="425" spans="1:13">
      <c r="A425" s="874"/>
      <c r="B425" s="875"/>
      <c r="C425" s="874"/>
      <c r="D425" s="874"/>
      <c r="E425" s="874"/>
      <c r="F425" s="874"/>
      <c r="G425" s="874"/>
      <c r="H425" s="874"/>
      <c r="I425" s="874"/>
      <c r="J425" s="874"/>
      <c r="K425" s="874"/>
      <c r="L425" s="874"/>
      <c r="M425" s="874"/>
    </row>
    <row r="426" spans="1:13">
      <c r="A426" s="874"/>
      <c r="B426" s="875"/>
      <c r="C426" s="874"/>
      <c r="D426" s="874"/>
      <c r="E426" s="874"/>
      <c r="F426" s="874"/>
      <c r="G426" s="874"/>
      <c r="H426" s="874"/>
      <c r="I426" s="874"/>
      <c r="J426" s="874"/>
      <c r="K426" s="874"/>
      <c r="L426" s="874"/>
      <c r="M426" s="874"/>
    </row>
    <row r="427" spans="1:13">
      <c r="A427" s="874"/>
      <c r="B427" s="875"/>
      <c r="C427" s="874"/>
      <c r="D427" s="874"/>
      <c r="E427" s="874"/>
      <c r="F427" s="874"/>
      <c r="G427" s="874"/>
      <c r="H427" s="874"/>
      <c r="I427" s="874"/>
      <c r="J427" s="874"/>
      <c r="K427" s="874"/>
      <c r="L427" s="874"/>
      <c r="M427" s="874"/>
    </row>
    <row r="428" spans="1:13">
      <c r="A428" s="874"/>
      <c r="B428" s="875"/>
      <c r="C428" s="874"/>
      <c r="D428" s="874"/>
      <c r="E428" s="874"/>
      <c r="F428" s="874"/>
      <c r="G428" s="874"/>
      <c r="H428" s="874"/>
      <c r="I428" s="874"/>
      <c r="J428" s="874"/>
      <c r="K428" s="874"/>
      <c r="L428" s="874"/>
      <c r="M428" s="874"/>
    </row>
    <row r="429" spans="1:13">
      <c r="A429" s="874"/>
      <c r="B429" s="875"/>
      <c r="C429" s="874"/>
      <c r="D429" s="874"/>
      <c r="E429" s="874"/>
      <c r="F429" s="874"/>
      <c r="G429" s="874"/>
      <c r="H429" s="874"/>
      <c r="I429" s="874"/>
      <c r="J429" s="874"/>
      <c r="K429" s="874"/>
      <c r="L429" s="874"/>
      <c r="M429" s="874"/>
    </row>
    <row r="430" spans="1:13">
      <c r="A430" s="874"/>
      <c r="B430" s="875"/>
      <c r="C430" s="874"/>
      <c r="D430" s="874"/>
      <c r="E430" s="874"/>
      <c r="F430" s="874"/>
      <c r="G430" s="874"/>
      <c r="H430" s="874"/>
      <c r="I430" s="874"/>
      <c r="J430" s="874"/>
      <c r="K430" s="874"/>
      <c r="L430" s="874"/>
      <c r="M430" s="874"/>
    </row>
    <row r="431" spans="1:13">
      <c r="A431" s="874"/>
      <c r="B431" s="875"/>
      <c r="C431" s="874"/>
      <c r="D431" s="874"/>
      <c r="E431" s="874"/>
      <c r="F431" s="874"/>
      <c r="G431" s="874"/>
      <c r="H431" s="874"/>
      <c r="I431" s="874"/>
      <c r="J431" s="874"/>
      <c r="K431" s="874"/>
      <c r="L431" s="874"/>
      <c r="M431" s="874"/>
    </row>
    <row r="432" spans="1:13">
      <c r="A432" s="874"/>
      <c r="B432" s="875"/>
      <c r="C432" s="874"/>
      <c r="D432" s="874"/>
      <c r="E432" s="874"/>
      <c r="F432" s="874"/>
      <c r="G432" s="874"/>
      <c r="H432" s="874"/>
      <c r="I432" s="874"/>
      <c r="J432" s="874"/>
      <c r="K432" s="874"/>
      <c r="L432" s="874"/>
      <c r="M432" s="874"/>
    </row>
    <row r="433" spans="1:13">
      <c r="A433" s="874"/>
      <c r="B433" s="875"/>
      <c r="C433" s="874"/>
      <c r="D433" s="874"/>
      <c r="E433" s="874"/>
      <c r="F433" s="874"/>
      <c r="G433" s="874"/>
      <c r="H433" s="874"/>
      <c r="I433" s="874"/>
      <c r="J433" s="874"/>
      <c r="K433" s="874"/>
      <c r="L433" s="874"/>
      <c r="M433" s="874"/>
    </row>
    <row r="434" spans="1:13">
      <c r="A434" s="874"/>
      <c r="B434" s="875"/>
      <c r="C434" s="874"/>
      <c r="D434" s="874"/>
      <c r="E434" s="874"/>
      <c r="F434" s="874"/>
      <c r="G434" s="874"/>
      <c r="H434" s="874"/>
      <c r="I434" s="874"/>
      <c r="J434" s="874"/>
      <c r="K434" s="874"/>
      <c r="L434" s="874"/>
      <c r="M434" s="874"/>
    </row>
    <row r="435" spans="1:13">
      <c r="A435" s="874"/>
      <c r="B435" s="875"/>
      <c r="C435" s="874"/>
      <c r="D435" s="874"/>
      <c r="E435" s="874"/>
      <c r="F435" s="874"/>
      <c r="G435" s="874"/>
      <c r="H435" s="874"/>
      <c r="I435" s="874"/>
      <c r="J435" s="874"/>
      <c r="K435" s="874"/>
      <c r="L435" s="874"/>
      <c r="M435" s="874"/>
    </row>
    <row r="436" spans="1:13">
      <c r="A436" s="874"/>
      <c r="B436" s="875"/>
      <c r="C436" s="874"/>
      <c r="D436" s="874"/>
      <c r="E436" s="874"/>
      <c r="F436" s="874"/>
      <c r="G436" s="874"/>
      <c r="H436" s="874"/>
      <c r="I436" s="874"/>
      <c r="J436" s="874"/>
      <c r="K436" s="874"/>
      <c r="L436" s="874"/>
      <c r="M436" s="874"/>
    </row>
    <row r="437" spans="1:13">
      <c r="A437" s="874"/>
      <c r="B437" s="875"/>
      <c r="C437" s="874"/>
      <c r="D437" s="874"/>
      <c r="E437" s="874"/>
      <c r="F437" s="874"/>
      <c r="G437" s="874"/>
      <c r="H437" s="874"/>
      <c r="I437" s="874"/>
      <c r="J437" s="874"/>
      <c r="K437" s="874"/>
      <c r="L437" s="874"/>
      <c r="M437" s="874"/>
    </row>
    <row r="438" spans="1:13">
      <c r="A438" s="874"/>
      <c r="B438" s="875"/>
      <c r="C438" s="874"/>
      <c r="D438" s="874"/>
      <c r="E438" s="874"/>
      <c r="F438" s="874"/>
      <c r="G438" s="874"/>
      <c r="H438" s="874"/>
      <c r="I438" s="874"/>
      <c r="J438" s="874"/>
      <c r="K438" s="874"/>
      <c r="L438" s="874"/>
      <c r="M438" s="874"/>
    </row>
    <row r="439" spans="1:13">
      <c r="A439" s="874"/>
      <c r="B439" s="875"/>
      <c r="C439" s="874"/>
      <c r="D439" s="874"/>
      <c r="E439" s="874"/>
      <c r="F439" s="874"/>
      <c r="G439" s="874"/>
      <c r="H439" s="874"/>
      <c r="I439" s="874"/>
      <c r="J439" s="874"/>
      <c r="K439" s="874"/>
      <c r="L439" s="874"/>
      <c r="M439" s="874"/>
    </row>
    <row r="440" spans="1:13">
      <c r="A440" s="874"/>
      <c r="B440" s="875"/>
      <c r="C440" s="874"/>
      <c r="D440" s="874"/>
      <c r="E440" s="874"/>
      <c r="F440" s="874"/>
      <c r="G440" s="874"/>
      <c r="H440" s="874"/>
      <c r="I440" s="874"/>
      <c r="J440" s="874"/>
      <c r="K440" s="874"/>
      <c r="L440" s="874"/>
      <c r="M440" s="874"/>
    </row>
    <row r="441" spans="1:13">
      <c r="A441" s="874"/>
      <c r="B441" s="875"/>
      <c r="C441" s="874"/>
      <c r="D441" s="874"/>
      <c r="E441" s="874"/>
      <c r="F441" s="874"/>
      <c r="G441" s="874"/>
      <c r="H441" s="874"/>
      <c r="I441" s="874"/>
      <c r="J441" s="874"/>
      <c r="K441" s="874"/>
      <c r="L441" s="874"/>
      <c r="M441" s="874"/>
    </row>
    <row r="442" spans="1:13">
      <c r="A442" s="874"/>
      <c r="B442" s="875"/>
      <c r="C442" s="874"/>
      <c r="D442" s="874"/>
      <c r="E442" s="874"/>
      <c r="F442" s="874"/>
      <c r="G442" s="874"/>
      <c r="H442" s="874"/>
      <c r="I442" s="874"/>
      <c r="J442" s="874"/>
      <c r="K442" s="874"/>
      <c r="L442" s="874"/>
      <c r="M442" s="874"/>
    </row>
    <row r="443" spans="1:13">
      <c r="A443" s="874"/>
      <c r="B443" s="875"/>
      <c r="C443" s="874"/>
      <c r="D443" s="874"/>
      <c r="E443" s="874"/>
      <c r="F443" s="874"/>
      <c r="G443" s="874"/>
      <c r="H443" s="874"/>
      <c r="I443" s="874"/>
      <c r="J443" s="874"/>
      <c r="K443" s="874"/>
      <c r="L443" s="874"/>
      <c r="M443" s="874"/>
    </row>
    <row r="444" spans="1:13">
      <c r="A444" s="874"/>
      <c r="B444" s="875"/>
      <c r="C444" s="874"/>
      <c r="D444" s="874"/>
      <c r="E444" s="874"/>
      <c r="F444" s="874"/>
      <c r="G444" s="874"/>
      <c r="H444" s="874"/>
      <c r="I444" s="874"/>
      <c r="J444" s="874"/>
      <c r="K444" s="874"/>
      <c r="L444" s="874"/>
      <c r="M444" s="874"/>
    </row>
    <row r="445" spans="1:13">
      <c r="A445" s="874"/>
      <c r="B445" s="875"/>
      <c r="C445" s="874"/>
      <c r="D445" s="874"/>
      <c r="E445" s="874"/>
      <c r="F445" s="874"/>
      <c r="G445" s="874"/>
      <c r="H445" s="874"/>
      <c r="I445" s="874"/>
      <c r="J445" s="874"/>
      <c r="K445" s="874"/>
      <c r="L445" s="874"/>
      <c r="M445" s="874"/>
    </row>
    <row r="446" spans="1:13">
      <c r="A446" s="874"/>
      <c r="B446" s="875"/>
      <c r="C446" s="874"/>
      <c r="D446" s="874"/>
      <c r="E446" s="874"/>
      <c r="F446" s="874"/>
      <c r="G446" s="874"/>
      <c r="H446" s="874"/>
      <c r="I446" s="874"/>
      <c r="J446" s="874"/>
      <c r="K446" s="874"/>
      <c r="L446" s="874"/>
      <c r="M446" s="874"/>
    </row>
    <row r="447" spans="1:13">
      <c r="A447" s="874"/>
      <c r="B447" s="875"/>
      <c r="C447" s="874"/>
      <c r="D447" s="874"/>
      <c r="E447" s="874"/>
      <c r="F447" s="874"/>
      <c r="G447" s="874"/>
      <c r="H447" s="874"/>
      <c r="I447" s="874"/>
      <c r="J447" s="874"/>
      <c r="K447" s="874"/>
      <c r="L447" s="874"/>
      <c r="M447" s="874"/>
    </row>
    <row r="448" spans="1:13">
      <c r="A448" s="874"/>
      <c r="B448" s="875"/>
      <c r="C448" s="874"/>
      <c r="D448" s="874"/>
      <c r="E448" s="874"/>
      <c r="F448" s="874"/>
      <c r="G448" s="874"/>
      <c r="H448" s="874"/>
      <c r="I448" s="874"/>
      <c r="J448" s="874"/>
      <c r="K448" s="874"/>
      <c r="L448" s="874"/>
      <c r="M448" s="874"/>
    </row>
    <row r="449" spans="1:13">
      <c r="A449" s="874"/>
      <c r="B449" s="875"/>
      <c r="C449" s="874"/>
      <c r="D449" s="874"/>
      <c r="E449" s="874"/>
      <c r="F449" s="874"/>
      <c r="G449" s="874"/>
      <c r="H449" s="874"/>
      <c r="I449" s="874"/>
      <c r="J449" s="874"/>
      <c r="K449" s="874"/>
      <c r="L449" s="874"/>
      <c r="M449" s="874"/>
    </row>
    <row r="450" spans="1:13">
      <c r="A450" s="874"/>
      <c r="B450" s="875"/>
      <c r="C450" s="874"/>
      <c r="D450" s="874"/>
      <c r="E450" s="874"/>
      <c r="F450" s="874"/>
      <c r="G450" s="874"/>
      <c r="H450" s="874"/>
      <c r="I450" s="874"/>
      <c r="J450" s="874"/>
      <c r="K450" s="874"/>
      <c r="L450" s="874"/>
      <c r="M450" s="874"/>
    </row>
    <row r="451" spans="1:13">
      <c r="A451" s="874"/>
      <c r="B451" s="875"/>
      <c r="C451" s="874"/>
      <c r="D451" s="874"/>
      <c r="E451" s="874"/>
      <c r="F451" s="874"/>
      <c r="G451" s="874"/>
      <c r="H451" s="874"/>
      <c r="I451" s="874"/>
      <c r="J451" s="874"/>
      <c r="K451" s="874"/>
      <c r="L451" s="874"/>
      <c r="M451" s="874"/>
    </row>
    <row r="452" spans="1:13">
      <c r="A452" s="874"/>
      <c r="B452" s="875"/>
      <c r="C452" s="874"/>
      <c r="D452" s="874"/>
      <c r="E452" s="874"/>
      <c r="F452" s="874"/>
      <c r="G452" s="874"/>
      <c r="H452" s="874"/>
      <c r="I452" s="874"/>
      <c r="J452" s="874"/>
      <c r="K452" s="874"/>
      <c r="L452" s="874"/>
      <c r="M452" s="874"/>
    </row>
    <row r="453" spans="1:13">
      <c r="A453" s="874"/>
      <c r="B453" s="875"/>
      <c r="C453" s="874"/>
      <c r="D453" s="874"/>
      <c r="E453" s="874"/>
      <c r="F453" s="874"/>
      <c r="G453" s="874"/>
      <c r="H453" s="874"/>
      <c r="I453" s="874"/>
      <c r="J453" s="874"/>
      <c r="K453" s="874"/>
      <c r="L453" s="874"/>
      <c r="M453" s="874"/>
    </row>
    <row r="454" spans="1:13">
      <c r="A454" s="874"/>
      <c r="B454" s="875"/>
      <c r="C454" s="874"/>
      <c r="D454" s="874"/>
      <c r="E454" s="874"/>
      <c r="F454" s="874"/>
      <c r="G454" s="874"/>
      <c r="H454" s="874"/>
      <c r="I454" s="874"/>
      <c r="J454" s="874"/>
      <c r="K454" s="874"/>
      <c r="L454" s="874"/>
      <c r="M454" s="874"/>
    </row>
    <row r="455" spans="1:13">
      <c r="A455" s="874"/>
      <c r="B455" s="875"/>
      <c r="C455" s="874"/>
      <c r="D455" s="874"/>
      <c r="E455" s="874"/>
      <c r="F455" s="874"/>
      <c r="G455" s="874"/>
      <c r="H455" s="874"/>
      <c r="I455" s="874"/>
      <c r="J455" s="874"/>
      <c r="K455" s="874"/>
      <c r="L455" s="874"/>
      <c r="M455" s="874"/>
    </row>
    <row r="456" spans="1:13">
      <c r="A456" s="874"/>
      <c r="B456" s="875"/>
      <c r="C456" s="874"/>
      <c r="D456" s="874"/>
      <c r="E456" s="874"/>
      <c r="F456" s="874"/>
      <c r="G456" s="874"/>
      <c r="H456" s="874"/>
      <c r="I456" s="874"/>
      <c r="J456" s="874"/>
      <c r="K456" s="874"/>
      <c r="L456" s="874"/>
      <c r="M456" s="874"/>
    </row>
    <row r="457" spans="1:13">
      <c r="A457" s="874"/>
      <c r="B457" s="875"/>
      <c r="C457" s="874"/>
      <c r="D457" s="874"/>
      <c r="E457" s="874"/>
      <c r="F457" s="874"/>
      <c r="G457" s="874"/>
      <c r="H457" s="874"/>
      <c r="I457" s="874"/>
      <c r="J457" s="874"/>
      <c r="K457" s="874"/>
      <c r="L457" s="874"/>
      <c r="M457" s="874"/>
    </row>
    <row r="458" spans="1:13">
      <c r="A458" s="874"/>
      <c r="B458" s="875"/>
      <c r="C458" s="874"/>
      <c r="D458" s="874"/>
      <c r="E458" s="874"/>
      <c r="F458" s="874"/>
      <c r="G458" s="874"/>
      <c r="H458" s="874"/>
      <c r="I458" s="874"/>
      <c r="J458" s="874"/>
      <c r="K458" s="874"/>
      <c r="L458" s="874"/>
      <c r="M458" s="874"/>
    </row>
    <row r="459" spans="1:13">
      <c r="A459" s="874"/>
      <c r="B459" s="875"/>
      <c r="C459" s="874"/>
      <c r="D459" s="874"/>
      <c r="E459" s="874"/>
      <c r="F459" s="874"/>
      <c r="G459" s="874"/>
      <c r="H459" s="874"/>
      <c r="I459" s="874"/>
      <c r="J459" s="874"/>
      <c r="K459" s="874"/>
      <c r="L459" s="874"/>
      <c r="M459" s="874"/>
    </row>
    <row r="460" spans="1:13">
      <c r="A460" s="874"/>
      <c r="B460" s="875"/>
      <c r="C460" s="874"/>
      <c r="D460" s="874"/>
      <c r="E460" s="874"/>
      <c r="F460" s="874"/>
      <c r="G460" s="874"/>
      <c r="H460" s="874"/>
      <c r="I460" s="874"/>
      <c r="J460" s="874"/>
      <c r="K460" s="874"/>
      <c r="L460" s="874"/>
      <c r="M460" s="874"/>
    </row>
    <row r="461" spans="1:13">
      <c r="A461" s="874"/>
      <c r="B461" s="875"/>
      <c r="C461" s="874"/>
      <c r="D461" s="874"/>
      <c r="E461" s="874"/>
      <c r="F461" s="874"/>
      <c r="G461" s="874"/>
      <c r="H461" s="874"/>
      <c r="I461" s="874"/>
      <c r="J461" s="874"/>
      <c r="K461" s="874"/>
      <c r="L461" s="874"/>
      <c r="M461" s="874"/>
    </row>
    <row r="462" spans="1:13">
      <c r="A462" s="874"/>
      <c r="B462" s="875"/>
      <c r="C462" s="874"/>
      <c r="D462" s="874"/>
      <c r="E462" s="874"/>
      <c r="F462" s="874"/>
      <c r="G462" s="874"/>
      <c r="H462" s="874"/>
      <c r="I462" s="874"/>
      <c r="J462" s="874"/>
      <c r="K462" s="874"/>
      <c r="L462" s="874"/>
      <c r="M462" s="874"/>
    </row>
    <row r="463" spans="1:13">
      <c r="A463" s="874"/>
      <c r="B463" s="875"/>
      <c r="C463" s="874"/>
      <c r="D463" s="874"/>
      <c r="E463" s="874"/>
      <c r="F463" s="874"/>
      <c r="G463" s="874"/>
      <c r="H463" s="874"/>
      <c r="I463" s="874"/>
      <c r="J463" s="874"/>
      <c r="K463" s="874"/>
      <c r="L463" s="874"/>
      <c r="M463" s="874"/>
    </row>
    <row r="464" spans="1:13">
      <c r="A464" s="874"/>
      <c r="B464" s="875"/>
      <c r="C464" s="874"/>
      <c r="D464" s="874"/>
      <c r="E464" s="874"/>
      <c r="F464" s="874"/>
      <c r="G464" s="874"/>
      <c r="H464" s="874"/>
      <c r="I464" s="874"/>
      <c r="J464" s="874"/>
      <c r="K464" s="874"/>
      <c r="L464" s="874"/>
      <c r="M464" s="874"/>
    </row>
    <row r="465" spans="1:13">
      <c r="A465" s="874"/>
      <c r="B465" s="875"/>
      <c r="C465" s="874"/>
      <c r="D465" s="874"/>
      <c r="E465" s="874"/>
      <c r="F465" s="874"/>
      <c r="G465" s="874"/>
      <c r="H465" s="874"/>
      <c r="I465" s="874"/>
      <c r="J465" s="874"/>
      <c r="K465" s="874"/>
      <c r="L465" s="874"/>
      <c r="M465" s="874"/>
    </row>
    <row r="466" spans="1:13">
      <c r="A466" s="874"/>
      <c r="B466" s="875"/>
      <c r="C466" s="874"/>
      <c r="D466" s="874"/>
      <c r="E466" s="874"/>
      <c r="F466" s="874"/>
      <c r="G466" s="874"/>
      <c r="H466" s="874"/>
      <c r="I466" s="874"/>
      <c r="J466" s="874"/>
      <c r="K466" s="874"/>
      <c r="L466" s="874"/>
      <c r="M466" s="874"/>
    </row>
    <row r="467" spans="1:13">
      <c r="A467" s="874"/>
      <c r="B467" s="875"/>
      <c r="C467" s="874"/>
      <c r="D467" s="874"/>
      <c r="E467" s="874"/>
      <c r="F467" s="874"/>
      <c r="G467" s="874"/>
      <c r="H467" s="874"/>
      <c r="I467" s="874"/>
      <c r="J467" s="874"/>
      <c r="K467" s="874"/>
      <c r="L467" s="874"/>
      <c r="M467" s="874"/>
    </row>
    <row r="468" spans="1:13">
      <c r="A468" s="874"/>
      <c r="B468" s="875"/>
      <c r="C468" s="874"/>
      <c r="D468" s="874"/>
      <c r="E468" s="874"/>
      <c r="F468" s="874"/>
      <c r="G468" s="874"/>
      <c r="H468" s="874"/>
      <c r="I468" s="874"/>
      <c r="J468" s="874"/>
      <c r="K468" s="874"/>
      <c r="L468" s="874"/>
      <c r="M468" s="874"/>
    </row>
    <row r="469" spans="1:13">
      <c r="A469" s="874"/>
      <c r="B469" s="875"/>
      <c r="C469" s="874"/>
      <c r="D469" s="874"/>
      <c r="E469" s="874"/>
      <c r="F469" s="874"/>
      <c r="G469" s="874"/>
      <c r="H469" s="874"/>
      <c r="I469" s="874"/>
      <c r="J469" s="874"/>
      <c r="K469" s="874"/>
      <c r="L469" s="874"/>
      <c r="M469" s="874"/>
    </row>
    <row r="470" spans="1:13">
      <c r="A470" s="874"/>
      <c r="B470" s="875"/>
      <c r="C470" s="874"/>
      <c r="D470" s="874"/>
      <c r="E470" s="874"/>
      <c r="F470" s="874"/>
      <c r="G470" s="874"/>
      <c r="H470" s="874"/>
      <c r="I470" s="874"/>
      <c r="J470" s="874"/>
      <c r="K470" s="874"/>
      <c r="L470" s="874"/>
      <c r="M470" s="874"/>
    </row>
    <row r="471" spans="1:13">
      <c r="A471" s="874"/>
      <c r="B471" s="875"/>
      <c r="C471" s="874"/>
      <c r="D471" s="874"/>
      <c r="E471" s="874"/>
      <c r="F471" s="874"/>
      <c r="G471" s="874"/>
      <c r="H471" s="874"/>
      <c r="I471" s="874"/>
      <c r="J471" s="874"/>
      <c r="K471" s="874"/>
      <c r="L471" s="874"/>
      <c r="M471" s="874"/>
    </row>
    <row r="472" spans="1:13">
      <c r="A472" s="874"/>
      <c r="B472" s="875"/>
      <c r="C472" s="874"/>
      <c r="D472" s="874"/>
      <c r="E472" s="874"/>
      <c r="F472" s="874"/>
      <c r="G472" s="874"/>
      <c r="H472" s="874"/>
      <c r="I472" s="874"/>
      <c r="J472" s="874"/>
      <c r="K472" s="874"/>
      <c r="L472" s="874"/>
      <c r="M472" s="874"/>
    </row>
    <row r="473" spans="1:13">
      <c r="A473" s="874"/>
      <c r="B473" s="875"/>
      <c r="C473" s="874"/>
      <c r="D473" s="874"/>
      <c r="E473" s="874"/>
      <c r="F473" s="874"/>
      <c r="G473" s="874"/>
      <c r="H473" s="874"/>
      <c r="I473" s="874"/>
      <c r="J473" s="874"/>
      <c r="K473" s="874"/>
      <c r="L473" s="874"/>
      <c r="M473" s="874"/>
    </row>
    <row r="474" spans="1:13">
      <c r="A474" s="874"/>
      <c r="B474" s="875"/>
      <c r="C474" s="874"/>
      <c r="D474" s="874"/>
      <c r="E474" s="874"/>
      <c r="F474" s="874"/>
      <c r="G474" s="874"/>
      <c r="H474" s="874"/>
      <c r="I474" s="874"/>
      <c r="J474" s="874"/>
      <c r="K474" s="874"/>
      <c r="L474" s="874"/>
      <c r="M474" s="874"/>
    </row>
    <row r="475" spans="1:13">
      <c r="A475" s="874"/>
      <c r="B475" s="875"/>
      <c r="C475" s="874"/>
      <c r="D475" s="874"/>
      <c r="E475" s="874"/>
      <c r="F475" s="874"/>
      <c r="G475" s="874"/>
      <c r="H475" s="874"/>
      <c r="I475" s="874"/>
      <c r="J475" s="874"/>
      <c r="K475" s="874"/>
      <c r="L475" s="874"/>
      <c r="M475" s="874"/>
    </row>
    <row r="476" spans="1:13">
      <c r="A476" s="874"/>
      <c r="B476" s="875"/>
      <c r="C476" s="874"/>
      <c r="D476" s="874"/>
      <c r="E476" s="874"/>
      <c r="F476" s="874"/>
      <c r="G476" s="874"/>
      <c r="H476" s="874"/>
      <c r="I476" s="874"/>
      <c r="J476" s="874"/>
      <c r="K476" s="874"/>
      <c r="L476" s="874"/>
      <c r="M476" s="874"/>
    </row>
    <row r="477" spans="1:13">
      <c r="A477" s="874"/>
      <c r="B477" s="875"/>
      <c r="C477" s="874"/>
      <c r="D477" s="874"/>
      <c r="E477" s="874"/>
      <c r="F477" s="874"/>
      <c r="G477" s="874"/>
      <c r="H477" s="874"/>
      <c r="I477" s="874"/>
      <c r="J477" s="874"/>
      <c r="K477" s="874"/>
      <c r="L477" s="874"/>
      <c r="M477" s="874"/>
    </row>
    <row r="478" spans="1:13">
      <c r="A478" s="874"/>
      <c r="B478" s="875"/>
      <c r="C478" s="874"/>
      <c r="D478" s="874"/>
      <c r="E478" s="874"/>
      <c r="F478" s="874"/>
      <c r="G478" s="874"/>
      <c r="H478" s="874"/>
      <c r="I478" s="874"/>
      <c r="J478" s="874"/>
      <c r="K478" s="874"/>
      <c r="L478" s="874"/>
      <c r="M478" s="874"/>
    </row>
    <row r="479" spans="1:13">
      <c r="A479" s="874"/>
      <c r="B479" s="875"/>
      <c r="C479" s="874"/>
      <c r="D479" s="874"/>
      <c r="E479" s="874"/>
      <c r="F479" s="874"/>
      <c r="G479" s="874"/>
      <c r="H479" s="874"/>
      <c r="I479" s="874"/>
      <c r="J479" s="874"/>
      <c r="K479" s="874"/>
      <c r="L479" s="874"/>
      <c r="M479" s="874"/>
    </row>
    <row r="480" spans="1:13">
      <c r="A480" s="874"/>
      <c r="B480" s="875"/>
      <c r="C480" s="874"/>
      <c r="D480" s="874"/>
      <c r="E480" s="874"/>
      <c r="F480" s="874"/>
      <c r="G480" s="874"/>
      <c r="H480" s="874"/>
      <c r="I480" s="874"/>
      <c r="J480" s="874"/>
      <c r="K480" s="874"/>
      <c r="L480" s="874"/>
      <c r="M480" s="874"/>
    </row>
    <row r="481" spans="1:13">
      <c r="A481" s="874"/>
      <c r="B481" s="875"/>
      <c r="C481" s="874"/>
      <c r="D481" s="874"/>
      <c r="E481" s="874"/>
      <c r="F481" s="874"/>
      <c r="G481" s="874"/>
      <c r="H481" s="874"/>
      <c r="I481" s="874"/>
      <c r="J481" s="874"/>
      <c r="K481" s="874"/>
      <c r="L481" s="874"/>
      <c r="M481" s="874"/>
    </row>
    <row r="482" spans="1:13">
      <c r="A482" s="874"/>
      <c r="B482" s="875"/>
      <c r="C482" s="874"/>
      <c r="D482" s="874"/>
      <c r="E482" s="874"/>
      <c r="F482" s="874"/>
      <c r="G482" s="874"/>
      <c r="H482" s="874"/>
      <c r="I482" s="874"/>
      <c r="J482" s="874"/>
      <c r="K482" s="874"/>
      <c r="L482" s="874"/>
      <c r="M482" s="874"/>
    </row>
    <row r="483" spans="1:13">
      <c r="A483" s="874"/>
      <c r="B483" s="875"/>
      <c r="C483" s="874"/>
      <c r="D483" s="874"/>
      <c r="E483" s="874"/>
      <c r="F483" s="874"/>
      <c r="G483" s="874"/>
      <c r="H483" s="874"/>
      <c r="I483" s="874"/>
      <c r="J483" s="874"/>
      <c r="K483" s="874"/>
      <c r="L483" s="874"/>
      <c r="M483" s="874"/>
    </row>
    <row r="484" spans="1:13">
      <c r="A484" s="874"/>
      <c r="B484" s="875"/>
      <c r="C484" s="874"/>
      <c r="D484" s="874"/>
      <c r="E484" s="874"/>
      <c r="F484" s="874"/>
      <c r="G484" s="874"/>
      <c r="H484" s="874"/>
      <c r="I484" s="874"/>
      <c r="J484" s="874"/>
      <c r="K484" s="874"/>
      <c r="L484" s="874"/>
      <c r="M484" s="874"/>
    </row>
    <row r="485" spans="1:13">
      <c r="A485" s="874"/>
      <c r="B485" s="875"/>
      <c r="C485" s="874"/>
      <c r="D485" s="874"/>
      <c r="E485" s="874"/>
      <c r="F485" s="874"/>
      <c r="G485" s="874"/>
      <c r="H485" s="874"/>
      <c r="I485" s="874"/>
      <c r="J485" s="874"/>
      <c r="K485" s="874"/>
      <c r="L485" s="874"/>
      <c r="M485" s="874"/>
    </row>
    <row r="486" spans="1:13">
      <c r="A486" s="874"/>
      <c r="B486" s="875"/>
      <c r="C486" s="874"/>
      <c r="D486" s="874"/>
      <c r="E486" s="874"/>
      <c r="F486" s="874"/>
      <c r="G486" s="874"/>
      <c r="H486" s="874"/>
      <c r="I486" s="874"/>
      <c r="J486" s="874"/>
      <c r="K486" s="874"/>
      <c r="L486" s="874"/>
      <c r="M486" s="874"/>
    </row>
    <row r="487" spans="1:13">
      <c r="A487" s="874"/>
      <c r="B487" s="875"/>
      <c r="C487" s="874"/>
      <c r="D487" s="874"/>
      <c r="E487" s="874"/>
      <c r="F487" s="874"/>
      <c r="G487" s="874"/>
      <c r="H487" s="874"/>
      <c r="I487" s="874"/>
      <c r="J487" s="874"/>
      <c r="K487" s="874"/>
      <c r="L487" s="874"/>
      <c r="M487" s="874"/>
    </row>
    <row r="488" spans="1:13">
      <c r="A488" s="874"/>
      <c r="B488" s="875"/>
      <c r="C488" s="874"/>
      <c r="D488" s="874"/>
      <c r="E488" s="874"/>
      <c r="F488" s="874"/>
      <c r="G488" s="874"/>
      <c r="H488" s="874"/>
      <c r="I488" s="874"/>
      <c r="J488" s="874"/>
      <c r="K488" s="874"/>
      <c r="L488" s="874"/>
      <c r="M488" s="874"/>
    </row>
    <row r="489" spans="1:13">
      <c r="A489" s="874"/>
      <c r="B489" s="875"/>
      <c r="C489" s="874"/>
      <c r="D489" s="874"/>
      <c r="E489" s="874"/>
      <c r="F489" s="874"/>
      <c r="G489" s="874"/>
      <c r="H489" s="874"/>
      <c r="I489" s="874"/>
      <c r="J489" s="874"/>
      <c r="K489" s="874"/>
      <c r="L489" s="874"/>
      <c r="M489" s="874"/>
    </row>
    <row r="490" spans="1:13">
      <c r="A490" s="874"/>
      <c r="B490" s="875"/>
      <c r="C490" s="874"/>
      <c r="D490" s="874"/>
      <c r="E490" s="874"/>
      <c r="F490" s="874"/>
      <c r="G490" s="874"/>
      <c r="H490" s="874"/>
      <c r="I490" s="874"/>
      <c r="J490" s="874"/>
      <c r="K490" s="874"/>
      <c r="L490" s="874"/>
      <c r="M490" s="874"/>
    </row>
    <row r="491" spans="1:13">
      <c r="A491" s="874"/>
      <c r="B491" s="875"/>
      <c r="C491" s="874"/>
      <c r="D491" s="874"/>
      <c r="E491" s="874"/>
      <c r="F491" s="874"/>
      <c r="G491" s="874"/>
      <c r="H491" s="874"/>
      <c r="I491" s="874"/>
      <c r="J491" s="874"/>
      <c r="K491" s="874"/>
      <c r="L491" s="874"/>
      <c r="M491" s="874"/>
    </row>
    <row r="492" spans="1:13">
      <c r="A492" s="874"/>
      <c r="B492" s="875"/>
      <c r="C492" s="874"/>
      <c r="D492" s="874"/>
      <c r="E492" s="874"/>
      <c r="F492" s="874"/>
      <c r="G492" s="874"/>
      <c r="H492" s="874"/>
      <c r="I492" s="874"/>
      <c r="J492" s="874"/>
      <c r="K492" s="874"/>
      <c r="L492" s="874"/>
      <c r="M492" s="874"/>
    </row>
    <row r="493" spans="1:13">
      <c r="A493" s="874"/>
      <c r="B493" s="875"/>
      <c r="C493" s="874"/>
      <c r="D493" s="874"/>
      <c r="E493" s="874"/>
      <c r="F493" s="874"/>
      <c r="G493" s="874"/>
      <c r="H493" s="874"/>
      <c r="I493" s="874"/>
      <c r="J493" s="874"/>
      <c r="K493" s="874"/>
      <c r="L493" s="874"/>
      <c r="M493" s="874"/>
    </row>
    <row r="494" spans="1:13">
      <c r="A494" s="874"/>
      <c r="B494" s="875"/>
      <c r="C494" s="874"/>
      <c r="D494" s="874"/>
      <c r="E494" s="874"/>
      <c r="F494" s="874"/>
      <c r="G494" s="874"/>
      <c r="H494" s="874"/>
      <c r="I494" s="874"/>
      <c r="J494" s="874"/>
      <c r="K494" s="874"/>
      <c r="L494" s="874"/>
      <c r="M494" s="874"/>
    </row>
    <row r="495" spans="1:13">
      <c r="A495" s="874"/>
      <c r="B495" s="875"/>
      <c r="C495" s="874"/>
      <c r="D495" s="874"/>
      <c r="E495" s="874"/>
      <c r="F495" s="874"/>
      <c r="G495" s="874"/>
      <c r="H495" s="874"/>
      <c r="I495" s="874"/>
      <c r="J495" s="874"/>
      <c r="K495" s="874"/>
      <c r="L495" s="874"/>
      <c r="M495" s="874"/>
    </row>
    <row r="496" spans="1:13">
      <c r="A496" s="874"/>
      <c r="B496" s="875"/>
      <c r="C496" s="874"/>
      <c r="D496" s="874"/>
      <c r="E496" s="874"/>
      <c r="F496" s="874"/>
      <c r="G496" s="874"/>
      <c r="H496" s="874"/>
      <c r="I496" s="874"/>
      <c r="J496" s="874"/>
      <c r="K496" s="874"/>
      <c r="L496" s="874"/>
      <c r="M496" s="874"/>
    </row>
    <row r="497" spans="1:13">
      <c r="A497" s="874"/>
      <c r="B497" s="875"/>
      <c r="C497" s="874"/>
      <c r="D497" s="874"/>
      <c r="E497" s="874"/>
      <c r="F497" s="874"/>
      <c r="G497" s="874"/>
      <c r="H497" s="874"/>
      <c r="I497" s="874"/>
      <c r="J497" s="874"/>
      <c r="K497" s="874"/>
      <c r="L497" s="874"/>
      <c r="M497" s="874"/>
    </row>
    <row r="498" spans="1:13">
      <c r="A498" s="874"/>
      <c r="B498" s="875"/>
      <c r="C498" s="874"/>
      <c r="D498" s="874"/>
      <c r="E498" s="874"/>
      <c r="F498" s="874"/>
      <c r="G498" s="874"/>
      <c r="H498" s="874"/>
      <c r="I498" s="874"/>
      <c r="J498" s="874"/>
      <c r="K498" s="874"/>
      <c r="L498" s="874"/>
      <c r="M498" s="874"/>
    </row>
    <row r="499" spans="1:13">
      <c r="A499" s="874"/>
      <c r="B499" s="875"/>
      <c r="C499" s="874"/>
      <c r="D499" s="874"/>
      <c r="E499" s="874"/>
      <c r="F499" s="874"/>
      <c r="G499" s="874"/>
      <c r="H499" s="874"/>
      <c r="I499" s="874"/>
      <c r="J499" s="874"/>
      <c r="K499" s="874"/>
      <c r="L499" s="874"/>
      <c r="M499" s="874"/>
    </row>
    <row r="500" spans="1:13">
      <c r="A500" s="874"/>
      <c r="B500" s="875"/>
      <c r="C500" s="874"/>
      <c r="D500" s="874"/>
      <c r="E500" s="874"/>
      <c r="F500" s="874"/>
      <c r="G500" s="874"/>
      <c r="H500" s="874"/>
      <c r="I500" s="874"/>
      <c r="J500" s="874"/>
      <c r="K500" s="874"/>
      <c r="L500" s="874"/>
      <c r="M500" s="874"/>
    </row>
    <row r="501" spans="1:13">
      <c r="A501" s="874"/>
      <c r="B501" s="875"/>
      <c r="C501" s="874"/>
      <c r="D501" s="874"/>
      <c r="E501" s="874"/>
      <c r="F501" s="874"/>
      <c r="G501" s="874"/>
      <c r="H501" s="874"/>
      <c r="I501" s="874"/>
      <c r="J501" s="874"/>
      <c r="K501" s="874"/>
      <c r="L501" s="874"/>
      <c r="M501" s="874"/>
    </row>
    <row r="502" spans="1:13">
      <c r="A502" s="874"/>
      <c r="B502" s="875"/>
      <c r="C502" s="874"/>
      <c r="D502" s="874"/>
      <c r="E502" s="874"/>
      <c r="F502" s="874"/>
      <c r="G502" s="874"/>
      <c r="H502" s="874"/>
      <c r="I502" s="874"/>
      <c r="J502" s="874"/>
      <c r="K502" s="874"/>
      <c r="L502" s="874"/>
      <c r="M502" s="874"/>
    </row>
    <row r="503" spans="1:13">
      <c r="A503" s="874"/>
      <c r="B503" s="875"/>
      <c r="C503" s="874"/>
      <c r="D503" s="874"/>
      <c r="E503" s="874"/>
      <c r="F503" s="874"/>
      <c r="G503" s="874"/>
      <c r="H503" s="874"/>
      <c r="I503" s="874"/>
      <c r="J503" s="874"/>
      <c r="K503" s="874"/>
      <c r="L503" s="874"/>
      <c r="M503" s="874"/>
    </row>
    <row r="504" spans="1:13">
      <c r="A504" s="874"/>
      <c r="B504" s="875"/>
      <c r="C504" s="874"/>
      <c r="D504" s="874"/>
      <c r="E504" s="874"/>
      <c r="F504" s="874"/>
      <c r="G504" s="874"/>
      <c r="H504" s="874"/>
      <c r="I504" s="874"/>
      <c r="J504" s="874"/>
      <c r="K504" s="874"/>
      <c r="L504" s="874"/>
      <c r="M504" s="874"/>
    </row>
    <row r="505" spans="1:13">
      <c r="A505" s="874"/>
      <c r="B505" s="875"/>
      <c r="C505" s="874"/>
      <c r="D505" s="874"/>
      <c r="E505" s="874"/>
      <c r="F505" s="874"/>
      <c r="G505" s="874"/>
      <c r="H505" s="874"/>
      <c r="I505" s="874"/>
      <c r="J505" s="874"/>
      <c r="K505" s="874"/>
      <c r="L505" s="874"/>
      <c r="M505" s="874"/>
    </row>
    <row r="506" spans="1:13">
      <c r="A506" s="874"/>
      <c r="B506" s="875"/>
      <c r="C506" s="874"/>
      <c r="D506" s="874"/>
      <c r="E506" s="874"/>
      <c r="F506" s="874"/>
      <c r="G506" s="874"/>
      <c r="H506" s="874"/>
      <c r="I506" s="874"/>
      <c r="J506" s="874"/>
      <c r="K506" s="874"/>
      <c r="L506" s="874"/>
      <c r="M506" s="874"/>
    </row>
    <row r="507" spans="1:13">
      <c r="A507" s="874"/>
      <c r="B507" s="875"/>
      <c r="C507" s="874"/>
      <c r="D507" s="874"/>
      <c r="E507" s="874"/>
      <c r="F507" s="874"/>
      <c r="G507" s="874"/>
      <c r="H507" s="874"/>
      <c r="I507" s="874"/>
      <c r="J507" s="874"/>
      <c r="K507" s="874"/>
      <c r="L507" s="874"/>
      <c r="M507" s="874"/>
    </row>
    <row r="508" spans="1:13">
      <c r="A508" s="874"/>
      <c r="B508" s="875"/>
      <c r="C508" s="874"/>
      <c r="D508" s="874"/>
      <c r="E508" s="874"/>
      <c r="F508" s="874"/>
      <c r="G508" s="874"/>
      <c r="H508" s="874"/>
      <c r="I508" s="874"/>
      <c r="J508" s="874"/>
      <c r="K508" s="874"/>
      <c r="L508" s="874"/>
      <c r="M508" s="874"/>
    </row>
    <row r="509" spans="1:13">
      <c r="A509" s="874"/>
      <c r="B509" s="875"/>
      <c r="C509" s="874"/>
      <c r="D509" s="874"/>
      <c r="E509" s="874"/>
      <c r="F509" s="874"/>
      <c r="G509" s="874"/>
      <c r="H509" s="874"/>
      <c r="I509" s="874"/>
      <c r="J509" s="874"/>
      <c r="K509" s="874"/>
      <c r="L509" s="874"/>
      <c r="M509" s="874"/>
    </row>
    <row r="510" spans="1:13">
      <c r="A510" s="874"/>
      <c r="B510" s="875"/>
      <c r="C510" s="874"/>
      <c r="D510" s="874"/>
      <c r="E510" s="874"/>
      <c r="F510" s="874"/>
      <c r="G510" s="874"/>
      <c r="H510" s="874"/>
      <c r="I510" s="874"/>
      <c r="J510" s="874"/>
      <c r="K510" s="874"/>
      <c r="L510" s="874"/>
      <c r="M510" s="874"/>
    </row>
    <row r="511" spans="1:13">
      <c r="A511" s="874"/>
      <c r="B511" s="875"/>
      <c r="C511" s="874"/>
      <c r="D511" s="874"/>
      <c r="E511" s="874"/>
      <c r="F511" s="874"/>
      <c r="G511" s="874"/>
      <c r="H511" s="874"/>
      <c r="I511" s="874"/>
      <c r="J511" s="874"/>
      <c r="K511" s="874"/>
      <c r="L511" s="874"/>
      <c r="M511" s="874"/>
    </row>
    <row r="512" spans="1:13">
      <c r="A512" s="874"/>
      <c r="B512" s="875"/>
      <c r="C512" s="874"/>
      <c r="D512" s="874"/>
      <c r="E512" s="874"/>
      <c r="F512" s="874"/>
      <c r="G512" s="874"/>
      <c r="H512" s="874"/>
      <c r="I512" s="874"/>
      <c r="J512" s="874"/>
      <c r="K512" s="874"/>
      <c r="L512" s="874"/>
      <c r="M512" s="874"/>
    </row>
    <row r="513" spans="1:13">
      <c r="A513" s="874"/>
      <c r="B513" s="875"/>
      <c r="C513" s="874"/>
      <c r="D513" s="874"/>
      <c r="E513" s="874"/>
      <c r="F513" s="874"/>
      <c r="G513" s="874"/>
      <c r="H513" s="874"/>
      <c r="I513" s="874"/>
      <c r="J513" s="874"/>
      <c r="K513" s="874"/>
      <c r="L513" s="874"/>
      <c r="M513" s="874"/>
    </row>
    <row r="514" spans="1:13">
      <c r="A514" s="874"/>
      <c r="B514" s="875"/>
      <c r="C514" s="874"/>
      <c r="D514" s="874"/>
      <c r="E514" s="874"/>
      <c r="F514" s="874"/>
      <c r="G514" s="874"/>
      <c r="H514" s="874"/>
      <c r="I514" s="874"/>
      <c r="J514" s="874"/>
      <c r="K514" s="874"/>
      <c r="L514" s="874"/>
      <c r="M514" s="874"/>
    </row>
    <row r="515" spans="1:13">
      <c r="A515" s="874"/>
      <c r="B515" s="875"/>
      <c r="C515" s="874"/>
      <c r="D515" s="874"/>
      <c r="E515" s="874"/>
      <c r="F515" s="874"/>
      <c r="G515" s="874"/>
      <c r="H515" s="874"/>
      <c r="I515" s="874"/>
      <c r="J515" s="874"/>
      <c r="K515" s="874"/>
      <c r="L515" s="874"/>
      <c r="M515" s="874"/>
    </row>
    <row r="516" spans="1:13">
      <c r="A516" s="874"/>
      <c r="B516" s="875"/>
      <c r="C516" s="874"/>
      <c r="D516" s="874"/>
      <c r="E516" s="874"/>
      <c r="F516" s="874"/>
      <c r="G516" s="874"/>
      <c r="H516" s="874"/>
      <c r="I516" s="874"/>
      <c r="J516" s="874"/>
      <c r="K516" s="874"/>
      <c r="L516" s="874"/>
      <c r="M516" s="874"/>
    </row>
    <row r="517" spans="1:13">
      <c r="A517" s="874"/>
      <c r="B517" s="875"/>
      <c r="C517" s="874"/>
      <c r="D517" s="874"/>
      <c r="E517" s="874"/>
      <c r="F517" s="874"/>
      <c r="G517" s="874"/>
      <c r="H517" s="874"/>
      <c r="I517" s="874"/>
      <c r="J517" s="874"/>
      <c r="K517" s="874"/>
      <c r="L517" s="874"/>
      <c r="M517" s="874"/>
    </row>
    <row r="518" spans="1:13">
      <c r="A518" s="874"/>
      <c r="B518" s="875"/>
      <c r="C518" s="874"/>
      <c r="D518" s="874"/>
      <c r="E518" s="874"/>
      <c r="F518" s="874"/>
      <c r="G518" s="874"/>
      <c r="H518" s="874"/>
      <c r="I518" s="874"/>
      <c r="J518" s="874"/>
      <c r="K518" s="874"/>
      <c r="L518" s="874"/>
      <c r="M518" s="874"/>
    </row>
    <row r="519" spans="1:13">
      <c r="A519" s="874"/>
      <c r="B519" s="875"/>
      <c r="C519" s="874"/>
      <c r="D519" s="874"/>
      <c r="E519" s="874"/>
      <c r="F519" s="874"/>
      <c r="G519" s="874"/>
      <c r="H519" s="874"/>
      <c r="I519" s="874"/>
      <c r="J519" s="874"/>
      <c r="K519" s="874"/>
      <c r="L519" s="874"/>
      <c r="M519" s="874"/>
    </row>
    <row r="520" spans="1:13">
      <c r="A520" s="874"/>
      <c r="B520" s="875"/>
      <c r="C520" s="874"/>
      <c r="D520" s="874"/>
      <c r="E520" s="874"/>
      <c r="F520" s="874"/>
      <c r="G520" s="874"/>
      <c r="H520" s="874"/>
      <c r="I520" s="874"/>
      <c r="J520" s="874"/>
      <c r="K520" s="874"/>
      <c r="L520" s="874"/>
      <c r="M520" s="874"/>
    </row>
    <row r="521" spans="1:13">
      <c r="A521" s="874"/>
      <c r="B521" s="875"/>
      <c r="C521" s="874"/>
      <c r="D521" s="874"/>
      <c r="E521" s="874"/>
      <c r="F521" s="874"/>
      <c r="G521" s="874"/>
      <c r="H521" s="874"/>
      <c r="I521" s="874"/>
      <c r="J521" s="874"/>
      <c r="K521" s="874"/>
      <c r="L521" s="874"/>
      <c r="M521" s="874"/>
    </row>
    <row r="522" spans="1:13">
      <c r="A522" s="874"/>
      <c r="B522" s="875"/>
      <c r="C522" s="874"/>
      <c r="D522" s="874"/>
      <c r="E522" s="874"/>
      <c r="F522" s="874"/>
      <c r="G522" s="874"/>
      <c r="H522" s="874"/>
      <c r="I522" s="874"/>
      <c r="J522" s="874"/>
      <c r="K522" s="874"/>
      <c r="L522" s="874"/>
      <c r="M522" s="874"/>
    </row>
    <row r="523" spans="1:13">
      <c r="A523" s="874"/>
      <c r="B523" s="875"/>
      <c r="C523" s="874"/>
      <c r="D523" s="874"/>
      <c r="E523" s="874"/>
      <c r="F523" s="874"/>
      <c r="G523" s="874"/>
      <c r="H523" s="874"/>
      <c r="I523" s="874"/>
      <c r="J523" s="874"/>
      <c r="K523" s="874"/>
      <c r="L523" s="874"/>
      <c r="M523" s="874"/>
    </row>
    <row r="524" spans="1:13">
      <c r="A524" s="874"/>
      <c r="B524" s="875"/>
      <c r="C524" s="874"/>
      <c r="D524" s="874"/>
      <c r="E524" s="874"/>
      <c r="F524" s="874"/>
      <c r="G524" s="874"/>
      <c r="H524" s="874"/>
      <c r="I524" s="874"/>
      <c r="J524" s="874"/>
      <c r="K524" s="874"/>
      <c r="L524" s="874"/>
      <c r="M524" s="874"/>
    </row>
    <row r="525" spans="1:13">
      <c r="A525" s="874"/>
      <c r="B525" s="875"/>
      <c r="C525" s="874"/>
      <c r="D525" s="874"/>
      <c r="E525" s="874"/>
      <c r="F525" s="874"/>
      <c r="G525" s="874"/>
      <c r="H525" s="874"/>
      <c r="I525" s="874"/>
      <c r="J525" s="874"/>
      <c r="K525" s="874"/>
      <c r="L525" s="874"/>
      <c r="M525" s="874"/>
    </row>
    <row r="526" spans="1:13">
      <c r="A526" s="874"/>
      <c r="B526" s="875"/>
      <c r="C526" s="874"/>
      <c r="D526" s="874"/>
      <c r="E526" s="874"/>
      <c r="F526" s="874"/>
      <c r="G526" s="874"/>
      <c r="H526" s="874"/>
      <c r="I526" s="874"/>
      <c r="J526" s="874"/>
      <c r="K526" s="874"/>
      <c r="L526" s="874"/>
      <c r="M526" s="874"/>
    </row>
    <row r="527" spans="1:13">
      <c r="A527" s="874"/>
      <c r="B527" s="875"/>
      <c r="C527" s="874"/>
      <c r="D527" s="874"/>
      <c r="E527" s="874"/>
      <c r="F527" s="874"/>
      <c r="G527" s="874"/>
      <c r="H527" s="874"/>
      <c r="I527" s="874"/>
      <c r="J527" s="874"/>
      <c r="K527" s="874"/>
      <c r="L527" s="874"/>
      <c r="M527" s="874"/>
    </row>
    <row r="528" spans="1:13">
      <c r="A528" s="874"/>
      <c r="B528" s="875"/>
      <c r="C528" s="874"/>
      <c r="D528" s="874"/>
      <c r="E528" s="874"/>
      <c r="F528" s="874"/>
      <c r="G528" s="874"/>
      <c r="H528" s="874"/>
      <c r="I528" s="874"/>
      <c r="J528" s="874"/>
      <c r="K528" s="874"/>
      <c r="L528" s="874"/>
      <c r="M528" s="874"/>
    </row>
    <row r="529" spans="1:13">
      <c r="A529" s="874"/>
      <c r="B529" s="875"/>
      <c r="C529" s="874"/>
      <c r="D529" s="874"/>
      <c r="E529" s="874"/>
      <c r="F529" s="874"/>
      <c r="G529" s="874"/>
      <c r="H529" s="874"/>
      <c r="I529" s="874"/>
      <c r="J529" s="874"/>
      <c r="K529" s="874"/>
      <c r="L529" s="874"/>
      <c r="M529" s="874"/>
    </row>
    <row r="530" spans="1:13">
      <c r="A530" s="874"/>
      <c r="B530" s="875"/>
      <c r="C530" s="874"/>
      <c r="D530" s="874"/>
      <c r="E530" s="874"/>
      <c r="F530" s="874"/>
      <c r="G530" s="874"/>
      <c r="H530" s="874"/>
      <c r="I530" s="874"/>
      <c r="J530" s="874"/>
      <c r="K530" s="874"/>
      <c r="L530" s="874"/>
      <c r="M530" s="874"/>
    </row>
    <row r="531" spans="1:13">
      <c r="A531" s="874"/>
      <c r="B531" s="875"/>
      <c r="C531" s="874"/>
      <c r="D531" s="874"/>
      <c r="E531" s="874"/>
      <c r="F531" s="874"/>
      <c r="G531" s="874"/>
      <c r="H531" s="874"/>
      <c r="I531" s="874"/>
      <c r="J531" s="874"/>
      <c r="K531" s="874"/>
      <c r="L531" s="874"/>
      <c r="M531" s="874"/>
    </row>
    <row r="532" spans="1:13">
      <c r="A532" s="874"/>
      <c r="B532" s="875"/>
      <c r="C532" s="874"/>
      <c r="D532" s="874"/>
      <c r="E532" s="874"/>
      <c r="F532" s="874"/>
      <c r="G532" s="874"/>
      <c r="H532" s="874"/>
      <c r="I532" s="874"/>
      <c r="J532" s="874"/>
      <c r="K532" s="874"/>
      <c r="L532" s="874"/>
      <c r="M532" s="874"/>
    </row>
    <row r="533" spans="1:13">
      <c r="A533" s="874"/>
      <c r="B533" s="875"/>
      <c r="C533" s="874"/>
      <c r="D533" s="874"/>
      <c r="E533" s="874"/>
      <c r="F533" s="874"/>
      <c r="G533" s="874"/>
      <c r="H533" s="874"/>
      <c r="I533" s="874"/>
      <c r="J533" s="874"/>
      <c r="K533" s="874"/>
      <c r="L533" s="874"/>
      <c r="M533" s="874"/>
    </row>
    <row r="534" spans="1:13">
      <c r="A534" s="874"/>
      <c r="B534" s="875"/>
      <c r="C534" s="874"/>
      <c r="D534" s="874"/>
      <c r="E534" s="874"/>
      <c r="F534" s="874"/>
      <c r="G534" s="874"/>
      <c r="H534" s="874"/>
      <c r="I534" s="874"/>
      <c r="J534" s="874"/>
      <c r="K534" s="874"/>
      <c r="L534" s="874"/>
      <c r="M534" s="874"/>
    </row>
    <row r="535" spans="1:13">
      <c r="A535" s="874"/>
      <c r="B535" s="875"/>
      <c r="C535" s="874"/>
      <c r="D535" s="874"/>
      <c r="E535" s="874"/>
      <c r="F535" s="874"/>
      <c r="G535" s="874"/>
      <c r="H535" s="874"/>
      <c r="I535" s="874"/>
      <c r="J535" s="874"/>
      <c r="K535" s="874"/>
      <c r="L535" s="874"/>
      <c r="M535" s="874"/>
    </row>
    <row r="536" spans="1:13">
      <c r="A536" s="874"/>
      <c r="B536" s="875"/>
      <c r="C536" s="874"/>
      <c r="D536" s="874"/>
      <c r="E536" s="874"/>
      <c r="F536" s="874"/>
      <c r="G536" s="874"/>
      <c r="H536" s="874"/>
      <c r="I536" s="874"/>
      <c r="J536" s="874"/>
      <c r="K536" s="874"/>
      <c r="L536" s="874"/>
      <c r="M536" s="874"/>
    </row>
    <row r="537" spans="1:13">
      <c r="A537" s="874"/>
      <c r="B537" s="875"/>
      <c r="C537" s="874"/>
      <c r="D537" s="874"/>
      <c r="E537" s="874"/>
      <c r="F537" s="874"/>
      <c r="G537" s="874"/>
      <c r="H537" s="874"/>
      <c r="I537" s="874"/>
      <c r="J537" s="874"/>
      <c r="K537" s="874"/>
      <c r="L537" s="874"/>
      <c r="M537" s="874"/>
    </row>
    <row r="538" spans="1:13">
      <c r="A538" s="874"/>
      <c r="B538" s="875"/>
      <c r="C538" s="874"/>
      <c r="D538" s="874"/>
      <c r="E538" s="874"/>
      <c r="F538" s="874"/>
      <c r="G538" s="874"/>
      <c r="H538" s="874"/>
      <c r="I538" s="874"/>
      <c r="J538" s="874"/>
      <c r="K538" s="874"/>
      <c r="L538" s="874"/>
      <c r="M538" s="874"/>
    </row>
    <row r="539" spans="1:13">
      <c r="A539" s="874"/>
      <c r="B539" s="875"/>
      <c r="C539" s="874"/>
      <c r="D539" s="874"/>
      <c r="E539" s="874"/>
      <c r="F539" s="874"/>
      <c r="G539" s="874"/>
      <c r="H539" s="874"/>
      <c r="I539" s="874"/>
      <c r="J539" s="874"/>
      <c r="K539" s="874"/>
      <c r="L539" s="874"/>
      <c r="M539" s="874"/>
    </row>
    <row r="540" spans="1:13">
      <c r="A540" s="874"/>
      <c r="B540" s="875"/>
      <c r="C540" s="874"/>
      <c r="D540" s="874"/>
      <c r="E540" s="874"/>
      <c r="F540" s="874"/>
      <c r="G540" s="874"/>
      <c r="H540" s="874"/>
      <c r="I540" s="874"/>
      <c r="J540" s="874"/>
      <c r="K540" s="874"/>
      <c r="L540" s="874"/>
      <c r="M540" s="874"/>
    </row>
    <row r="541" spans="1:13">
      <c r="A541" s="874"/>
      <c r="B541" s="875"/>
      <c r="C541" s="874"/>
      <c r="D541" s="874"/>
      <c r="E541" s="874"/>
      <c r="F541" s="874"/>
      <c r="G541" s="874"/>
      <c r="H541" s="874"/>
      <c r="I541" s="874"/>
      <c r="J541" s="874"/>
      <c r="K541" s="874"/>
      <c r="L541" s="874"/>
      <c r="M541" s="874"/>
    </row>
    <row r="542" spans="1:13">
      <c r="A542" s="874"/>
      <c r="B542" s="875"/>
      <c r="C542" s="874"/>
      <c r="D542" s="874"/>
      <c r="E542" s="874"/>
      <c r="F542" s="874"/>
      <c r="G542" s="874"/>
      <c r="H542" s="874"/>
      <c r="I542" s="874"/>
      <c r="J542" s="874"/>
      <c r="K542" s="874"/>
      <c r="L542" s="874"/>
      <c r="M542" s="874"/>
    </row>
    <row r="543" spans="1:13">
      <c r="A543" s="874"/>
      <c r="B543" s="875"/>
      <c r="C543" s="874"/>
      <c r="D543" s="874"/>
      <c r="E543" s="874"/>
      <c r="F543" s="874"/>
      <c r="G543" s="874"/>
      <c r="H543" s="874"/>
      <c r="I543" s="874"/>
      <c r="J543" s="874"/>
      <c r="K543" s="874"/>
      <c r="L543" s="874"/>
      <c r="M543" s="874"/>
    </row>
    <row r="544" spans="1:13">
      <c r="A544" s="874"/>
      <c r="B544" s="875"/>
      <c r="C544" s="874"/>
      <c r="D544" s="874"/>
      <c r="E544" s="874"/>
      <c r="F544" s="874"/>
      <c r="G544" s="874"/>
      <c r="H544" s="874"/>
      <c r="I544" s="874"/>
      <c r="J544" s="874"/>
      <c r="K544" s="874"/>
      <c r="L544" s="874"/>
      <c r="M544" s="874"/>
    </row>
    <row r="545" spans="1:13">
      <c r="A545" s="874"/>
      <c r="B545" s="875"/>
      <c r="C545" s="874"/>
      <c r="D545" s="874"/>
      <c r="E545" s="874"/>
      <c r="F545" s="874"/>
      <c r="G545" s="874"/>
      <c r="H545" s="874"/>
      <c r="I545" s="874"/>
      <c r="J545" s="874"/>
      <c r="K545" s="874"/>
      <c r="L545" s="874"/>
      <c r="M545" s="874"/>
    </row>
    <row r="546" spans="1:13">
      <c r="A546" s="874"/>
      <c r="B546" s="875"/>
      <c r="C546" s="874"/>
      <c r="D546" s="874"/>
      <c r="E546" s="874"/>
      <c r="F546" s="874"/>
      <c r="G546" s="874"/>
      <c r="H546" s="874"/>
      <c r="I546" s="874"/>
      <c r="J546" s="874"/>
      <c r="K546" s="874"/>
      <c r="L546" s="874"/>
      <c r="M546" s="874"/>
    </row>
    <row r="547" spans="1:13">
      <c r="A547" s="874"/>
      <c r="B547" s="875"/>
      <c r="C547" s="874"/>
      <c r="D547" s="874"/>
      <c r="E547" s="874"/>
      <c r="F547" s="874"/>
      <c r="G547" s="874"/>
      <c r="H547" s="874"/>
      <c r="I547" s="874"/>
      <c r="J547" s="874"/>
      <c r="K547" s="874"/>
      <c r="L547" s="874"/>
      <c r="M547" s="874"/>
    </row>
    <row r="548" spans="1:13">
      <c r="A548" s="874"/>
      <c r="B548" s="875"/>
      <c r="C548" s="874"/>
      <c r="D548" s="874"/>
      <c r="E548" s="874"/>
      <c r="F548" s="874"/>
      <c r="G548" s="874"/>
      <c r="H548" s="874"/>
      <c r="I548" s="874"/>
      <c r="J548" s="874"/>
      <c r="K548" s="874"/>
      <c r="L548" s="874"/>
      <c r="M548" s="874"/>
    </row>
    <row r="549" spans="1:13">
      <c r="A549" s="874"/>
      <c r="B549" s="875"/>
      <c r="C549" s="874"/>
      <c r="D549" s="874"/>
      <c r="E549" s="874"/>
      <c r="F549" s="874"/>
      <c r="G549" s="874"/>
      <c r="H549" s="874"/>
      <c r="I549" s="874"/>
      <c r="J549" s="874"/>
      <c r="K549" s="874"/>
      <c r="L549" s="874"/>
      <c r="M549" s="874"/>
    </row>
    <row r="550" spans="1:13">
      <c r="A550" s="874"/>
      <c r="B550" s="875"/>
      <c r="C550" s="874"/>
      <c r="D550" s="874"/>
      <c r="E550" s="874"/>
      <c r="F550" s="874"/>
      <c r="G550" s="874"/>
      <c r="H550" s="874"/>
      <c r="I550" s="874"/>
      <c r="J550" s="874"/>
      <c r="K550" s="874"/>
      <c r="L550" s="874"/>
      <c r="M550" s="874"/>
    </row>
    <row r="551" spans="1:13">
      <c r="A551" s="874"/>
      <c r="B551" s="875"/>
      <c r="C551" s="874"/>
      <c r="D551" s="874"/>
      <c r="E551" s="874"/>
      <c r="F551" s="874"/>
      <c r="G551" s="874"/>
      <c r="H551" s="874"/>
      <c r="I551" s="874"/>
      <c r="J551" s="874"/>
      <c r="K551" s="874"/>
      <c r="L551" s="874"/>
      <c r="M551" s="874"/>
    </row>
    <row r="552" spans="1:13">
      <c r="A552" s="874"/>
      <c r="B552" s="875"/>
      <c r="C552" s="874"/>
      <c r="D552" s="874"/>
      <c r="E552" s="874"/>
      <c r="F552" s="874"/>
      <c r="G552" s="874"/>
      <c r="H552" s="874"/>
      <c r="I552" s="874"/>
      <c r="J552" s="874"/>
      <c r="K552" s="874"/>
      <c r="L552" s="874"/>
      <c r="M552" s="874"/>
    </row>
    <row r="553" spans="1:13">
      <c r="A553" s="874"/>
      <c r="B553" s="875"/>
      <c r="C553" s="874"/>
      <c r="D553" s="874"/>
      <c r="E553" s="874"/>
      <c r="F553" s="874"/>
      <c r="G553" s="874"/>
      <c r="H553" s="874"/>
      <c r="I553" s="874"/>
      <c r="J553" s="874"/>
      <c r="K553" s="874"/>
      <c r="L553" s="874"/>
      <c r="M553" s="874"/>
    </row>
    <row r="554" spans="1:13">
      <c r="A554" s="874"/>
      <c r="B554" s="875"/>
      <c r="C554" s="874"/>
      <c r="D554" s="874"/>
      <c r="E554" s="874"/>
      <c r="F554" s="874"/>
      <c r="G554" s="874"/>
      <c r="H554" s="874"/>
      <c r="I554" s="874"/>
      <c r="J554" s="874"/>
      <c r="K554" s="874"/>
      <c r="L554" s="874"/>
      <c r="M554" s="874"/>
    </row>
    <row r="555" spans="1:13">
      <c r="A555" s="874"/>
      <c r="B555" s="875"/>
      <c r="C555" s="874"/>
      <c r="D555" s="874"/>
      <c r="E555" s="874"/>
      <c r="F555" s="874"/>
      <c r="G555" s="874"/>
      <c r="H555" s="874"/>
      <c r="I555" s="874"/>
      <c r="J555" s="874"/>
      <c r="K555" s="874"/>
      <c r="L555" s="874"/>
      <c r="M555" s="874"/>
    </row>
    <row r="556" spans="1:13">
      <c r="A556" s="874"/>
      <c r="B556" s="875"/>
      <c r="C556" s="874"/>
      <c r="D556" s="874"/>
      <c r="E556" s="874"/>
      <c r="F556" s="874"/>
      <c r="G556" s="874"/>
      <c r="H556" s="874"/>
      <c r="I556" s="874"/>
      <c r="J556" s="874"/>
      <c r="K556" s="874"/>
      <c r="L556" s="874"/>
      <c r="M556" s="874"/>
    </row>
    <row r="557" spans="1:13">
      <c r="A557" s="874"/>
      <c r="B557" s="875"/>
      <c r="C557" s="874"/>
      <c r="D557" s="874"/>
      <c r="E557" s="874"/>
      <c r="F557" s="874"/>
      <c r="G557" s="874"/>
      <c r="H557" s="874"/>
      <c r="I557" s="874"/>
      <c r="J557" s="874"/>
      <c r="K557" s="874"/>
      <c r="L557" s="874"/>
      <c r="M557" s="874"/>
    </row>
    <row r="558" spans="1:13">
      <c r="A558" s="874"/>
      <c r="B558" s="875"/>
      <c r="C558" s="874"/>
      <c r="D558" s="874"/>
      <c r="E558" s="874"/>
      <c r="F558" s="874"/>
      <c r="G558" s="874"/>
      <c r="H558" s="874"/>
      <c r="I558" s="874"/>
      <c r="J558" s="874"/>
      <c r="K558" s="874"/>
      <c r="L558" s="874"/>
      <c r="M558" s="874"/>
    </row>
    <row r="559" spans="1:13">
      <c r="A559" s="874"/>
      <c r="B559" s="875"/>
      <c r="C559" s="874"/>
      <c r="D559" s="874"/>
      <c r="E559" s="874"/>
      <c r="F559" s="874"/>
      <c r="G559" s="874"/>
      <c r="H559" s="874"/>
      <c r="I559" s="874"/>
      <c r="J559" s="874"/>
      <c r="K559" s="874"/>
      <c r="L559" s="874"/>
      <c r="M559" s="874"/>
    </row>
    <row r="560" spans="1:13">
      <c r="A560" s="874"/>
      <c r="B560" s="875"/>
      <c r="C560" s="874"/>
      <c r="D560" s="874"/>
      <c r="E560" s="874"/>
      <c r="F560" s="874"/>
      <c r="G560" s="874"/>
      <c r="H560" s="874"/>
      <c r="I560" s="874"/>
      <c r="J560" s="874"/>
      <c r="K560" s="874"/>
      <c r="L560" s="874"/>
      <c r="M560" s="874"/>
    </row>
    <row r="561" spans="1:13">
      <c r="A561" s="874"/>
      <c r="B561" s="875"/>
      <c r="C561" s="874"/>
      <c r="D561" s="874"/>
      <c r="E561" s="874"/>
      <c r="F561" s="874"/>
      <c r="G561" s="874"/>
      <c r="H561" s="874"/>
      <c r="I561" s="874"/>
      <c r="J561" s="874"/>
      <c r="K561" s="874"/>
      <c r="L561" s="874"/>
      <c r="M561" s="874"/>
    </row>
    <row r="562" spans="1:13">
      <c r="A562" s="874"/>
      <c r="B562" s="875"/>
      <c r="C562" s="874"/>
      <c r="D562" s="874"/>
      <c r="E562" s="874"/>
      <c r="F562" s="874"/>
      <c r="G562" s="874"/>
      <c r="H562" s="874"/>
      <c r="I562" s="874"/>
      <c r="J562" s="874"/>
      <c r="K562" s="874"/>
      <c r="L562" s="874"/>
      <c r="M562" s="874"/>
    </row>
    <row r="563" spans="1:13">
      <c r="A563" s="874"/>
      <c r="B563" s="875"/>
      <c r="C563" s="874"/>
      <c r="D563" s="874"/>
      <c r="E563" s="874"/>
      <c r="F563" s="874"/>
      <c r="G563" s="874"/>
      <c r="H563" s="874"/>
      <c r="I563" s="874"/>
      <c r="J563" s="874"/>
      <c r="K563" s="874"/>
      <c r="L563" s="874"/>
      <c r="M563" s="874"/>
    </row>
    <row r="564" spans="1:13">
      <c r="A564" s="874"/>
      <c r="B564" s="875"/>
      <c r="C564" s="874"/>
      <c r="D564" s="874"/>
      <c r="E564" s="874"/>
      <c r="F564" s="874"/>
      <c r="G564" s="874"/>
      <c r="H564" s="874"/>
      <c r="I564" s="874"/>
      <c r="J564" s="874"/>
      <c r="K564" s="874"/>
      <c r="L564" s="874"/>
      <c r="M564" s="874"/>
    </row>
    <row r="565" spans="1:13">
      <c r="A565" s="874"/>
      <c r="B565" s="875"/>
      <c r="C565" s="874"/>
      <c r="D565" s="874"/>
      <c r="E565" s="874"/>
      <c r="F565" s="874"/>
      <c r="G565" s="874"/>
      <c r="H565" s="874"/>
      <c r="I565" s="874"/>
      <c r="J565" s="874"/>
      <c r="K565" s="874"/>
      <c r="L565" s="874"/>
      <c r="M565" s="874"/>
    </row>
    <row r="566" spans="1:13">
      <c r="A566" s="874"/>
      <c r="B566" s="875"/>
      <c r="C566" s="874"/>
      <c r="D566" s="874"/>
      <c r="E566" s="874"/>
      <c r="F566" s="874"/>
      <c r="G566" s="874"/>
      <c r="H566" s="874"/>
      <c r="I566" s="874"/>
      <c r="J566" s="874"/>
      <c r="K566" s="874"/>
      <c r="L566" s="874"/>
      <c r="M566" s="874"/>
    </row>
    <row r="567" spans="1:13">
      <c r="A567" s="874"/>
      <c r="B567" s="875"/>
      <c r="C567" s="874"/>
      <c r="D567" s="874"/>
      <c r="E567" s="874"/>
      <c r="F567" s="874"/>
      <c r="G567" s="874"/>
      <c r="H567" s="874"/>
      <c r="I567" s="874"/>
      <c r="J567" s="874"/>
      <c r="K567" s="874"/>
      <c r="L567" s="874"/>
      <c r="M567" s="874"/>
    </row>
    <row r="568" spans="1:13">
      <c r="A568" s="874"/>
      <c r="B568" s="875"/>
      <c r="C568" s="874"/>
      <c r="D568" s="874"/>
      <c r="E568" s="874"/>
      <c r="F568" s="874"/>
      <c r="G568" s="874"/>
      <c r="H568" s="874"/>
      <c r="I568" s="874"/>
      <c r="J568" s="874"/>
      <c r="K568" s="874"/>
      <c r="L568" s="874"/>
      <c r="M568" s="874"/>
    </row>
    <row r="569" spans="1:13">
      <c r="A569" s="874"/>
      <c r="B569" s="875"/>
      <c r="C569" s="874"/>
      <c r="D569" s="874"/>
      <c r="E569" s="874"/>
      <c r="F569" s="874"/>
      <c r="G569" s="874"/>
      <c r="H569" s="874"/>
      <c r="I569" s="874"/>
      <c r="J569" s="874"/>
      <c r="K569" s="874"/>
      <c r="L569" s="874"/>
      <c r="M569" s="874"/>
    </row>
    <row r="570" spans="1:13">
      <c r="A570" s="874"/>
      <c r="B570" s="875"/>
      <c r="C570" s="874"/>
      <c r="D570" s="874"/>
      <c r="E570" s="874"/>
      <c r="F570" s="874"/>
      <c r="G570" s="874"/>
      <c r="H570" s="874"/>
      <c r="I570" s="874"/>
      <c r="J570" s="874"/>
      <c r="K570" s="874"/>
      <c r="L570" s="874"/>
      <c r="M570" s="874"/>
    </row>
    <row r="571" spans="1:13">
      <c r="A571" s="874"/>
      <c r="B571" s="875"/>
      <c r="C571" s="874"/>
      <c r="D571" s="874"/>
      <c r="E571" s="874"/>
      <c r="F571" s="874"/>
      <c r="G571" s="874"/>
      <c r="H571" s="874"/>
      <c r="I571" s="874"/>
      <c r="J571" s="874"/>
      <c r="K571" s="874"/>
      <c r="L571" s="874"/>
      <c r="M571" s="874"/>
    </row>
    <row r="572" spans="1:13">
      <c r="A572" s="874"/>
      <c r="B572" s="875"/>
      <c r="C572" s="874"/>
      <c r="D572" s="874"/>
      <c r="E572" s="874"/>
      <c r="F572" s="874"/>
      <c r="G572" s="874"/>
      <c r="H572" s="874"/>
      <c r="I572" s="874"/>
      <c r="J572" s="874"/>
      <c r="K572" s="874"/>
      <c r="L572" s="874"/>
      <c r="M572" s="874"/>
    </row>
    <row r="573" spans="1:13">
      <c r="A573" s="874"/>
      <c r="B573" s="875"/>
      <c r="C573" s="874"/>
      <c r="D573" s="874"/>
      <c r="E573" s="874"/>
      <c r="F573" s="874"/>
      <c r="G573" s="874"/>
      <c r="H573" s="874"/>
      <c r="I573" s="874"/>
      <c r="J573" s="874"/>
      <c r="K573" s="874"/>
      <c r="L573" s="874"/>
      <c r="M573" s="874"/>
    </row>
    <row r="574" spans="1:13">
      <c r="A574" s="874"/>
      <c r="B574" s="875"/>
      <c r="C574" s="874"/>
      <c r="D574" s="874"/>
      <c r="E574" s="874"/>
      <c r="F574" s="874"/>
      <c r="G574" s="874"/>
      <c r="H574" s="874"/>
      <c r="I574" s="874"/>
      <c r="J574" s="874"/>
      <c r="K574" s="874"/>
      <c r="L574" s="874"/>
      <c r="M574" s="874"/>
    </row>
    <row r="575" spans="1:13">
      <c r="A575" s="874"/>
      <c r="B575" s="875"/>
      <c r="C575" s="874"/>
      <c r="D575" s="874"/>
      <c r="E575" s="874"/>
      <c r="F575" s="874"/>
      <c r="G575" s="874"/>
      <c r="H575" s="874"/>
      <c r="I575" s="874"/>
      <c r="J575" s="874"/>
      <c r="K575" s="874"/>
      <c r="L575" s="874"/>
      <c r="M575" s="874"/>
    </row>
    <row r="576" spans="1:13">
      <c r="A576" s="874"/>
      <c r="B576" s="875"/>
      <c r="C576" s="874"/>
      <c r="D576" s="874"/>
      <c r="E576" s="874"/>
      <c r="F576" s="874"/>
      <c r="G576" s="874"/>
      <c r="H576" s="874"/>
      <c r="I576" s="874"/>
      <c r="J576" s="874"/>
      <c r="K576" s="874"/>
      <c r="L576" s="874"/>
      <c r="M576" s="874"/>
    </row>
    <row r="577" spans="1:13">
      <c r="A577" s="874"/>
      <c r="B577" s="875"/>
      <c r="C577" s="874"/>
      <c r="D577" s="874"/>
      <c r="E577" s="874"/>
      <c r="F577" s="874"/>
      <c r="G577" s="874"/>
      <c r="H577" s="874"/>
      <c r="I577" s="874"/>
      <c r="J577" s="874"/>
      <c r="K577" s="874"/>
      <c r="L577" s="874"/>
      <c r="M577" s="874"/>
    </row>
    <row r="578" spans="1:13">
      <c r="A578" s="874"/>
      <c r="B578" s="875"/>
      <c r="C578" s="874"/>
      <c r="D578" s="874"/>
      <c r="E578" s="874"/>
      <c r="F578" s="874"/>
      <c r="G578" s="874"/>
      <c r="H578" s="874"/>
      <c r="I578" s="874"/>
      <c r="J578" s="874"/>
      <c r="K578" s="874"/>
      <c r="L578" s="874"/>
      <c r="M578" s="874"/>
    </row>
    <row r="579" spans="1:13">
      <c r="A579" s="874"/>
      <c r="B579" s="875"/>
      <c r="C579" s="874"/>
      <c r="D579" s="874"/>
      <c r="E579" s="874"/>
      <c r="F579" s="874"/>
      <c r="G579" s="874"/>
      <c r="H579" s="874"/>
      <c r="I579" s="874"/>
      <c r="J579" s="874"/>
      <c r="K579" s="874"/>
      <c r="L579" s="874"/>
      <c r="M579" s="874"/>
    </row>
    <row r="580" spans="1:13">
      <c r="A580" s="874"/>
      <c r="B580" s="875"/>
      <c r="C580" s="874"/>
      <c r="D580" s="874"/>
      <c r="E580" s="874"/>
      <c r="F580" s="874"/>
      <c r="G580" s="874"/>
      <c r="H580" s="874"/>
      <c r="I580" s="874"/>
      <c r="J580" s="874"/>
      <c r="K580" s="874"/>
      <c r="L580" s="874"/>
      <c r="M580" s="874"/>
    </row>
    <row r="581" spans="1:13">
      <c r="A581" s="874"/>
      <c r="B581" s="875"/>
      <c r="C581" s="874"/>
      <c r="D581" s="874"/>
      <c r="E581" s="874"/>
      <c r="F581" s="874"/>
      <c r="G581" s="874"/>
      <c r="H581" s="874"/>
      <c r="I581" s="874"/>
      <c r="J581" s="874"/>
      <c r="K581" s="874"/>
      <c r="L581" s="874"/>
      <c r="M581" s="874"/>
    </row>
    <row r="582" spans="1:13">
      <c r="A582" s="874"/>
      <c r="B582" s="875"/>
      <c r="C582" s="874"/>
      <c r="D582" s="874"/>
      <c r="E582" s="874"/>
      <c r="F582" s="874"/>
      <c r="G582" s="874"/>
      <c r="H582" s="874"/>
      <c r="I582" s="874"/>
      <c r="J582" s="874"/>
      <c r="K582" s="874"/>
      <c r="L582" s="874"/>
      <c r="M582" s="874"/>
    </row>
    <row r="583" spans="1:13">
      <c r="A583" s="874"/>
      <c r="B583" s="875"/>
      <c r="C583" s="874"/>
      <c r="D583" s="874"/>
      <c r="E583" s="874"/>
      <c r="F583" s="874"/>
      <c r="G583" s="874"/>
      <c r="H583" s="874"/>
      <c r="I583" s="874"/>
      <c r="J583" s="874"/>
      <c r="K583" s="874"/>
      <c r="L583" s="874"/>
      <c r="M583" s="874"/>
    </row>
    <row r="584" spans="1:13">
      <c r="A584" s="874"/>
      <c r="B584" s="875"/>
      <c r="C584" s="874"/>
      <c r="D584" s="874"/>
      <c r="E584" s="874"/>
      <c r="F584" s="874"/>
      <c r="G584" s="874"/>
      <c r="H584" s="874"/>
      <c r="I584" s="874"/>
      <c r="J584" s="874"/>
      <c r="K584" s="874"/>
      <c r="L584" s="874"/>
      <c r="M584" s="874"/>
    </row>
    <row r="585" spans="1:13">
      <c r="A585" s="874"/>
      <c r="B585" s="875"/>
      <c r="C585" s="874"/>
      <c r="D585" s="874"/>
      <c r="E585" s="874"/>
      <c r="F585" s="874"/>
      <c r="G585" s="874"/>
      <c r="H585" s="874"/>
      <c r="I585" s="874"/>
      <c r="J585" s="874"/>
      <c r="K585" s="874"/>
      <c r="L585" s="874"/>
      <c r="M585" s="874"/>
    </row>
    <row r="586" spans="1:13">
      <c r="A586" s="874"/>
      <c r="B586" s="875"/>
      <c r="C586" s="874"/>
      <c r="D586" s="874"/>
      <c r="E586" s="874"/>
      <c r="F586" s="874"/>
      <c r="G586" s="874"/>
      <c r="H586" s="874"/>
      <c r="I586" s="874"/>
      <c r="J586" s="874"/>
      <c r="K586" s="874"/>
      <c r="L586" s="874"/>
      <c r="M586" s="874"/>
    </row>
    <row r="587" spans="1:13">
      <c r="A587" s="874"/>
      <c r="B587" s="875"/>
      <c r="C587" s="874"/>
      <c r="D587" s="874"/>
      <c r="E587" s="874"/>
      <c r="F587" s="874"/>
      <c r="G587" s="874"/>
      <c r="H587" s="874"/>
      <c r="I587" s="874"/>
      <c r="J587" s="874"/>
      <c r="K587" s="874"/>
      <c r="L587" s="874"/>
      <c r="M587" s="874"/>
    </row>
    <row r="588" spans="1:13">
      <c r="A588" s="874"/>
      <c r="B588" s="875"/>
      <c r="C588" s="874"/>
      <c r="D588" s="874"/>
      <c r="E588" s="874"/>
      <c r="F588" s="874"/>
      <c r="G588" s="874"/>
      <c r="H588" s="874"/>
      <c r="I588" s="874"/>
      <c r="J588" s="874"/>
      <c r="K588" s="874"/>
      <c r="L588" s="874"/>
      <c r="M588" s="874"/>
    </row>
    <row r="589" spans="1:13">
      <c r="A589" s="874"/>
      <c r="B589" s="875"/>
      <c r="C589" s="874"/>
      <c r="D589" s="874"/>
      <c r="E589" s="874"/>
      <c r="F589" s="874"/>
      <c r="G589" s="874"/>
      <c r="H589" s="874"/>
      <c r="I589" s="874"/>
      <c r="J589" s="874"/>
      <c r="K589" s="874"/>
      <c r="L589" s="874"/>
      <c r="M589" s="874"/>
    </row>
    <row r="590" spans="1:13">
      <c r="A590" s="874"/>
      <c r="B590" s="875"/>
      <c r="C590" s="874"/>
      <c r="D590" s="874"/>
      <c r="E590" s="874"/>
      <c r="F590" s="874"/>
      <c r="G590" s="874"/>
      <c r="H590" s="874"/>
      <c r="I590" s="874"/>
      <c r="J590" s="874"/>
      <c r="K590" s="874"/>
      <c r="L590" s="874"/>
      <c r="M590" s="874"/>
    </row>
    <row r="591" spans="1:13">
      <c r="A591" s="874"/>
      <c r="B591" s="875"/>
      <c r="C591" s="874"/>
      <c r="D591" s="874"/>
      <c r="E591" s="874"/>
      <c r="F591" s="874"/>
      <c r="G591" s="874"/>
      <c r="H591" s="874"/>
      <c r="I591" s="874"/>
      <c r="J591" s="874"/>
      <c r="K591" s="874"/>
      <c r="L591" s="874"/>
      <c r="M591" s="874"/>
    </row>
    <row r="592" spans="1:13">
      <c r="A592" s="874"/>
      <c r="B592" s="875"/>
      <c r="C592" s="874"/>
      <c r="D592" s="874"/>
      <c r="E592" s="874"/>
      <c r="F592" s="874"/>
      <c r="G592" s="874"/>
      <c r="H592" s="874"/>
      <c r="I592" s="874"/>
      <c r="J592" s="874"/>
      <c r="K592" s="874"/>
      <c r="L592" s="874"/>
      <c r="M592" s="874"/>
    </row>
    <row r="593" spans="1:13">
      <c r="A593" s="874"/>
      <c r="B593" s="875"/>
      <c r="C593" s="874"/>
      <c r="D593" s="874"/>
      <c r="E593" s="874"/>
      <c r="F593" s="874"/>
      <c r="G593" s="874"/>
      <c r="H593" s="874"/>
      <c r="I593" s="874"/>
      <c r="J593" s="874"/>
      <c r="K593" s="874"/>
      <c r="L593" s="874"/>
      <c r="M593" s="874"/>
    </row>
    <row r="594" spans="1:13">
      <c r="A594" s="874"/>
      <c r="B594" s="875"/>
      <c r="C594" s="874"/>
      <c r="D594" s="874"/>
      <c r="E594" s="874"/>
      <c r="F594" s="874"/>
      <c r="G594" s="874"/>
      <c r="H594" s="874"/>
      <c r="I594" s="874"/>
      <c r="J594" s="874"/>
      <c r="K594" s="874"/>
      <c r="L594" s="874"/>
      <c r="M594" s="874"/>
    </row>
    <row r="595" spans="1:13">
      <c r="A595" s="874"/>
      <c r="B595" s="875"/>
      <c r="C595" s="874"/>
      <c r="D595" s="874"/>
      <c r="E595" s="874"/>
      <c r="F595" s="874"/>
      <c r="G595" s="874"/>
      <c r="H595" s="874"/>
      <c r="I595" s="874"/>
      <c r="J595" s="874"/>
      <c r="K595" s="874"/>
      <c r="L595" s="874"/>
      <c r="M595" s="874"/>
    </row>
    <row r="596" spans="1:13">
      <c r="A596" s="874"/>
      <c r="B596" s="875"/>
      <c r="C596" s="874"/>
      <c r="D596" s="874"/>
      <c r="E596" s="874"/>
      <c r="F596" s="874"/>
      <c r="G596" s="874"/>
      <c r="H596" s="874"/>
      <c r="I596" s="874"/>
      <c r="J596" s="874"/>
      <c r="K596" s="874"/>
      <c r="L596" s="874"/>
      <c r="M596" s="874"/>
    </row>
    <row r="597" spans="1:13">
      <c r="A597" s="874"/>
      <c r="B597" s="875"/>
      <c r="C597" s="874"/>
      <c r="D597" s="874"/>
      <c r="E597" s="874"/>
      <c r="F597" s="874"/>
      <c r="G597" s="874"/>
      <c r="H597" s="874"/>
      <c r="I597" s="874"/>
      <c r="J597" s="874"/>
      <c r="K597" s="874"/>
      <c r="L597" s="874"/>
      <c r="M597" s="874"/>
    </row>
    <row r="598" spans="1:13">
      <c r="A598" s="874"/>
      <c r="B598" s="875"/>
      <c r="C598" s="874"/>
      <c r="D598" s="874"/>
      <c r="E598" s="874"/>
      <c r="F598" s="874"/>
      <c r="G598" s="874"/>
      <c r="H598" s="874"/>
      <c r="I598" s="874"/>
      <c r="J598" s="874"/>
      <c r="K598" s="874"/>
      <c r="L598" s="874"/>
      <c r="M598" s="874"/>
    </row>
    <row r="599" spans="1:13">
      <c r="A599" s="874"/>
      <c r="B599" s="875"/>
      <c r="C599" s="874"/>
      <c r="D599" s="874"/>
      <c r="E599" s="874"/>
      <c r="F599" s="874"/>
      <c r="G599" s="874"/>
      <c r="H599" s="874"/>
      <c r="I599" s="874"/>
      <c r="J599" s="874"/>
      <c r="K599" s="874"/>
      <c r="L599" s="874"/>
      <c r="M599" s="874"/>
    </row>
    <row r="600" spans="1:13">
      <c r="A600" s="874"/>
      <c r="B600" s="875"/>
      <c r="C600" s="874"/>
      <c r="D600" s="874"/>
      <c r="E600" s="874"/>
      <c r="F600" s="874"/>
      <c r="G600" s="874"/>
      <c r="H600" s="874"/>
      <c r="I600" s="874"/>
      <c r="J600" s="874"/>
      <c r="K600" s="874"/>
      <c r="L600" s="874"/>
      <c r="M600" s="874"/>
    </row>
    <row r="601" spans="1:13">
      <c r="A601" s="874"/>
      <c r="B601" s="875"/>
      <c r="C601" s="874"/>
      <c r="D601" s="874"/>
      <c r="E601" s="874"/>
      <c r="F601" s="874"/>
      <c r="G601" s="874"/>
      <c r="H601" s="874"/>
      <c r="I601" s="874"/>
      <c r="J601" s="874"/>
      <c r="K601" s="874"/>
      <c r="L601" s="874"/>
      <c r="M601" s="874"/>
    </row>
    <row r="602" spans="1:13">
      <c r="A602" s="874"/>
      <c r="B602" s="875"/>
      <c r="C602" s="874"/>
      <c r="D602" s="874"/>
      <c r="E602" s="874"/>
      <c r="F602" s="874"/>
      <c r="G602" s="874"/>
      <c r="H602" s="874"/>
      <c r="I602" s="874"/>
      <c r="J602" s="874"/>
      <c r="K602" s="874"/>
      <c r="L602" s="874"/>
      <c r="M602" s="874"/>
    </row>
    <row r="603" spans="1:13">
      <c r="A603" s="874"/>
      <c r="B603" s="875"/>
      <c r="C603" s="874"/>
      <c r="D603" s="874"/>
      <c r="E603" s="874"/>
      <c r="F603" s="874"/>
      <c r="G603" s="874"/>
      <c r="H603" s="874"/>
      <c r="I603" s="874"/>
      <c r="J603" s="874"/>
      <c r="K603" s="874"/>
      <c r="L603" s="874"/>
      <c r="M603" s="874"/>
    </row>
    <row r="604" spans="1:13">
      <c r="A604" s="874"/>
      <c r="B604" s="875"/>
      <c r="C604" s="874"/>
      <c r="D604" s="874"/>
      <c r="E604" s="874"/>
      <c r="F604" s="874"/>
      <c r="G604" s="874"/>
      <c r="H604" s="874"/>
      <c r="I604" s="874"/>
      <c r="J604" s="874"/>
      <c r="K604" s="874"/>
      <c r="L604" s="874"/>
      <c r="M604" s="874"/>
    </row>
    <row r="605" spans="1:13">
      <c r="A605" s="874"/>
      <c r="B605" s="875"/>
      <c r="C605" s="874"/>
      <c r="D605" s="874"/>
      <c r="E605" s="874"/>
      <c r="F605" s="874"/>
      <c r="G605" s="874"/>
      <c r="H605" s="874"/>
      <c r="I605" s="874"/>
      <c r="J605" s="874"/>
      <c r="K605" s="874"/>
      <c r="L605" s="874"/>
      <c r="M605" s="874"/>
    </row>
    <row r="606" spans="1:13">
      <c r="A606" s="874"/>
      <c r="B606" s="875"/>
      <c r="C606" s="874"/>
      <c r="D606" s="874"/>
      <c r="E606" s="874"/>
      <c r="F606" s="874"/>
      <c r="G606" s="874"/>
      <c r="H606" s="874"/>
      <c r="I606" s="874"/>
      <c r="J606" s="874"/>
      <c r="K606" s="874"/>
      <c r="L606" s="874"/>
      <c r="M606" s="874"/>
    </row>
    <row r="607" spans="1:13">
      <c r="A607" s="874"/>
      <c r="B607" s="875"/>
      <c r="C607" s="874"/>
      <c r="D607" s="874"/>
      <c r="E607" s="874"/>
      <c r="F607" s="874"/>
      <c r="G607" s="874"/>
      <c r="H607" s="874"/>
      <c r="I607" s="874"/>
      <c r="J607" s="874"/>
      <c r="K607" s="874"/>
      <c r="L607" s="874"/>
      <c r="M607" s="874"/>
    </row>
    <row r="608" spans="1:13">
      <c r="A608" s="874"/>
      <c r="B608" s="875"/>
      <c r="C608" s="874"/>
      <c r="D608" s="874"/>
      <c r="E608" s="874"/>
      <c r="F608" s="874"/>
      <c r="G608" s="874"/>
      <c r="H608" s="874"/>
      <c r="I608" s="874"/>
      <c r="J608" s="874"/>
      <c r="K608" s="874"/>
      <c r="L608" s="874"/>
      <c r="M608" s="874"/>
    </row>
    <row r="609" spans="1:13">
      <c r="A609" s="874"/>
      <c r="B609" s="875"/>
      <c r="C609" s="874"/>
      <c r="D609" s="874"/>
      <c r="E609" s="874"/>
      <c r="F609" s="874"/>
      <c r="G609" s="874"/>
      <c r="H609" s="874"/>
      <c r="I609" s="874"/>
      <c r="J609" s="874"/>
      <c r="K609" s="874"/>
      <c r="L609" s="874"/>
      <c r="M609" s="874"/>
    </row>
    <row r="610" spans="1:13">
      <c r="A610" s="874"/>
      <c r="B610" s="875"/>
      <c r="C610" s="874"/>
      <c r="D610" s="874"/>
      <c r="E610" s="874"/>
      <c r="F610" s="874"/>
      <c r="G610" s="874"/>
      <c r="H610" s="874"/>
      <c r="I610" s="874"/>
      <c r="J610" s="874"/>
      <c r="K610" s="874"/>
      <c r="L610" s="874"/>
      <c r="M610" s="874"/>
    </row>
    <row r="611" spans="1:13">
      <c r="A611" s="874"/>
      <c r="B611" s="875"/>
      <c r="C611" s="874"/>
      <c r="D611" s="874"/>
      <c r="E611" s="874"/>
      <c r="F611" s="874"/>
      <c r="G611" s="874"/>
      <c r="H611" s="874"/>
      <c r="I611" s="874"/>
      <c r="J611" s="874"/>
      <c r="K611" s="874"/>
      <c r="L611" s="874"/>
      <c r="M611" s="874"/>
    </row>
    <row r="612" spans="1:13">
      <c r="A612" s="874"/>
      <c r="B612" s="875"/>
      <c r="C612" s="874"/>
      <c r="D612" s="874"/>
      <c r="E612" s="874"/>
      <c r="F612" s="874"/>
      <c r="G612" s="874"/>
      <c r="H612" s="874"/>
      <c r="I612" s="874"/>
      <c r="J612" s="874"/>
      <c r="K612" s="874"/>
      <c r="L612" s="874"/>
      <c r="M612" s="874"/>
    </row>
    <row r="613" spans="1:13">
      <c r="A613" s="874"/>
      <c r="B613" s="875"/>
      <c r="C613" s="874"/>
      <c r="D613" s="874"/>
      <c r="E613" s="874"/>
      <c r="F613" s="874"/>
      <c r="G613" s="874"/>
      <c r="H613" s="874"/>
      <c r="I613" s="874"/>
      <c r="J613" s="874"/>
      <c r="K613" s="874"/>
      <c r="L613" s="874"/>
      <c r="M613" s="874"/>
    </row>
    <row r="614" spans="1:13">
      <c r="A614" s="874"/>
      <c r="B614" s="875"/>
      <c r="C614" s="874"/>
      <c r="D614" s="874"/>
      <c r="E614" s="874"/>
      <c r="F614" s="874"/>
      <c r="G614" s="874"/>
      <c r="H614" s="874"/>
      <c r="I614" s="874"/>
      <c r="J614" s="874"/>
      <c r="K614" s="874"/>
      <c r="L614" s="874"/>
      <c r="M614" s="874"/>
    </row>
    <row r="615" spans="1:13">
      <c r="A615" s="874"/>
      <c r="B615" s="875"/>
      <c r="C615" s="874"/>
      <c r="D615" s="874"/>
      <c r="E615" s="874"/>
      <c r="F615" s="874"/>
      <c r="G615" s="874"/>
      <c r="H615" s="874"/>
      <c r="I615" s="874"/>
      <c r="J615" s="874"/>
      <c r="K615" s="874"/>
      <c r="L615" s="874"/>
      <c r="M615" s="874"/>
    </row>
    <row r="616" spans="1:13">
      <c r="A616" s="874"/>
      <c r="B616" s="875"/>
      <c r="C616" s="874"/>
      <c r="D616" s="874"/>
      <c r="E616" s="874"/>
      <c r="F616" s="874"/>
      <c r="G616" s="874"/>
      <c r="H616" s="874"/>
      <c r="I616" s="874"/>
      <c r="J616" s="874"/>
      <c r="K616" s="874"/>
      <c r="L616" s="874"/>
      <c r="M616" s="874"/>
    </row>
    <row r="617" spans="1:13">
      <c r="A617" s="874"/>
      <c r="B617" s="875"/>
      <c r="C617" s="874"/>
      <c r="D617" s="874"/>
      <c r="E617" s="874"/>
      <c r="F617" s="874"/>
      <c r="G617" s="874"/>
      <c r="H617" s="874"/>
      <c r="I617" s="874"/>
      <c r="J617" s="874"/>
      <c r="K617" s="874"/>
      <c r="L617" s="874"/>
      <c r="M617" s="874"/>
    </row>
    <row r="618" spans="1:13">
      <c r="A618" s="874"/>
      <c r="B618" s="875"/>
      <c r="C618" s="874"/>
      <c r="D618" s="874"/>
      <c r="E618" s="874"/>
      <c r="F618" s="874"/>
      <c r="G618" s="874"/>
      <c r="H618" s="874"/>
      <c r="I618" s="874"/>
      <c r="J618" s="874"/>
      <c r="K618" s="874"/>
      <c r="L618" s="874"/>
      <c r="M618" s="874"/>
    </row>
    <row r="619" spans="1:13">
      <c r="A619" s="874"/>
      <c r="B619" s="875"/>
      <c r="C619" s="874"/>
      <c r="D619" s="874"/>
      <c r="E619" s="874"/>
      <c r="F619" s="874"/>
      <c r="G619" s="874"/>
      <c r="H619" s="874"/>
      <c r="I619" s="874"/>
      <c r="J619" s="874"/>
      <c r="K619" s="874"/>
      <c r="L619" s="874"/>
      <c r="M619" s="874"/>
    </row>
    <row r="620" spans="1:13">
      <c r="A620" s="874"/>
      <c r="B620" s="875"/>
      <c r="C620" s="874"/>
      <c r="D620" s="874"/>
      <c r="E620" s="874"/>
      <c r="F620" s="874"/>
      <c r="G620" s="874"/>
      <c r="H620" s="874"/>
      <c r="I620" s="874"/>
      <c r="J620" s="874"/>
      <c r="K620" s="874"/>
      <c r="L620" s="874"/>
      <c r="M620" s="874"/>
    </row>
    <row r="621" spans="1:13">
      <c r="A621" s="874"/>
      <c r="B621" s="875"/>
      <c r="C621" s="874"/>
      <c r="D621" s="874"/>
      <c r="E621" s="874"/>
      <c r="F621" s="874"/>
      <c r="G621" s="874"/>
      <c r="H621" s="874"/>
      <c r="I621" s="874"/>
      <c r="J621" s="874"/>
      <c r="K621" s="874"/>
      <c r="L621" s="874"/>
      <c r="M621" s="874"/>
    </row>
    <row r="622" spans="1:13">
      <c r="A622" s="874"/>
      <c r="B622" s="875"/>
      <c r="C622" s="874"/>
      <c r="D622" s="874"/>
      <c r="E622" s="874"/>
      <c r="F622" s="874"/>
      <c r="G622" s="874"/>
      <c r="H622" s="874"/>
      <c r="I622" s="874"/>
      <c r="J622" s="874"/>
      <c r="K622" s="874"/>
      <c r="L622" s="874"/>
      <c r="M622" s="874"/>
    </row>
    <row r="623" spans="1:13">
      <c r="A623" s="874"/>
      <c r="B623" s="875"/>
      <c r="C623" s="874"/>
      <c r="D623" s="874"/>
      <c r="E623" s="874"/>
      <c r="F623" s="874"/>
      <c r="G623" s="874"/>
      <c r="H623" s="874"/>
      <c r="I623" s="874"/>
      <c r="J623" s="874"/>
      <c r="K623" s="874"/>
      <c r="L623" s="874"/>
      <c r="M623" s="874"/>
    </row>
    <row r="624" spans="1:13">
      <c r="A624" s="874"/>
      <c r="B624" s="875"/>
      <c r="C624" s="874"/>
      <c r="D624" s="874"/>
      <c r="E624" s="874"/>
      <c r="F624" s="874"/>
      <c r="G624" s="874"/>
      <c r="H624" s="874"/>
      <c r="I624" s="874"/>
      <c r="J624" s="874"/>
      <c r="K624" s="874"/>
      <c r="L624" s="874"/>
      <c r="M624" s="874"/>
    </row>
    <row r="625" spans="1:13">
      <c r="A625" s="874"/>
      <c r="B625" s="875"/>
      <c r="C625" s="874"/>
      <c r="D625" s="874"/>
      <c r="E625" s="874"/>
      <c r="F625" s="874"/>
      <c r="G625" s="874"/>
      <c r="H625" s="874"/>
      <c r="I625" s="874"/>
      <c r="J625" s="874"/>
      <c r="K625" s="874"/>
      <c r="L625" s="874"/>
      <c r="M625" s="874"/>
    </row>
    <row r="626" spans="1:13">
      <c r="A626" s="874"/>
      <c r="B626" s="875"/>
      <c r="C626" s="874"/>
      <c r="D626" s="874"/>
      <c r="E626" s="874"/>
      <c r="F626" s="874"/>
      <c r="G626" s="874"/>
      <c r="H626" s="874"/>
      <c r="I626" s="874"/>
      <c r="J626" s="874"/>
      <c r="K626" s="874"/>
      <c r="L626" s="874"/>
      <c r="M626" s="874"/>
    </row>
    <row r="627" spans="1:13">
      <c r="A627" s="874"/>
      <c r="B627" s="875"/>
      <c r="C627" s="874"/>
      <c r="D627" s="874"/>
      <c r="E627" s="874"/>
      <c r="F627" s="874"/>
      <c r="G627" s="874"/>
      <c r="H627" s="874"/>
      <c r="I627" s="874"/>
      <c r="J627" s="874"/>
      <c r="K627" s="874"/>
      <c r="L627" s="874"/>
      <c r="M627" s="874"/>
    </row>
    <row r="628" spans="1:13">
      <c r="A628" s="874"/>
      <c r="B628" s="875"/>
      <c r="C628" s="874"/>
      <c r="D628" s="874"/>
      <c r="E628" s="874"/>
      <c r="F628" s="874"/>
      <c r="G628" s="874"/>
      <c r="H628" s="874"/>
      <c r="I628" s="874"/>
      <c r="J628" s="874"/>
      <c r="K628" s="874"/>
      <c r="L628" s="874"/>
      <c r="M628" s="874"/>
    </row>
    <row r="629" spans="1:13">
      <c r="A629" s="874"/>
      <c r="B629" s="875"/>
      <c r="C629" s="874"/>
      <c r="D629" s="874"/>
      <c r="E629" s="874"/>
      <c r="F629" s="874"/>
      <c r="G629" s="874"/>
      <c r="H629" s="874"/>
      <c r="I629" s="874"/>
      <c r="J629" s="874"/>
      <c r="K629" s="874"/>
      <c r="L629" s="874"/>
      <c r="M629" s="874"/>
    </row>
    <row r="630" spans="1:13">
      <c r="A630" s="874"/>
      <c r="B630" s="875"/>
      <c r="C630" s="874"/>
      <c r="D630" s="874"/>
      <c r="E630" s="874"/>
      <c r="F630" s="874"/>
      <c r="G630" s="874"/>
      <c r="H630" s="874"/>
      <c r="I630" s="874"/>
      <c r="J630" s="874"/>
      <c r="K630" s="874"/>
      <c r="L630" s="874"/>
      <c r="M630" s="874"/>
    </row>
    <row r="631" spans="1:13">
      <c r="A631" s="874"/>
      <c r="B631" s="875"/>
      <c r="C631" s="874"/>
      <c r="D631" s="874"/>
      <c r="E631" s="874"/>
      <c r="F631" s="874"/>
      <c r="G631" s="874"/>
      <c r="H631" s="874"/>
      <c r="I631" s="874"/>
      <c r="J631" s="874"/>
      <c r="K631" s="874"/>
      <c r="L631" s="874"/>
      <c r="M631" s="874"/>
    </row>
    <row r="632" spans="1:13">
      <c r="A632" s="874"/>
      <c r="B632" s="875"/>
      <c r="C632" s="874"/>
      <c r="D632" s="874"/>
      <c r="E632" s="874"/>
      <c r="F632" s="874"/>
      <c r="G632" s="874"/>
      <c r="H632" s="874"/>
      <c r="I632" s="874"/>
      <c r="J632" s="874"/>
      <c r="K632" s="874"/>
      <c r="L632" s="874"/>
      <c r="M632" s="874"/>
    </row>
    <row r="633" spans="1:13">
      <c r="A633" s="874"/>
      <c r="B633" s="875"/>
      <c r="C633" s="874"/>
      <c r="D633" s="874"/>
      <c r="E633" s="874"/>
      <c r="F633" s="874"/>
      <c r="G633" s="874"/>
      <c r="H633" s="874"/>
      <c r="I633" s="874"/>
      <c r="J633" s="874"/>
      <c r="K633" s="874"/>
      <c r="L633" s="874"/>
      <c r="M633" s="874"/>
    </row>
    <row r="634" spans="1:13">
      <c r="A634" s="874"/>
      <c r="B634" s="875"/>
      <c r="C634" s="874"/>
      <c r="D634" s="874"/>
      <c r="E634" s="874"/>
      <c r="F634" s="874"/>
      <c r="G634" s="874"/>
      <c r="H634" s="874"/>
      <c r="I634" s="874"/>
      <c r="J634" s="874"/>
      <c r="K634" s="874"/>
      <c r="L634" s="874"/>
      <c r="M634" s="874"/>
    </row>
    <row r="635" spans="1:13">
      <c r="A635" s="874"/>
      <c r="B635" s="875"/>
      <c r="C635" s="874"/>
      <c r="D635" s="874"/>
      <c r="E635" s="874"/>
      <c r="F635" s="874"/>
      <c r="G635" s="874"/>
      <c r="H635" s="874"/>
      <c r="I635" s="874"/>
      <c r="J635" s="874"/>
      <c r="K635" s="874"/>
      <c r="L635" s="874"/>
      <c r="M635" s="874"/>
    </row>
    <row r="636" spans="1:13">
      <c r="A636" s="874"/>
      <c r="B636" s="875"/>
      <c r="C636" s="874"/>
      <c r="D636" s="874"/>
      <c r="E636" s="874"/>
      <c r="F636" s="874"/>
      <c r="G636" s="874"/>
      <c r="H636" s="874"/>
      <c r="I636" s="874"/>
      <c r="J636" s="874"/>
      <c r="K636" s="874"/>
      <c r="L636" s="874"/>
      <c r="M636" s="874"/>
    </row>
    <row r="637" spans="1:13">
      <c r="A637" s="874"/>
      <c r="B637" s="875"/>
      <c r="C637" s="874"/>
      <c r="D637" s="874"/>
      <c r="E637" s="874"/>
      <c r="F637" s="874"/>
      <c r="G637" s="874"/>
      <c r="H637" s="874"/>
      <c r="I637" s="874"/>
      <c r="J637" s="874"/>
      <c r="K637" s="874"/>
      <c r="L637" s="874"/>
      <c r="M637" s="874"/>
    </row>
    <row r="638" spans="1:13">
      <c r="A638" s="874"/>
      <c r="B638" s="875"/>
      <c r="C638" s="874"/>
      <c r="D638" s="874"/>
      <c r="E638" s="874"/>
      <c r="F638" s="874"/>
      <c r="G638" s="874"/>
      <c r="H638" s="874"/>
      <c r="I638" s="874"/>
      <c r="J638" s="874"/>
      <c r="K638" s="874"/>
      <c r="L638" s="874"/>
      <c r="M638" s="874"/>
    </row>
    <row r="639" spans="1:13">
      <c r="A639" s="874"/>
      <c r="B639" s="875"/>
      <c r="C639" s="874"/>
      <c r="D639" s="874"/>
      <c r="E639" s="874"/>
      <c r="F639" s="874"/>
      <c r="G639" s="874"/>
      <c r="H639" s="874"/>
      <c r="I639" s="874"/>
      <c r="J639" s="874"/>
      <c r="K639" s="874"/>
      <c r="L639" s="874"/>
      <c r="M639" s="874"/>
    </row>
    <row r="640" spans="1:13">
      <c r="A640" s="874"/>
      <c r="B640" s="875"/>
      <c r="C640" s="874"/>
      <c r="D640" s="874"/>
      <c r="E640" s="874"/>
      <c r="F640" s="874"/>
      <c r="G640" s="874"/>
      <c r="H640" s="874"/>
      <c r="I640" s="874"/>
      <c r="J640" s="874"/>
      <c r="K640" s="874"/>
      <c r="L640" s="874"/>
      <c r="M640" s="874"/>
    </row>
    <row r="641" spans="1:13">
      <c r="A641" s="874"/>
      <c r="B641" s="875"/>
      <c r="C641" s="874"/>
      <c r="D641" s="874"/>
      <c r="E641" s="874"/>
      <c r="F641" s="874"/>
      <c r="G641" s="874"/>
      <c r="H641" s="874"/>
      <c r="I641" s="874"/>
      <c r="J641" s="874"/>
      <c r="K641" s="874"/>
      <c r="L641" s="874"/>
      <c r="M641" s="874"/>
    </row>
    <row r="642" spans="1:13">
      <c r="A642" s="874"/>
      <c r="B642" s="875"/>
      <c r="C642" s="874"/>
      <c r="D642" s="874"/>
      <c r="E642" s="874"/>
      <c r="F642" s="874"/>
      <c r="G642" s="874"/>
      <c r="H642" s="874"/>
      <c r="I642" s="874"/>
      <c r="J642" s="874"/>
      <c r="K642" s="874"/>
      <c r="L642" s="874"/>
      <c r="M642" s="874"/>
    </row>
    <row r="643" spans="1:13">
      <c r="A643" s="874"/>
      <c r="B643" s="875"/>
      <c r="C643" s="874"/>
      <c r="D643" s="874"/>
      <c r="E643" s="874"/>
      <c r="F643" s="874"/>
      <c r="G643" s="874"/>
      <c r="H643" s="874"/>
      <c r="I643" s="874"/>
      <c r="J643" s="874"/>
      <c r="K643" s="874"/>
      <c r="L643" s="874"/>
      <c r="M643" s="874"/>
    </row>
    <row r="644" spans="1:13">
      <c r="A644" s="874"/>
      <c r="B644" s="875"/>
      <c r="C644" s="874"/>
      <c r="D644" s="874"/>
      <c r="E644" s="874"/>
      <c r="F644" s="874"/>
      <c r="G644" s="874"/>
      <c r="H644" s="874"/>
      <c r="I644" s="874"/>
      <c r="J644" s="874"/>
      <c r="K644" s="874"/>
      <c r="L644" s="874"/>
      <c r="M644" s="874"/>
    </row>
    <row r="645" spans="1:13">
      <c r="A645" s="874"/>
      <c r="B645" s="875"/>
      <c r="C645" s="874"/>
      <c r="D645" s="874"/>
      <c r="E645" s="874"/>
      <c r="F645" s="874"/>
      <c r="G645" s="874"/>
      <c r="H645" s="874"/>
      <c r="I645" s="874"/>
      <c r="J645" s="874"/>
      <c r="K645" s="874"/>
      <c r="L645" s="874"/>
      <c r="M645" s="874"/>
    </row>
    <row r="646" spans="1:13">
      <c r="A646" s="874"/>
      <c r="B646" s="875"/>
      <c r="C646" s="874"/>
      <c r="D646" s="874"/>
      <c r="E646" s="874"/>
      <c r="F646" s="874"/>
      <c r="G646" s="874"/>
      <c r="H646" s="874"/>
      <c r="I646" s="874"/>
      <c r="J646" s="874"/>
      <c r="K646" s="874"/>
      <c r="L646" s="874"/>
      <c r="M646" s="874"/>
    </row>
    <row r="647" spans="1:13">
      <c r="A647" s="874"/>
      <c r="B647" s="875"/>
      <c r="C647" s="874"/>
      <c r="D647" s="874"/>
      <c r="E647" s="874"/>
      <c r="F647" s="874"/>
      <c r="G647" s="874"/>
      <c r="H647" s="874"/>
      <c r="I647" s="874"/>
      <c r="J647" s="874"/>
      <c r="K647" s="874"/>
      <c r="L647" s="874"/>
      <c r="M647" s="874"/>
    </row>
    <row r="648" spans="1:13">
      <c r="A648" s="874"/>
      <c r="B648" s="875"/>
      <c r="C648" s="874"/>
      <c r="D648" s="874"/>
      <c r="E648" s="874"/>
      <c r="F648" s="874"/>
      <c r="G648" s="874"/>
      <c r="H648" s="874"/>
      <c r="I648" s="874"/>
      <c r="J648" s="874"/>
      <c r="K648" s="874"/>
      <c r="L648" s="874"/>
      <c r="M648" s="874"/>
    </row>
    <row r="649" spans="1:13">
      <c r="A649" s="874"/>
      <c r="B649" s="875"/>
      <c r="C649" s="874"/>
      <c r="D649" s="874"/>
      <c r="E649" s="874"/>
      <c r="F649" s="874"/>
      <c r="G649" s="874"/>
      <c r="H649" s="874"/>
      <c r="I649" s="874"/>
      <c r="J649" s="874"/>
      <c r="K649" s="874"/>
      <c r="L649" s="874"/>
      <c r="M649" s="874"/>
    </row>
    <row r="650" spans="1:13">
      <c r="A650" s="874"/>
      <c r="B650" s="875"/>
      <c r="C650" s="874"/>
      <c r="D650" s="874"/>
      <c r="E650" s="874"/>
      <c r="F650" s="874"/>
      <c r="G650" s="874"/>
      <c r="H650" s="874"/>
      <c r="I650" s="874"/>
      <c r="J650" s="874"/>
      <c r="K650" s="874"/>
      <c r="L650" s="874"/>
      <c r="M650" s="874"/>
    </row>
    <row r="651" spans="1:13">
      <c r="A651" s="874"/>
      <c r="B651" s="875"/>
      <c r="C651" s="874"/>
      <c r="D651" s="874"/>
      <c r="E651" s="874"/>
      <c r="F651" s="874"/>
      <c r="G651" s="874"/>
      <c r="H651" s="874"/>
      <c r="I651" s="874"/>
      <c r="J651" s="874"/>
      <c r="K651" s="874"/>
      <c r="L651" s="874"/>
      <c r="M651" s="874"/>
    </row>
    <row r="652" spans="1:13">
      <c r="A652" s="874"/>
      <c r="B652" s="875"/>
      <c r="C652" s="874"/>
      <c r="D652" s="874"/>
      <c r="E652" s="874"/>
      <c r="F652" s="874"/>
      <c r="G652" s="874"/>
      <c r="H652" s="874"/>
      <c r="I652" s="874"/>
      <c r="J652" s="874"/>
      <c r="K652" s="874"/>
      <c r="L652" s="874"/>
      <c r="M652" s="874"/>
    </row>
    <row r="653" spans="1:13">
      <c r="A653" s="874"/>
      <c r="B653" s="875"/>
      <c r="C653" s="874"/>
      <c r="D653" s="874"/>
      <c r="E653" s="874"/>
      <c r="F653" s="874"/>
      <c r="G653" s="874"/>
      <c r="H653" s="874"/>
      <c r="I653" s="874"/>
      <c r="J653" s="874"/>
      <c r="K653" s="874"/>
      <c r="L653" s="874"/>
      <c r="M653" s="874"/>
    </row>
    <row r="654" spans="1:13">
      <c r="A654" s="874"/>
      <c r="B654" s="875"/>
      <c r="C654" s="874"/>
      <c r="D654" s="874"/>
      <c r="E654" s="874"/>
      <c r="F654" s="874"/>
      <c r="G654" s="874"/>
      <c r="H654" s="874"/>
      <c r="I654" s="874"/>
      <c r="J654" s="874"/>
      <c r="K654" s="874"/>
      <c r="L654" s="874"/>
      <c r="M654" s="874"/>
    </row>
    <row r="655" spans="1:13">
      <c r="A655" s="874"/>
      <c r="B655" s="875"/>
      <c r="C655" s="874"/>
      <c r="D655" s="874"/>
      <c r="E655" s="874"/>
      <c r="F655" s="874"/>
      <c r="G655" s="874"/>
      <c r="H655" s="874"/>
      <c r="I655" s="874"/>
      <c r="J655" s="874"/>
      <c r="K655" s="874"/>
      <c r="L655" s="874"/>
      <c r="M655" s="874"/>
    </row>
    <row r="656" spans="1:13">
      <c r="A656" s="874"/>
      <c r="B656" s="875"/>
      <c r="C656" s="874"/>
      <c r="D656" s="874"/>
      <c r="E656" s="874"/>
      <c r="F656" s="874"/>
      <c r="G656" s="874"/>
      <c r="H656" s="874"/>
      <c r="I656" s="874"/>
      <c r="J656" s="874"/>
      <c r="K656" s="874"/>
      <c r="L656" s="874"/>
      <c r="M656" s="874"/>
    </row>
    <row r="657" spans="1:13">
      <c r="A657" s="874"/>
      <c r="B657" s="875"/>
      <c r="C657" s="874"/>
      <c r="D657" s="874"/>
      <c r="E657" s="874"/>
      <c r="F657" s="874"/>
      <c r="G657" s="874"/>
      <c r="H657" s="874"/>
      <c r="I657" s="874"/>
      <c r="J657" s="874"/>
      <c r="K657" s="874"/>
      <c r="L657" s="874"/>
      <c r="M657" s="874"/>
    </row>
    <row r="658" spans="1:13">
      <c r="A658" s="874"/>
      <c r="B658" s="875"/>
      <c r="C658" s="874"/>
      <c r="D658" s="874"/>
      <c r="E658" s="874"/>
      <c r="F658" s="874"/>
      <c r="G658" s="874"/>
      <c r="H658" s="874"/>
      <c r="I658" s="874"/>
      <c r="J658" s="874"/>
      <c r="K658" s="874"/>
      <c r="L658" s="874"/>
      <c r="M658" s="874"/>
    </row>
    <row r="659" spans="1:13">
      <c r="A659" s="874"/>
      <c r="B659" s="875"/>
      <c r="C659" s="874"/>
      <c r="D659" s="874"/>
      <c r="E659" s="874"/>
      <c r="F659" s="874"/>
      <c r="G659" s="874"/>
      <c r="H659" s="874"/>
      <c r="I659" s="874"/>
      <c r="J659" s="874"/>
      <c r="K659" s="874"/>
      <c r="L659" s="874"/>
      <c r="M659" s="874"/>
    </row>
    <row r="660" spans="1:13">
      <c r="A660" s="874"/>
      <c r="B660" s="875"/>
      <c r="C660" s="874"/>
      <c r="D660" s="874"/>
      <c r="E660" s="874"/>
      <c r="F660" s="874"/>
      <c r="G660" s="874"/>
      <c r="H660" s="874"/>
      <c r="I660" s="874"/>
      <c r="J660" s="874"/>
      <c r="K660" s="874"/>
      <c r="L660" s="874"/>
      <c r="M660" s="874"/>
    </row>
    <row r="661" spans="1:13">
      <c r="A661" s="874"/>
      <c r="B661" s="875"/>
      <c r="C661" s="874"/>
      <c r="D661" s="874"/>
      <c r="E661" s="874"/>
      <c r="F661" s="874"/>
      <c r="G661" s="874"/>
      <c r="H661" s="874"/>
      <c r="I661" s="874"/>
      <c r="J661" s="874"/>
      <c r="K661" s="874"/>
      <c r="L661" s="874"/>
      <c r="M661" s="874"/>
    </row>
    <row r="662" spans="1:13">
      <c r="A662" s="874"/>
      <c r="B662" s="875"/>
      <c r="C662" s="874"/>
      <c r="D662" s="874"/>
      <c r="E662" s="874"/>
      <c r="F662" s="874"/>
      <c r="G662" s="874"/>
      <c r="H662" s="874"/>
      <c r="I662" s="874"/>
      <c r="J662" s="874"/>
      <c r="K662" s="874"/>
      <c r="L662" s="874"/>
      <c r="M662" s="874"/>
    </row>
    <row r="663" spans="1:13">
      <c r="A663" s="874"/>
      <c r="B663" s="875"/>
      <c r="C663" s="874"/>
      <c r="D663" s="874"/>
      <c r="E663" s="874"/>
      <c r="F663" s="874"/>
      <c r="G663" s="874"/>
      <c r="H663" s="874"/>
      <c r="I663" s="874"/>
      <c r="J663" s="874"/>
      <c r="K663" s="874"/>
      <c r="L663" s="874"/>
      <c r="M663" s="874"/>
    </row>
    <row r="664" spans="1:13">
      <c r="A664" s="874"/>
      <c r="B664" s="875"/>
      <c r="C664" s="874"/>
      <c r="D664" s="874"/>
      <c r="E664" s="874"/>
      <c r="F664" s="874"/>
      <c r="G664" s="874"/>
      <c r="H664" s="874"/>
      <c r="I664" s="874"/>
      <c r="J664" s="874"/>
      <c r="K664" s="874"/>
      <c r="L664" s="874"/>
      <c r="M664" s="874"/>
    </row>
    <row r="665" spans="1:13">
      <c r="A665" s="874"/>
      <c r="B665" s="875"/>
      <c r="C665" s="874"/>
      <c r="D665" s="874"/>
      <c r="E665" s="874"/>
      <c r="F665" s="874"/>
      <c r="G665" s="874"/>
      <c r="H665" s="874"/>
      <c r="I665" s="874"/>
      <c r="J665" s="874"/>
      <c r="K665" s="874"/>
      <c r="L665" s="874"/>
      <c r="M665" s="874"/>
    </row>
    <row r="666" spans="1:13">
      <c r="A666" s="874"/>
      <c r="B666" s="875"/>
      <c r="C666" s="874"/>
      <c r="D666" s="874"/>
      <c r="E666" s="874"/>
      <c r="F666" s="874"/>
      <c r="G666" s="874"/>
      <c r="H666" s="874"/>
      <c r="I666" s="874"/>
      <c r="J666" s="874"/>
      <c r="K666" s="874"/>
      <c r="L666" s="874"/>
      <c r="M666" s="874"/>
    </row>
    <row r="667" spans="1:13">
      <c r="A667" s="874"/>
      <c r="B667" s="875"/>
      <c r="C667" s="874"/>
      <c r="D667" s="874"/>
      <c r="E667" s="874"/>
      <c r="F667" s="874"/>
      <c r="G667" s="874"/>
      <c r="H667" s="874"/>
      <c r="I667" s="874"/>
      <c r="J667" s="874"/>
      <c r="K667" s="874"/>
      <c r="L667" s="874"/>
      <c r="M667" s="874"/>
    </row>
    <row r="668" spans="1:13">
      <c r="A668" s="874"/>
      <c r="B668" s="875"/>
      <c r="C668" s="874"/>
      <c r="D668" s="874"/>
      <c r="E668" s="874"/>
      <c r="F668" s="874"/>
      <c r="G668" s="874"/>
      <c r="H668" s="874"/>
      <c r="I668" s="874"/>
      <c r="J668" s="874"/>
      <c r="K668" s="874"/>
      <c r="L668" s="874"/>
      <c r="M668" s="874"/>
    </row>
    <row r="669" spans="1:13">
      <c r="A669" s="874"/>
      <c r="B669" s="875"/>
      <c r="C669" s="874"/>
      <c r="D669" s="874"/>
      <c r="E669" s="874"/>
      <c r="F669" s="874"/>
      <c r="G669" s="874"/>
      <c r="H669" s="874"/>
      <c r="I669" s="874"/>
      <c r="J669" s="874"/>
      <c r="K669" s="874"/>
      <c r="L669" s="874"/>
      <c r="M669" s="874"/>
    </row>
    <row r="670" spans="1:13">
      <c r="A670" s="874"/>
      <c r="B670" s="875"/>
      <c r="C670" s="874"/>
      <c r="D670" s="874"/>
      <c r="E670" s="874"/>
      <c r="F670" s="874"/>
      <c r="G670" s="874"/>
      <c r="H670" s="874"/>
      <c r="I670" s="874"/>
      <c r="J670" s="874"/>
      <c r="K670" s="874"/>
      <c r="L670" s="874"/>
      <c r="M670" s="874"/>
    </row>
    <row r="671" spans="1:13">
      <c r="A671" s="874"/>
      <c r="B671" s="875"/>
      <c r="C671" s="874"/>
      <c r="D671" s="874"/>
      <c r="E671" s="874"/>
      <c r="F671" s="874"/>
      <c r="G671" s="874"/>
      <c r="H671" s="874"/>
      <c r="I671" s="874"/>
      <c r="J671" s="874"/>
      <c r="K671" s="874"/>
      <c r="L671" s="874"/>
      <c r="M671" s="874"/>
    </row>
    <row r="672" spans="1:13">
      <c r="A672" s="874"/>
      <c r="B672" s="875"/>
      <c r="C672" s="874"/>
      <c r="D672" s="874"/>
      <c r="E672" s="874"/>
      <c r="F672" s="874"/>
      <c r="G672" s="874"/>
      <c r="H672" s="874"/>
      <c r="I672" s="874"/>
      <c r="J672" s="874"/>
      <c r="K672" s="874"/>
      <c r="L672" s="874"/>
      <c r="M672" s="874"/>
    </row>
    <row r="673" spans="1:13">
      <c r="A673" s="874"/>
      <c r="B673" s="875"/>
      <c r="C673" s="874"/>
      <c r="D673" s="874"/>
      <c r="E673" s="874"/>
      <c r="F673" s="874"/>
      <c r="G673" s="874"/>
      <c r="H673" s="874"/>
      <c r="I673" s="874"/>
      <c r="J673" s="874"/>
      <c r="K673" s="874"/>
      <c r="L673" s="874"/>
      <c r="M673" s="874"/>
    </row>
    <row r="674" spans="1:13">
      <c r="A674" s="874"/>
      <c r="B674" s="875"/>
      <c r="C674" s="874"/>
      <c r="D674" s="874"/>
      <c r="E674" s="874"/>
      <c r="F674" s="874"/>
      <c r="G674" s="874"/>
      <c r="H674" s="874"/>
      <c r="I674" s="874"/>
      <c r="J674" s="874"/>
      <c r="K674" s="874"/>
      <c r="L674" s="874"/>
      <c r="M674" s="874"/>
    </row>
    <row r="675" spans="1:13">
      <c r="A675" s="874"/>
      <c r="B675" s="875"/>
      <c r="C675" s="874"/>
      <c r="D675" s="874"/>
      <c r="E675" s="874"/>
      <c r="F675" s="874"/>
      <c r="G675" s="874"/>
      <c r="H675" s="874"/>
      <c r="I675" s="874"/>
      <c r="J675" s="874"/>
      <c r="K675" s="874"/>
      <c r="L675" s="874"/>
      <c r="M675" s="874"/>
    </row>
    <row r="676" spans="1:13">
      <c r="A676" s="874"/>
      <c r="B676" s="875"/>
      <c r="C676" s="874"/>
      <c r="D676" s="874"/>
      <c r="E676" s="874"/>
      <c r="F676" s="874"/>
      <c r="G676" s="874"/>
      <c r="H676" s="874"/>
      <c r="I676" s="874"/>
      <c r="J676" s="874"/>
      <c r="K676" s="874"/>
      <c r="L676" s="874"/>
      <c r="M676" s="874"/>
    </row>
    <row r="677" spans="1:13">
      <c r="A677" s="874"/>
      <c r="B677" s="875"/>
      <c r="C677" s="874"/>
      <c r="D677" s="874"/>
      <c r="E677" s="874"/>
      <c r="F677" s="874"/>
      <c r="G677" s="874"/>
      <c r="H677" s="874"/>
      <c r="I677" s="874"/>
      <c r="J677" s="874"/>
      <c r="K677" s="874"/>
      <c r="L677" s="874"/>
      <c r="M677" s="874"/>
    </row>
    <row r="678" spans="1:13">
      <c r="A678" s="874"/>
      <c r="B678" s="875"/>
      <c r="C678" s="874"/>
      <c r="D678" s="874"/>
      <c r="E678" s="874"/>
      <c r="F678" s="874"/>
      <c r="G678" s="874"/>
      <c r="H678" s="874"/>
      <c r="I678" s="874"/>
      <c r="J678" s="874"/>
      <c r="K678" s="874"/>
      <c r="L678" s="874"/>
      <c r="M678" s="874"/>
    </row>
    <row r="679" spans="1:13">
      <c r="A679" s="874"/>
      <c r="B679" s="875"/>
      <c r="C679" s="874"/>
      <c r="D679" s="874"/>
      <c r="E679" s="874"/>
      <c r="F679" s="874"/>
      <c r="G679" s="874"/>
      <c r="H679" s="874"/>
      <c r="I679" s="874"/>
      <c r="J679" s="874"/>
      <c r="K679" s="874"/>
      <c r="L679" s="874"/>
      <c r="M679" s="874"/>
    </row>
    <row r="680" spans="1:13">
      <c r="A680" s="874"/>
      <c r="B680" s="875"/>
      <c r="C680" s="874"/>
      <c r="D680" s="874"/>
      <c r="E680" s="874"/>
      <c r="F680" s="874"/>
      <c r="G680" s="874"/>
      <c r="H680" s="874"/>
      <c r="I680" s="874"/>
      <c r="J680" s="874"/>
      <c r="K680" s="874"/>
      <c r="L680" s="874"/>
      <c r="M680" s="874"/>
    </row>
    <row r="681" spans="1:13">
      <c r="A681" s="874"/>
      <c r="B681" s="875"/>
      <c r="C681" s="874"/>
      <c r="D681" s="874"/>
      <c r="E681" s="874"/>
      <c r="F681" s="874"/>
      <c r="G681" s="874"/>
      <c r="H681" s="874"/>
      <c r="I681" s="874"/>
      <c r="J681" s="874"/>
      <c r="K681" s="874"/>
      <c r="L681" s="874"/>
      <c r="M681" s="874"/>
    </row>
    <row r="682" spans="1:13">
      <c r="A682" s="874"/>
      <c r="B682" s="875"/>
      <c r="C682" s="874"/>
      <c r="D682" s="874"/>
      <c r="E682" s="874"/>
      <c r="F682" s="874"/>
      <c r="G682" s="874"/>
      <c r="H682" s="874"/>
      <c r="I682" s="874"/>
      <c r="J682" s="874"/>
      <c r="K682" s="874"/>
      <c r="L682" s="874"/>
      <c r="M682" s="874"/>
    </row>
    <row r="683" spans="1:13">
      <c r="A683" s="874"/>
      <c r="B683" s="875"/>
      <c r="C683" s="874"/>
      <c r="D683" s="874"/>
      <c r="E683" s="874"/>
      <c r="F683" s="874"/>
      <c r="G683" s="874"/>
      <c r="H683" s="874"/>
      <c r="I683" s="874"/>
      <c r="J683" s="874"/>
      <c r="K683" s="874"/>
      <c r="L683" s="874"/>
      <c r="M683" s="874"/>
    </row>
    <row r="684" spans="1:13">
      <c r="A684" s="874"/>
      <c r="B684" s="875"/>
      <c r="C684" s="874"/>
      <c r="D684" s="874"/>
      <c r="E684" s="874"/>
      <c r="F684" s="874"/>
      <c r="G684" s="874"/>
      <c r="H684" s="874"/>
      <c r="I684" s="874"/>
      <c r="J684" s="874"/>
      <c r="K684" s="874"/>
      <c r="L684" s="874"/>
      <c r="M684" s="874"/>
    </row>
    <row r="685" spans="1:13">
      <c r="A685" s="874"/>
      <c r="B685" s="875"/>
      <c r="C685" s="874"/>
      <c r="D685" s="874"/>
      <c r="E685" s="874"/>
      <c r="F685" s="874"/>
      <c r="G685" s="874"/>
      <c r="H685" s="874"/>
      <c r="I685" s="874"/>
      <c r="J685" s="874"/>
      <c r="K685" s="874"/>
      <c r="L685" s="874"/>
      <c r="M685" s="874"/>
    </row>
    <row r="686" spans="1:13">
      <c r="A686" s="874"/>
      <c r="B686" s="875"/>
      <c r="C686" s="874"/>
      <c r="D686" s="874"/>
      <c r="E686" s="874"/>
      <c r="F686" s="874"/>
      <c r="G686" s="874"/>
      <c r="H686" s="874"/>
      <c r="I686" s="874"/>
      <c r="J686" s="874"/>
      <c r="K686" s="874"/>
      <c r="L686" s="874"/>
      <c r="M686" s="874"/>
    </row>
    <row r="687" spans="1:13">
      <c r="A687" s="874"/>
      <c r="B687" s="875"/>
      <c r="C687" s="874"/>
      <c r="D687" s="874"/>
      <c r="E687" s="874"/>
      <c r="F687" s="874"/>
      <c r="G687" s="874"/>
      <c r="H687" s="874"/>
      <c r="I687" s="874"/>
      <c r="J687" s="874"/>
      <c r="K687" s="874"/>
      <c r="L687" s="874"/>
      <c r="M687" s="874"/>
    </row>
    <row r="688" spans="1:13">
      <c r="A688" s="874"/>
      <c r="B688" s="875"/>
      <c r="C688" s="874"/>
      <c r="D688" s="874"/>
      <c r="E688" s="874"/>
      <c r="F688" s="874"/>
      <c r="G688" s="874"/>
      <c r="H688" s="874"/>
      <c r="I688" s="874"/>
      <c r="J688" s="874"/>
      <c r="K688" s="874"/>
      <c r="L688" s="874"/>
      <c r="M688" s="874"/>
    </row>
    <row r="689" spans="1:13">
      <c r="A689" s="874"/>
      <c r="B689" s="875"/>
      <c r="C689" s="874"/>
      <c r="D689" s="874"/>
      <c r="E689" s="874"/>
      <c r="F689" s="874"/>
      <c r="G689" s="874"/>
      <c r="H689" s="874"/>
      <c r="I689" s="874"/>
      <c r="J689" s="874"/>
      <c r="K689" s="874"/>
      <c r="L689" s="874"/>
      <c r="M689" s="874"/>
    </row>
    <row r="690" spans="1:13">
      <c r="A690" s="874"/>
      <c r="B690" s="875"/>
      <c r="C690" s="874"/>
      <c r="D690" s="874"/>
      <c r="E690" s="874"/>
      <c r="F690" s="874"/>
      <c r="G690" s="874"/>
      <c r="H690" s="874"/>
      <c r="I690" s="874"/>
      <c r="J690" s="874"/>
      <c r="K690" s="874"/>
      <c r="L690" s="874"/>
      <c r="M690" s="874"/>
    </row>
    <row r="691" spans="1:13">
      <c r="A691" s="874"/>
      <c r="B691" s="875"/>
      <c r="C691" s="874"/>
      <c r="D691" s="874"/>
      <c r="E691" s="874"/>
      <c r="F691" s="874"/>
      <c r="G691" s="874"/>
      <c r="H691" s="874"/>
      <c r="I691" s="874"/>
      <c r="J691" s="874"/>
      <c r="K691" s="874"/>
      <c r="L691" s="874"/>
      <c r="M691" s="874"/>
    </row>
    <row r="692" spans="1:13">
      <c r="A692" s="874"/>
      <c r="B692" s="875"/>
      <c r="C692" s="874"/>
      <c r="D692" s="874"/>
      <c r="E692" s="874"/>
      <c r="F692" s="874"/>
      <c r="G692" s="874"/>
      <c r="H692" s="874"/>
      <c r="I692" s="874"/>
      <c r="J692" s="874"/>
      <c r="K692" s="874"/>
      <c r="L692" s="874"/>
      <c r="M692" s="874"/>
    </row>
    <row r="693" spans="1:13">
      <c r="A693" s="874"/>
      <c r="B693" s="875"/>
      <c r="C693" s="874"/>
      <c r="D693" s="874"/>
      <c r="E693" s="874"/>
      <c r="F693" s="874"/>
      <c r="G693" s="874"/>
      <c r="H693" s="874"/>
      <c r="I693" s="874"/>
      <c r="J693" s="874"/>
      <c r="K693" s="874"/>
      <c r="L693" s="874"/>
      <c r="M693" s="874"/>
    </row>
    <row r="694" spans="1:13">
      <c r="A694" s="874"/>
      <c r="B694" s="875"/>
      <c r="C694" s="874"/>
      <c r="D694" s="874"/>
      <c r="E694" s="874"/>
      <c r="F694" s="874"/>
      <c r="G694" s="874"/>
      <c r="H694" s="874"/>
      <c r="I694" s="874"/>
      <c r="J694" s="874"/>
      <c r="K694" s="874"/>
      <c r="L694" s="874"/>
      <c r="M694" s="874"/>
    </row>
    <row r="695" spans="1:13">
      <c r="A695" s="874"/>
      <c r="B695" s="875"/>
      <c r="C695" s="874"/>
      <c r="D695" s="874"/>
      <c r="E695" s="874"/>
      <c r="F695" s="874"/>
      <c r="G695" s="874"/>
      <c r="H695" s="874"/>
      <c r="I695" s="874"/>
      <c r="J695" s="874"/>
      <c r="K695" s="874"/>
      <c r="L695" s="874"/>
      <c r="M695" s="874"/>
    </row>
    <row r="696" spans="1:13">
      <c r="A696" s="874"/>
      <c r="B696" s="875"/>
      <c r="C696" s="874"/>
      <c r="D696" s="874"/>
      <c r="E696" s="874"/>
      <c r="F696" s="874"/>
      <c r="G696" s="874"/>
      <c r="H696" s="874"/>
      <c r="I696" s="874"/>
      <c r="J696" s="874"/>
      <c r="K696" s="874"/>
      <c r="L696" s="874"/>
      <c r="M696" s="874"/>
    </row>
    <row r="697" spans="1:13">
      <c r="A697" s="874"/>
      <c r="B697" s="875"/>
      <c r="C697" s="874"/>
      <c r="D697" s="874"/>
      <c r="E697" s="874"/>
      <c r="F697" s="874"/>
      <c r="G697" s="874"/>
      <c r="H697" s="874"/>
      <c r="I697" s="874"/>
      <c r="J697" s="874"/>
      <c r="K697" s="874"/>
      <c r="L697" s="874"/>
      <c r="M697" s="874"/>
    </row>
    <row r="698" spans="1:13">
      <c r="A698" s="874"/>
      <c r="B698" s="875"/>
      <c r="C698" s="874"/>
      <c r="D698" s="874"/>
      <c r="E698" s="874"/>
      <c r="F698" s="874"/>
      <c r="G698" s="874"/>
      <c r="H698" s="874"/>
      <c r="I698" s="874"/>
      <c r="J698" s="874"/>
      <c r="K698" s="874"/>
      <c r="L698" s="874"/>
      <c r="M698" s="874"/>
    </row>
    <row r="699" spans="1:13">
      <c r="A699" s="874"/>
      <c r="B699" s="875"/>
      <c r="C699" s="874"/>
      <c r="D699" s="874"/>
      <c r="E699" s="874"/>
      <c r="F699" s="874"/>
      <c r="G699" s="874"/>
      <c r="H699" s="874"/>
      <c r="I699" s="874"/>
      <c r="J699" s="874"/>
      <c r="K699" s="874"/>
      <c r="L699" s="874"/>
      <c r="M699" s="874"/>
    </row>
    <row r="700" spans="1:13">
      <c r="A700" s="874"/>
      <c r="B700" s="875"/>
      <c r="C700" s="874"/>
      <c r="D700" s="874"/>
      <c r="E700" s="874"/>
      <c r="F700" s="874"/>
      <c r="G700" s="874"/>
      <c r="H700" s="874"/>
      <c r="I700" s="874"/>
      <c r="J700" s="874"/>
      <c r="K700" s="874"/>
      <c r="L700" s="874"/>
      <c r="M700" s="874"/>
    </row>
    <row r="701" spans="1:13">
      <c r="A701" s="874"/>
      <c r="B701" s="875"/>
      <c r="C701" s="874"/>
      <c r="D701" s="874"/>
      <c r="E701" s="874"/>
      <c r="F701" s="874"/>
      <c r="G701" s="874"/>
      <c r="H701" s="874"/>
      <c r="I701" s="874"/>
      <c r="J701" s="874"/>
      <c r="K701" s="874"/>
      <c r="L701" s="874"/>
      <c r="M701" s="874"/>
    </row>
    <row r="702" spans="1:13">
      <c r="A702" s="874"/>
      <c r="B702" s="875"/>
      <c r="C702" s="874"/>
      <c r="D702" s="874"/>
      <c r="E702" s="874"/>
      <c r="F702" s="874"/>
      <c r="G702" s="874"/>
      <c r="H702" s="874"/>
      <c r="I702" s="874"/>
      <c r="J702" s="874"/>
      <c r="K702" s="874"/>
      <c r="L702" s="874"/>
      <c r="M702" s="874"/>
    </row>
    <row r="703" spans="1:13">
      <c r="A703" s="874"/>
      <c r="B703" s="875"/>
      <c r="C703" s="874"/>
      <c r="D703" s="874"/>
      <c r="E703" s="874"/>
      <c r="F703" s="874"/>
      <c r="G703" s="874"/>
      <c r="H703" s="874"/>
      <c r="I703" s="874"/>
      <c r="J703" s="874"/>
      <c r="K703" s="874"/>
      <c r="L703" s="874"/>
      <c r="M703" s="874"/>
    </row>
    <row r="704" spans="1:13">
      <c r="A704" s="874"/>
      <c r="B704" s="875"/>
      <c r="C704" s="874"/>
      <c r="D704" s="874"/>
      <c r="E704" s="874"/>
      <c r="F704" s="874"/>
      <c r="G704" s="874"/>
      <c r="H704" s="874"/>
      <c r="I704" s="874"/>
      <c r="J704" s="874"/>
      <c r="K704" s="874"/>
      <c r="L704" s="874"/>
      <c r="M704" s="874"/>
    </row>
    <row r="705" spans="1:13">
      <c r="A705" s="874"/>
      <c r="B705" s="875"/>
      <c r="C705" s="874"/>
      <c r="D705" s="874"/>
      <c r="E705" s="874"/>
      <c r="F705" s="874"/>
      <c r="G705" s="874"/>
      <c r="H705" s="874"/>
      <c r="I705" s="874"/>
      <c r="J705" s="874"/>
      <c r="K705" s="874"/>
      <c r="L705" s="874"/>
      <c r="M705" s="874"/>
    </row>
    <row r="706" spans="1:13">
      <c r="A706" s="874"/>
      <c r="B706" s="875"/>
      <c r="C706" s="874"/>
      <c r="D706" s="874"/>
      <c r="E706" s="874"/>
      <c r="F706" s="874"/>
      <c r="G706" s="874"/>
      <c r="H706" s="874"/>
      <c r="I706" s="874"/>
      <c r="J706" s="874"/>
      <c r="K706" s="874"/>
      <c r="L706" s="874"/>
      <c r="M706" s="874"/>
    </row>
    <row r="707" spans="1:13">
      <c r="A707" s="874"/>
      <c r="B707" s="875"/>
      <c r="C707" s="874"/>
      <c r="D707" s="874"/>
      <c r="E707" s="874"/>
      <c r="F707" s="874"/>
      <c r="G707" s="874"/>
      <c r="H707" s="874"/>
      <c r="I707" s="874"/>
      <c r="J707" s="874"/>
      <c r="K707" s="874"/>
      <c r="L707" s="874"/>
      <c r="M707" s="874"/>
    </row>
    <row r="708" spans="1:13">
      <c r="A708" s="874"/>
      <c r="B708" s="875"/>
      <c r="C708" s="874"/>
      <c r="D708" s="874"/>
      <c r="E708" s="874"/>
      <c r="F708" s="874"/>
      <c r="G708" s="874"/>
      <c r="H708" s="874"/>
      <c r="I708" s="874"/>
      <c r="J708" s="874"/>
      <c r="K708" s="874"/>
      <c r="L708" s="874"/>
      <c r="M708" s="874"/>
    </row>
    <row r="709" spans="1:13">
      <c r="A709" s="874"/>
      <c r="B709" s="875"/>
      <c r="C709" s="874"/>
      <c r="D709" s="874"/>
      <c r="E709" s="874"/>
      <c r="F709" s="874"/>
      <c r="G709" s="874"/>
      <c r="H709" s="874"/>
      <c r="I709" s="874"/>
      <c r="J709" s="874"/>
      <c r="K709" s="874"/>
      <c r="L709" s="874"/>
      <c r="M709" s="874"/>
    </row>
    <row r="710" spans="1:13">
      <c r="A710" s="874"/>
      <c r="B710" s="875"/>
      <c r="C710" s="874"/>
      <c r="D710" s="874"/>
      <c r="E710" s="874"/>
      <c r="F710" s="874"/>
      <c r="G710" s="874"/>
      <c r="H710" s="874"/>
      <c r="I710" s="874"/>
      <c r="J710" s="874"/>
      <c r="K710" s="874"/>
      <c r="L710" s="874"/>
      <c r="M710" s="874"/>
    </row>
    <row r="711" spans="1:13">
      <c r="A711" s="874"/>
      <c r="B711" s="875"/>
      <c r="C711" s="874"/>
      <c r="D711" s="874"/>
      <c r="E711" s="874"/>
      <c r="F711" s="874"/>
      <c r="G711" s="874"/>
      <c r="H711" s="874"/>
      <c r="I711" s="874"/>
      <c r="J711" s="874"/>
      <c r="K711" s="874"/>
      <c r="L711" s="874"/>
      <c r="M711" s="874"/>
    </row>
    <row r="712" spans="1:13">
      <c r="A712" s="874"/>
      <c r="B712" s="875"/>
      <c r="C712" s="874"/>
      <c r="D712" s="874"/>
      <c r="E712" s="874"/>
      <c r="F712" s="874"/>
      <c r="G712" s="874"/>
      <c r="H712" s="874"/>
      <c r="I712" s="874"/>
      <c r="J712" s="874"/>
      <c r="K712" s="874"/>
      <c r="L712" s="874"/>
      <c r="M712" s="874"/>
    </row>
    <row r="713" spans="1:13">
      <c r="A713" s="874"/>
      <c r="B713" s="875"/>
      <c r="C713" s="874"/>
      <c r="D713" s="874"/>
      <c r="E713" s="874"/>
      <c r="F713" s="874"/>
      <c r="G713" s="874"/>
      <c r="H713" s="874"/>
      <c r="I713" s="874"/>
      <c r="J713" s="874"/>
      <c r="K713" s="874"/>
      <c r="L713" s="874"/>
      <c r="M713" s="874"/>
    </row>
    <row r="714" spans="1:13">
      <c r="A714" s="874"/>
      <c r="B714" s="875"/>
      <c r="C714" s="874"/>
      <c r="D714" s="874"/>
      <c r="E714" s="874"/>
      <c r="F714" s="874"/>
      <c r="G714" s="874"/>
      <c r="H714" s="874"/>
      <c r="I714" s="874"/>
      <c r="J714" s="874"/>
      <c r="K714" s="874"/>
      <c r="L714" s="874"/>
      <c r="M714" s="874"/>
    </row>
    <row r="715" spans="1:13">
      <c r="A715" s="874"/>
      <c r="B715" s="875"/>
      <c r="C715" s="874"/>
      <c r="D715" s="874"/>
      <c r="E715" s="874"/>
      <c r="F715" s="874"/>
      <c r="G715" s="874"/>
      <c r="H715" s="874"/>
      <c r="I715" s="874"/>
      <c r="J715" s="874"/>
      <c r="K715" s="874"/>
      <c r="L715" s="874"/>
      <c r="M715" s="874"/>
    </row>
    <row r="716" spans="1:13">
      <c r="A716" s="874"/>
      <c r="B716" s="875"/>
      <c r="C716" s="874"/>
      <c r="D716" s="874"/>
      <c r="E716" s="874"/>
      <c r="F716" s="874"/>
      <c r="G716" s="874"/>
      <c r="H716" s="874"/>
      <c r="I716" s="874"/>
      <c r="J716" s="874"/>
      <c r="K716" s="874"/>
      <c r="L716" s="874"/>
      <c r="M716" s="874"/>
    </row>
    <row r="717" spans="1:13">
      <c r="A717" s="874"/>
      <c r="B717" s="875"/>
      <c r="C717" s="874"/>
      <c r="D717" s="874"/>
      <c r="E717" s="874"/>
      <c r="F717" s="874"/>
      <c r="G717" s="874"/>
      <c r="H717" s="874"/>
      <c r="I717" s="874"/>
      <c r="J717" s="874"/>
      <c r="K717" s="874"/>
      <c r="L717" s="874"/>
      <c r="M717" s="874"/>
    </row>
    <row r="718" spans="1:13">
      <c r="A718" s="874"/>
      <c r="B718" s="875"/>
      <c r="C718" s="874"/>
      <c r="D718" s="874"/>
      <c r="E718" s="874"/>
      <c r="F718" s="874"/>
      <c r="G718" s="874"/>
      <c r="H718" s="874"/>
      <c r="I718" s="874"/>
      <c r="J718" s="874"/>
      <c r="K718" s="874"/>
      <c r="L718" s="874"/>
      <c r="M718" s="874"/>
    </row>
    <row r="719" spans="1:13">
      <c r="A719" s="874"/>
      <c r="B719" s="875"/>
      <c r="C719" s="874"/>
      <c r="D719" s="874"/>
      <c r="E719" s="874"/>
      <c r="F719" s="874"/>
      <c r="G719" s="874"/>
      <c r="H719" s="874"/>
      <c r="I719" s="874"/>
      <c r="J719" s="874"/>
      <c r="K719" s="874"/>
      <c r="L719" s="874"/>
      <c r="M719" s="874"/>
    </row>
    <row r="720" spans="1:13">
      <c r="A720" s="874"/>
      <c r="B720" s="875"/>
      <c r="C720" s="874"/>
      <c r="D720" s="874"/>
      <c r="E720" s="874"/>
      <c r="F720" s="874"/>
      <c r="G720" s="874"/>
      <c r="H720" s="874"/>
      <c r="I720" s="874"/>
      <c r="J720" s="874"/>
      <c r="K720" s="874"/>
      <c r="L720" s="874"/>
      <c r="M720" s="874"/>
    </row>
    <row r="721" spans="1:13">
      <c r="A721" s="874"/>
      <c r="B721" s="875"/>
      <c r="C721" s="874"/>
      <c r="D721" s="874"/>
      <c r="E721" s="874"/>
      <c r="F721" s="874"/>
      <c r="G721" s="874"/>
      <c r="H721" s="874"/>
      <c r="I721" s="874"/>
      <c r="J721" s="874"/>
      <c r="K721" s="874"/>
      <c r="L721" s="874"/>
      <c r="M721" s="874"/>
    </row>
    <row r="722" spans="1:13">
      <c r="A722" s="874"/>
      <c r="B722" s="875"/>
      <c r="C722" s="874"/>
      <c r="D722" s="874"/>
      <c r="E722" s="874"/>
      <c r="F722" s="874"/>
      <c r="G722" s="874"/>
      <c r="H722" s="874"/>
      <c r="I722" s="874"/>
      <c r="J722" s="874"/>
      <c r="K722" s="874"/>
      <c r="L722" s="874"/>
      <c r="M722" s="874"/>
    </row>
    <row r="723" spans="1:13">
      <c r="A723" s="874"/>
      <c r="B723" s="875"/>
      <c r="C723" s="874"/>
      <c r="D723" s="874"/>
      <c r="E723" s="874"/>
      <c r="F723" s="874"/>
      <c r="G723" s="874"/>
      <c r="H723" s="874"/>
      <c r="I723" s="874"/>
      <c r="J723" s="874"/>
      <c r="K723" s="874"/>
      <c r="L723" s="874"/>
      <c r="M723" s="874"/>
    </row>
    <row r="724" spans="1:13">
      <c r="A724" s="874"/>
      <c r="B724" s="875"/>
      <c r="C724" s="874"/>
      <c r="D724" s="874"/>
      <c r="E724" s="874"/>
      <c r="F724" s="874"/>
      <c r="G724" s="874"/>
      <c r="H724" s="874"/>
      <c r="I724" s="874"/>
      <c r="J724" s="874"/>
      <c r="K724" s="874"/>
      <c r="L724" s="874"/>
      <c r="M724" s="874"/>
    </row>
    <row r="725" spans="1:13">
      <c r="A725" s="874"/>
      <c r="B725" s="875"/>
      <c r="C725" s="874"/>
      <c r="D725" s="874"/>
      <c r="E725" s="874"/>
      <c r="F725" s="874"/>
      <c r="G725" s="874"/>
      <c r="H725" s="874"/>
      <c r="I725" s="874"/>
      <c r="J725" s="874"/>
      <c r="K725" s="874"/>
      <c r="L725" s="874"/>
      <c r="M725" s="874"/>
    </row>
    <row r="726" spans="1:13">
      <c r="A726" s="874"/>
      <c r="B726" s="875"/>
      <c r="C726" s="874"/>
      <c r="D726" s="874"/>
      <c r="E726" s="874"/>
      <c r="F726" s="874"/>
      <c r="G726" s="874"/>
      <c r="H726" s="874"/>
      <c r="I726" s="874"/>
      <c r="J726" s="874"/>
      <c r="K726" s="874"/>
      <c r="L726" s="874"/>
      <c r="M726" s="874"/>
    </row>
    <row r="727" spans="1:13">
      <c r="A727" s="874"/>
      <c r="B727" s="875"/>
      <c r="C727" s="874"/>
      <c r="D727" s="874"/>
      <c r="E727" s="874"/>
      <c r="F727" s="874"/>
      <c r="G727" s="874"/>
      <c r="H727" s="874"/>
      <c r="I727" s="874"/>
      <c r="J727" s="874"/>
      <c r="K727" s="874"/>
      <c r="L727" s="874"/>
      <c r="M727" s="874"/>
    </row>
    <row r="728" spans="1:13">
      <c r="A728" s="874"/>
      <c r="B728" s="875"/>
      <c r="C728" s="874"/>
      <c r="D728" s="874"/>
      <c r="E728" s="874"/>
      <c r="F728" s="874"/>
      <c r="G728" s="874"/>
      <c r="H728" s="874"/>
      <c r="I728" s="874"/>
      <c r="J728" s="874"/>
      <c r="K728" s="874"/>
      <c r="L728" s="874"/>
      <c r="M728" s="874"/>
    </row>
    <row r="729" spans="1:13">
      <c r="A729" s="874"/>
      <c r="B729" s="875"/>
      <c r="C729" s="874"/>
      <c r="D729" s="874"/>
      <c r="E729" s="874"/>
      <c r="F729" s="874"/>
      <c r="G729" s="874"/>
      <c r="H729" s="874"/>
      <c r="I729" s="874"/>
      <c r="J729" s="874"/>
      <c r="K729" s="874"/>
      <c r="L729" s="874"/>
      <c r="M729" s="874"/>
    </row>
    <row r="730" spans="1:13">
      <c r="A730" s="874"/>
      <c r="B730" s="875"/>
      <c r="C730" s="874"/>
      <c r="D730" s="874"/>
      <c r="E730" s="874"/>
      <c r="F730" s="874"/>
      <c r="G730" s="874"/>
      <c r="H730" s="874"/>
      <c r="I730" s="874"/>
      <c r="J730" s="874"/>
      <c r="K730" s="874"/>
      <c r="L730" s="874"/>
      <c r="M730" s="874"/>
    </row>
    <row r="731" spans="1:13">
      <c r="A731" s="874"/>
      <c r="B731" s="875"/>
      <c r="C731" s="874"/>
      <c r="D731" s="874"/>
      <c r="E731" s="874"/>
      <c r="F731" s="874"/>
      <c r="G731" s="874"/>
      <c r="H731" s="874"/>
      <c r="I731" s="874"/>
      <c r="J731" s="874"/>
      <c r="K731" s="874"/>
      <c r="L731" s="874"/>
      <c r="M731" s="874"/>
    </row>
    <row r="732" spans="1:13">
      <c r="A732" s="874"/>
      <c r="B732" s="875"/>
      <c r="C732" s="874"/>
      <c r="D732" s="874"/>
      <c r="E732" s="874"/>
      <c r="F732" s="874"/>
      <c r="G732" s="874"/>
      <c r="H732" s="874"/>
      <c r="I732" s="874"/>
      <c r="J732" s="874"/>
      <c r="K732" s="874"/>
      <c r="L732" s="874"/>
      <c r="M732" s="874"/>
    </row>
    <row r="733" spans="1:13">
      <c r="A733" s="874"/>
      <c r="B733" s="875"/>
      <c r="C733" s="874"/>
      <c r="D733" s="874"/>
      <c r="E733" s="874"/>
      <c r="F733" s="874"/>
      <c r="G733" s="874"/>
      <c r="H733" s="874"/>
      <c r="I733" s="874"/>
      <c r="J733" s="874"/>
      <c r="K733" s="874"/>
      <c r="L733" s="874"/>
      <c r="M733" s="874"/>
    </row>
    <row r="734" spans="1:13">
      <c r="A734" s="874"/>
      <c r="B734" s="875"/>
      <c r="C734" s="874"/>
      <c r="D734" s="874"/>
      <c r="E734" s="874"/>
      <c r="F734" s="874"/>
      <c r="G734" s="874"/>
      <c r="H734" s="874"/>
      <c r="I734" s="874"/>
      <c r="J734" s="874"/>
      <c r="K734" s="874"/>
      <c r="L734" s="874"/>
      <c r="M734" s="874"/>
    </row>
    <row r="735" spans="1:13">
      <c r="A735" s="874"/>
      <c r="B735" s="875"/>
      <c r="C735" s="874"/>
      <c r="D735" s="874"/>
      <c r="E735" s="874"/>
      <c r="F735" s="874"/>
      <c r="G735" s="874"/>
      <c r="H735" s="874"/>
      <c r="I735" s="874"/>
      <c r="J735" s="874"/>
      <c r="K735" s="874"/>
      <c r="L735" s="874"/>
      <c r="M735" s="874"/>
    </row>
    <row r="736" spans="1:13">
      <c r="A736" s="874"/>
      <c r="B736" s="875"/>
      <c r="C736" s="874"/>
      <c r="D736" s="874"/>
      <c r="E736" s="874"/>
      <c r="F736" s="874"/>
      <c r="G736" s="874"/>
      <c r="H736" s="874"/>
      <c r="I736" s="874"/>
      <c r="J736" s="874"/>
      <c r="K736" s="874"/>
      <c r="L736" s="874"/>
      <c r="M736" s="874"/>
    </row>
    <row r="737" spans="1:13">
      <c r="A737" s="874"/>
      <c r="B737" s="875"/>
      <c r="C737" s="874"/>
      <c r="D737" s="874"/>
      <c r="E737" s="874"/>
      <c r="F737" s="874"/>
      <c r="G737" s="874"/>
      <c r="H737" s="874"/>
      <c r="I737" s="874"/>
      <c r="J737" s="874"/>
      <c r="K737" s="874"/>
      <c r="L737" s="874"/>
      <c r="M737" s="874"/>
    </row>
    <row r="738" spans="1:13">
      <c r="A738" s="874"/>
      <c r="B738" s="875"/>
      <c r="C738" s="874"/>
      <c r="D738" s="874"/>
      <c r="E738" s="874"/>
      <c r="F738" s="874"/>
      <c r="G738" s="874"/>
      <c r="H738" s="874"/>
      <c r="I738" s="874"/>
      <c r="J738" s="874"/>
      <c r="K738" s="874"/>
      <c r="L738" s="874"/>
      <c r="M738" s="874"/>
    </row>
    <row r="739" spans="1:13">
      <c r="A739" s="874"/>
      <c r="B739" s="875"/>
      <c r="C739" s="874"/>
      <c r="D739" s="874"/>
      <c r="E739" s="874"/>
      <c r="F739" s="874"/>
      <c r="G739" s="874"/>
      <c r="H739" s="874"/>
      <c r="I739" s="874"/>
      <c r="J739" s="874"/>
      <c r="K739" s="874"/>
      <c r="L739" s="874"/>
      <c r="M739" s="874"/>
    </row>
    <row r="740" spans="1:13">
      <c r="A740" s="874"/>
      <c r="B740" s="875"/>
      <c r="C740" s="874"/>
      <c r="D740" s="874"/>
      <c r="E740" s="874"/>
      <c r="F740" s="874"/>
      <c r="G740" s="874"/>
      <c r="H740" s="874"/>
      <c r="I740" s="874"/>
      <c r="J740" s="874"/>
      <c r="K740" s="874"/>
      <c r="L740" s="874"/>
      <c r="M740" s="874"/>
    </row>
    <row r="741" spans="1:13">
      <c r="A741" s="874"/>
      <c r="B741" s="875"/>
      <c r="C741" s="874"/>
      <c r="D741" s="874"/>
      <c r="E741" s="874"/>
      <c r="F741" s="874"/>
      <c r="G741" s="874"/>
      <c r="H741" s="874"/>
      <c r="I741" s="874"/>
      <c r="J741" s="874"/>
      <c r="K741" s="874"/>
      <c r="L741" s="874"/>
      <c r="M741" s="874"/>
    </row>
    <row r="742" spans="1:13">
      <c r="A742" s="874"/>
      <c r="B742" s="875"/>
      <c r="C742" s="874"/>
      <c r="D742" s="874"/>
      <c r="E742" s="874"/>
      <c r="F742" s="874"/>
      <c r="G742" s="874"/>
      <c r="H742" s="874"/>
      <c r="I742" s="874"/>
      <c r="J742" s="874"/>
      <c r="K742" s="874"/>
      <c r="L742" s="874"/>
      <c r="M742" s="874"/>
    </row>
    <row r="743" spans="1:13">
      <c r="A743" s="874"/>
      <c r="B743" s="875"/>
      <c r="C743" s="874"/>
      <c r="D743" s="874"/>
      <c r="E743" s="874"/>
      <c r="F743" s="874"/>
      <c r="G743" s="874"/>
      <c r="H743" s="874"/>
      <c r="I743" s="874"/>
      <c r="J743" s="874"/>
      <c r="K743" s="874"/>
      <c r="L743" s="874"/>
      <c r="M743" s="874"/>
    </row>
    <row r="744" spans="1:13">
      <c r="A744" s="874"/>
      <c r="B744" s="875"/>
      <c r="C744" s="874"/>
      <c r="D744" s="874"/>
      <c r="E744" s="874"/>
      <c r="F744" s="874"/>
      <c r="G744" s="874"/>
      <c r="H744" s="874"/>
      <c r="I744" s="874"/>
      <c r="J744" s="874"/>
      <c r="K744" s="874"/>
      <c r="L744" s="874"/>
      <c r="M744" s="874"/>
    </row>
    <row r="745" spans="1:13">
      <c r="A745" s="874"/>
      <c r="B745" s="875"/>
      <c r="C745" s="874"/>
      <c r="D745" s="874"/>
      <c r="E745" s="874"/>
      <c r="F745" s="874"/>
      <c r="G745" s="874"/>
      <c r="H745" s="874"/>
      <c r="I745" s="874"/>
      <c r="J745" s="874"/>
      <c r="K745" s="874"/>
      <c r="L745" s="874"/>
      <c r="M745" s="874"/>
    </row>
    <row r="746" spans="1:13">
      <c r="A746" s="874"/>
      <c r="B746" s="875"/>
      <c r="C746" s="874"/>
      <c r="D746" s="874"/>
      <c r="E746" s="874"/>
      <c r="F746" s="874"/>
      <c r="G746" s="874"/>
      <c r="H746" s="874"/>
      <c r="I746" s="874"/>
      <c r="J746" s="874"/>
      <c r="K746" s="874"/>
      <c r="L746" s="874"/>
      <c r="M746" s="874"/>
    </row>
    <row r="747" spans="1:13">
      <c r="A747" s="874"/>
      <c r="B747" s="875"/>
      <c r="C747" s="874"/>
      <c r="D747" s="874"/>
      <c r="E747" s="874"/>
      <c r="F747" s="874"/>
      <c r="G747" s="874"/>
      <c r="H747" s="874"/>
      <c r="I747" s="874"/>
      <c r="J747" s="874"/>
      <c r="K747" s="874"/>
      <c r="L747" s="874"/>
      <c r="M747" s="874"/>
    </row>
    <row r="748" spans="1:13">
      <c r="A748" s="874"/>
      <c r="B748" s="875"/>
      <c r="C748" s="874"/>
      <c r="D748" s="874"/>
      <c r="E748" s="874"/>
      <c r="F748" s="874"/>
      <c r="G748" s="874"/>
      <c r="H748" s="874"/>
      <c r="I748" s="874"/>
      <c r="J748" s="874"/>
      <c r="K748" s="874"/>
      <c r="L748" s="874"/>
      <c r="M748" s="874"/>
    </row>
    <row r="749" spans="1:13">
      <c r="A749" s="874"/>
      <c r="B749" s="875"/>
      <c r="C749" s="874"/>
      <c r="D749" s="874"/>
      <c r="E749" s="874"/>
      <c r="F749" s="874"/>
      <c r="G749" s="874"/>
      <c r="H749" s="874"/>
      <c r="I749" s="874"/>
      <c r="J749" s="874"/>
      <c r="K749" s="874"/>
      <c r="L749" s="874"/>
      <c r="M749" s="874"/>
    </row>
    <row r="750" spans="1:13">
      <c r="A750" s="874"/>
      <c r="B750" s="875"/>
      <c r="C750" s="874"/>
      <c r="D750" s="874"/>
      <c r="E750" s="874"/>
      <c r="F750" s="874"/>
      <c r="G750" s="874"/>
      <c r="H750" s="874"/>
      <c r="I750" s="874"/>
      <c r="J750" s="874"/>
      <c r="K750" s="874"/>
      <c r="L750" s="874"/>
      <c r="M750" s="874"/>
    </row>
    <row r="751" spans="1:13">
      <c r="A751" s="874"/>
      <c r="B751" s="875"/>
      <c r="C751" s="874"/>
      <c r="D751" s="874"/>
      <c r="E751" s="874"/>
      <c r="F751" s="874"/>
      <c r="G751" s="874"/>
      <c r="H751" s="874"/>
      <c r="I751" s="874"/>
      <c r="J751" s="874"/>
      <c r="K751" s="874"/>
      <c r="L751" s="874"/>
      <c r="M751" s="874"/>
    </row>
    <row r="752" spans="1:13">
      <c r="A752" s="874"/>
      <c r="B752" s="875"/>
      <c r="C752" s="874"/>
      <c r="D752" s="874"/>
      <c r="E752" s="874"/>
      <c r="F752" s="874"/>
      <c r="G752" s="874"/>
      <c r="H752" s="874"/>
      <c r="I752" s="874"/>
      <c r="J752" s="874"/>
      <c r="K752" s="874"/>
      <c r="L752" s="874"/>
      <c r="M752" s="874"/>
    </row>
    <row r="753" spans="1:13">
      <c r="A753" s="874"/>
      <c r="B753" s="875"/>
      <c r="C753" s="874"/>
      <c r="D753" s="874"/>
      <c r="E753" s="874"/>
      <c r="F753" s="874"/>
      <c r="G753" s="874"/>
      <c r="H753" s="874"/>
      <c r="I753" s="874"/>
      <c r="J753" s="874"/>
      <c r="K753" s="874"/>
      <c r="L753" s="874"/>
      <c r="M753" s="874"/>
    </row>
    <row r="754" spans="1:13">
      <c r="A754" s="874"/>
      <c r="B754" s="875"/>
      <c r="C754" s="874"/>
      <c r="D754" s="874"/>
      <c r="E754" s="874"/>
      <c r="F754" s="874"/>
      <c r="G754" s="874"/>
      <c r="H754" s="874"/>
      <c r="I754" s="874"/>
      <c r="J754" s="874"/>
      <c r="K754" s="874"/>
      <c r="L754" s="874"/>
      <c r="M754" s="874"/>
    </row>
    <row r="755" spans="1:13">
      <c r="A755" s="874"/>
      <c r="B755" s="875"/>
      <c r="C755" s="874"/>
      <c r="D755" s="874"/>
      <c r="E755" s="874"/>
      <c r="F755" s="874"/>
      <c r="G755" s="874"/>
      <c r="H755" s="874"/>
      <c r="I755" s="874"/>
      <c r="J755" s="874"/>
      <c r="K755" s="874"/>
      <c r="L755" s="874"/>
      <c r="M755" s="874"/>
    </row>
    <row r="756" spans="1:13">
      <c r="A756" s="874"/>
      <c r="B756" s="875"/>
      <c r="C756" s="874"/>
      <c r="D756" s="874"/>
      <c r="E756" s="874"/>
      <c r="F756" s="874"/>
      <c r="G756" s="874"/>
      <c r="H756" s="874"/>
      <c r="I756" s="874"/>
      <c r="J756" s="874"/>
      <c r="K756" s="874"/>
      <c r="L756" s="874"/>
      <c r="M756" s="874"/>
    </row>
    <row r="757" spans="1:13">
      <c r="A757" s="874"/>
      <c r="B757" s="875"/>
      <c r="C757" s="874"/>
      <c r="D757" s="874"/>
      <c r="E757" s="874"/>
      <c r="F757" s="874"/>
      <c r="G757" s="874"/>
      <c r="H757" s="874"/>
      <c r="I757" s="874"/>
      <c r="J757" s="874"/>
      <c r="K757" s="874"/>
      <c r="L757" s="874"/>
      <c r="M757" s="874"/>
    </row>
    <row r="758" spans="1:13">
      <c r="A758" s="874"/>
      <c r="B758" s="875"/>
      <c r="C758" s="874"/>
      <c r="D758" s="874"/>
      <c r="E758" s="874"/>
      <c r="F758" s="874"/>
      <c r="G758" s="874"/>
      <c r="H758" s="874"/>
      <c r="I758" s="874"/>
      <c r="J758" s="874"/>
      <c r="K758" s="874"/>
      <c r="L758" s="874"/>
      <c r="M758" s="874"/>
    </row>
    <row r="759" spans="1:13">
      <c r="A759" s="874"/>
      <c r="B759" s="875"/>
      <c r="C759" s="874"/>
      <c r="D759" s="874"/>
      <c r="E759" s="874"/>
      <c r="F759" s="874"/>
      <c r="G759" s="874"/>
      <c r="H759" s="874"/>
      <c r="I759" s="874"/>
      <c r="J759" s="874"/>
      <c r="K759" s="874"/>
      <c r="L759" s="874"/>
      <c r="M759" s="874"/>
    </row>
    <row r="760" spans="1:13">
      <c r="A760" s="874"/>
      <c r="B760" s="875"/>
      <c r="C760" s="874"/>
      <c r="D760" s="874"/>
      <c r="E760" s="874"/>
      <c r="F760" s="874"/>
      <c r="G760" s="874"/>
      <c r="H760" s="874"/>
      <c r="I760" s="874"/>
      <c r="J760" s="874"/>
      <c r="K760" s="874"/>
      <c r="L760" s="874"/>
      <c r="M760" s="874"/>
    </row>
    <row r="761" spans="1:13">
      <c r="A761" s="874"/>
      <c r="B761" s="875"/>
      <c r="C761" s="874"/>
      <c r="D761" s="874"/>
      <c r="E761" s="874"/>
      <c r="F761" s="874"/>
      <c r="G761" s="874"/>
      <c r="H761" s="874"/>
      <c r="I761" s="874"/>
      <c r="J761" s="874"/>
      <c r="K761" s="874"/>
      <c r="L761" s="874"/>
      <c r="M761" s="874"/>
    </row>
    <row r="762" spans="1:13">
      <c r="A762" s="874"/>
      <c r="B762" s="875"/>
      <c r="C762" s="874"/>
      <c r="D762" s="874"/>
      <c r="E762" s="874"/>
      <c r="F762" s="874"/>
      <c r="G762" s="874"/>
      <c r="H762" s="874"/>
      <c r="I762" s="874"/>
      <c r="J762" s="874"/>
      <c r="K762" s="874"/>
      <c r="L762" s="874"/>
      <c r="M762" s="874"/>
    </row>
    <row r="763" spans="1:13">
      <c r="A763" s="874"/>
      <c r="B763" s="875"/>
      <c r="C763" s="874"/>
      <c r="D763" s="874"/>
      <c r="E763" s="874"/>
      <c r="F763" s="874"/>
      <c r="G763" s="874"/>
      <c r="H763" s="874"/>
      <c r="I763" s="874"/>
      <c r="J763" s="874"/>
      <c r="K763" s="874"/>
      <c r="L763" s="874"/>
      <c r="M763" s="874"/>
    </row>
    <row r="764" spans="1:13">
      <c r="A764" s="874"/>
      <c r="B764" s="875"/>
      <c r="C764" s="874"/>
      <c r="D764" s="874"/>
      <c r="E764" s="874"/>
      <c r="F764" s="874"/>
      <c r="G764" s="874"/>
      <c r="H764" s="874"/>
      <c r="I764" s="874"/>
      <c r="J764" s="874"/>
      <c r="K764" s="874"/>
      <c r="L764" s="874"/>
      <c r="M764" s="874"/>
    </row>
    <row r="765" spans="1:13">
      <c r="A765" s="874"/>
      <c r="B765" s="875"/>
      <c r="C765" s="874"/>
      <c r="D765" s="874"/>
      <c r="E765" s="874"/>
      <c r="F765" s="874"/>
      <c r="G765" s="874"/>
      <c r="H765" s="874"/>
      <c r="I765" s="874"/>
      <c r="J765" s="874"/>
      <c r="K765" s="874"/>
      <c r="L765" s="874"/>
      <c r="M765" s="874"/>
    </row>
    <row r="766" spans="1:13">
      <c r="A766" s="874"/>
      <c r="B766" s="875"/>
      <c r="C766" s="874"/>
      <c r="D766" s="874"/>
      <c r="E766" s="874"/>
      <c r="F766" s="874"/>
      <c r="G766" s="874"/>
      <c r="H766" s="874"/>
      <c r="I766" s="874"/>
      <c r="J766" s="874"/>
      <c r="K766" s="874"/>
      <c r="L766" s="874"/>
      <c r="M766" s="874"/>
    </row>
    <row r="767" spans="1:13">
      <c r="A767" s="874"/>
      <c r="B767" s="875"/>
      <c r="C767" s="874"/>
      <c r="D767" s="874"/>
      <c r="E767" s="874"/>
      <c r="F767" s="874"/>
      <c r="G767" s="874"/>
      <c r="H767" s="874"/>
      <c r="I767" s="874"/>
      <c r="J767" s="874"/>
      <c r="K767" s="874"/>
      <c r="L767" s="874"/>
      <c r="M767" s="874"/>
    </row>
    <row r="768" spans="1:13">
      <c r="A768" s="874"/>
      <c r="B768" s="875"/>
      <c r="C768" s="874"/>
      <c r="D768" s="874"/>
      <c r="E768" s="874"/>
      <c r="F768" s="874"/>
      <c r="G768" s="874"/>
      <c r="H768" s="874"/>
      <c r="I768" s="874"/>
      <c r="J768" s="874"/>
      <c r="K768" s="874"/>
      <c r="L768" s="874"/>
      <c r="M768" s="874"/>
    </row>
    <row r="769" spans="1:13">
      <c r="A769" s="874"/>
      <c r="B769" s="875"/>
      <c r="C769" s="874"/>
      <c r="D769" s="874"/>
      <c r="E769" s="874"/>
      <c r="F769" s="874"/>
      <c r="G769" s="874"/>
      <c r="H769" s="874"/>
      <c r="I769" s="874"/>
      <c r="J769" s="874"/>
      <c r="K769" s="874"/>
      <c r="L769" s="874"/>
      <c r="M769" s="874"/>
    </row>
    <row r="770" spans="1:13">
      <c r="A770" s="874"/>
      <c r="B770" s="875"/>
      <c r="C770" s="874"/>
      <c r="D770" s="874"/>
      <c r="E770" s="874"/>
      <c r="F770" s="874"/>
      <c r="G770" s="874"/>
      <c r="H770" s="874"/>
      <c r="I770" s="874"/>
      <c r="J770" s="874"/>
      <c r="K770" s="874"/>
      <c r="L770" s="874"/>
      <c r="M770" s="874"/>
    </row>
    <row r="771" spans="1:13">
      <c r="A771" s="874"/>
      <c r="B771" s="875"/>
      <c r="C771" s="874"/>
      <c r="D771" s="874"/>
      <c r="E771" s="874"/>
      <c r="F771" s="874"/>
      <c r="G771" s="874"/>
      <c r="H771" s="874"/>
      <c r="I771" s="874"/>
      <c r="J771" s="874"/>
      <c r="K771" s="874"/>
      <c r="L771" s="874"/>
      <c r="M771" s="874"/>
    </row>
    <row r="772" spans="1:13">
      <c r="A772" s="874"/>
      <c r="B772" s="875"/>
      <c r="C772" s="874"/>
      <c r="D772" s="874"/>
      <c r="E772" s="874"/>
      <c r="F772" s="874"/>
      <c r="G772" s="874"/>
      <c r="H772" s="874"/>
      <c r="I772" s="874"/>
      <c r="J772" s="874"/>
      <c r="K772" s="874"/>
      <c r="L772" s="874"/>
      <c r="M772" s="874"/>
    </row>
    <row r="773" spans="1:13">
      <c r="A773" s="874"/>
      <c r="B773" s="875"/>
      <c r="C773" s="874"/>
      <c r="D773" s="874"/>
      <c r="E773" s="874"/>
      <c r="F773" s="874"/>
      <c r="G773" s="874"/>
      <c r="H773" s="874"/>
      <c r="I773" s="874"/>
      <c r="J773" s="874"/>
      <c r="K773" s="874"/>
      <c r="L773" s="874"/>
      <c r="M773" s="874"/>
    </row>
    <row r="774" spans="1:13">
      <c r="A774" s="874"/>
      <c r="B774" s="875"/>
      <c r="C774" s="874"/>
      <c r="D774" s="874"/>
      <c r="E774" s="874"/>
      <c r="F774" s="874"/>
      <c r="G774" s="874"/>
      <c r="H774" s="874"/>
      <c r="I774" s="874"/>
      <c r="J774" s="874"/>
      <c r="K774" s="874"/>
      <c r="L774" s="874"/>
      <c r="M774" s="874"/>
    </row>
    <row r="775" spans="1:13">
      <c r="A775" s="874"/>
      <c r="B775" s="875"/>
      <c r="C775" s="874"/>
      <c r="D775" s="874"/>
      <c r="E775" s="874"/>
      <c r="F775" s="874"/>
      <c r="G775" s="874"/>
      <c r="H775" s="874"/>
      <c r="I775" s="874"/>
      <c r="J775" s="874"/>
      <c r="K775" s="874"/>
      <c r="L775" s="874"/>
      <c r="M775" s="874"/>
    </row>
    <row r="776" spans="1:13">
      <c r="A776" s="874"/>
      <c r="B776" s="875"/>
      <c r="C776" s="874"/>
      <c r="D776" s="874"/>
      <c r="E776" s="874"/>
      <c r="F776" s="874"/>
      <c r="G776" s="874"/>
      <c r="H776" s="874"/>
      <c r="I776" s="874"/>
      <c r="J776" s="874"/>
      <c r="K776" s="874"/>
      <c r="L776" s="874"/>
      <c r="M776" s="874"/>
    </row>
    <row r="777" spans="1:13">
      <c r="A777" s="874"/>
      <c r="B777" s="875"/>
      <c r="C777" s="874"/>
      <c r="D777" s="874"/>
      <c r="E777" s="874"/>
      <c r="F777" s="874"/>
      <c r="G777" s="874"/>
      <c r="H777" s="874"/>
      <c r="I777" s="874"/>
      <c r="J777" s="874"/>
      <c r="K777" s="874"/>
      <c r="L777" s="874"/>
      <c r="M777" s="874"/>
    </row>
    <row r="778" spans="1:13">
      <c r="A778" s="874"/>
      <c r="B778" s="875"/>
      <c r="C778" s="874"/>
      <c r="D778" s="874"/>
      <c r="E778" s="874"/>
      <c r="F778" s="874"/>
      <c r="G778" s="874"/>
      <c r="H778" s="874"/>
      <c r="I778" s="874"/>
      <c r="J778" s="874"/>
      <c r="K778" s="874"/>
      <c r="L778" s="874"/>
      <c r="M778" s="874"/>
    </row>
    <row r="779" spans="1:13">
      <c r="A779" s="874"/>
      <c r="B779" s="875"/>
      <c r="C779" s="874"/>
      <c r="D779" s="874"/>
      <c r="E779" s="874"/>
      <c r="F779" s="874"/>
      <c r="G779" s="874"/>
      <c r="H779" s="874"/>
      <c r="I779" s="874"/>
      <c r="J779" s="874"/>
      <c r="K779" s="874"/>
      <c r="L779" s="874"/>
      <c r="M779" s="874"/>
    </row>
    <row r="780" spans="1:13">
      <c r="A780" s="874"/>
      <c r="B780" s="875"/>
      <c r="C780" s="874"/>
      <c r="D780" s="874"/>
      <c r="E780" s="874"/>
      <c r="F780" s="874"/>
      <c r="G780" s="874"/>
      <c r="H780" s="874"/>
      <c r="I780" s="874"/>
      <c r="J780" s="874"/>
      <c r="K780" s="874"/>
      <c r="L780" s="874"/>
      <c r="M780" s="874"/>
    </row>
    <row r="781" spans="1:13">
      <c r="A781" s="874"/>
      <c r="B781" s="875"/>
      <c r="C781" s="874"/>
      <c r="D781" s="874"/>
      <c r="E781" s="874"/>
      <c r="F781" s="874"/>
      <c r="G781" s="874"/>
      <c r="H781" s="874"/>
      <c r="I781" s="874"/>
      <c r="J781" s="874"/>
      <c r="K781" s="874"/>
      <c r="L781" s="874"/>
      <c r="M781" s="874"/>
    </row>
    <row r="782" spans="1:13">
      <c r="A782" s="874"/>
      <c r="B782" s="875"/>
      <c r="C782" s="874"/>
      <c r="D782" s="874"/>
      <c r="E782" s="874"/>
      <c r="F782" s="874"/>
      <c r="G782" s="874"/>
      <c r="H782" s="874"/>
      <c r="I782" s="874"/>
      <c r="J782" s="874"/>
      <c r="K782" s="874"/>
      <c r="L782" s="874"/>
      <c r="M782" s="874"/>
    </row>
    <row r="783" spans="1:13">
      <c r="A783" s="874"/>
      <c r="B783" s="875"/>
      <c r="C783" s="874"/>
      <c r="D783" s="874"/>
      <c r="E783" s="874"/>
      <c r="F783" s="874"/>
      <c r="G783" s="874"/>
      <c r="H783" s="874"/>
      <c r="I783" s="874"/>
      <c r="J783" s="874"/>
      <c r="K783" s="874"/>
      <c r="L783" s="874"/>
      <c r="M783" s="874"/>
    </row>
    <row r="784" spans="1:13">
      <c r="A784" s="874"/>
      <c r="B784" s="875"/>
      <c r="C784" s="874"/>
      <c r="D784" s="874"/>
      <c r="E784" s="874"/>
      <c r="F784" s="874"/>
      <c r="G784" s="874"/>
      <c r="H784" s="874"/>
      <c r="I784" s="874"/>
      <c r="J784" s="874"/>
      <c r="K784" s="874"/>
      <c r="L784" s="874"/>
      <c r="M784" s="874"/>
    </row>
    <row r="785" spans="1:13">
      <c r="A785" s="874"/>
      <c r="B785" s="875"/>
      <c r="C785" s="874"/>
      <c r="D785" s="874"/>
      <c r="E785" s="874"/>
      <c r="F785" s="874"/>
      <c r="G785" s="874"/>
      <c r="H785" s="874"/>
      <c r="I785" s="874"/>
      <c r="J785" s="874"/>
      <c r="K785" s="874"/>
      <c r="L785" s="874"/>
      <c r="M785" s="874"/>
    </row>
    <row r="786" spans="1:13">
      <c r="A786" s="874"/>
      <c r="B786" s="875"/>
      <c r="C786" s="874"/>
      <c r="D786" s="874"/>
      <c r="E786" s="874"/>
      <c r="F786" s="874"/>
      <c r="G786" s="874"/>
      <c r="H786" s="874"/>
      <c r="I786" s="874"/>
      <c r="J786" s="874"/>
      <c r="K786" s="874"/>
      <c r="L786" s="874"/>
      <c r="M786" s="874"/>
    </row>
    <row r="787" spans="1:13">
      <c r="A787" s="874"/>
      <c r="B787" s="875"/>
      <c r="C787" s="874"/>
      <c r="D787" s="874"/>
      <c r="E787" s="874"/>
      <c r="F787" s="874"/>
      <c r="G787" s="874"/>
      <c r="H787" s="874"/>
      <c r="I787" s="874"/>
      <c r="J787" s="874"/>
      <c r="K787" s="874"/>
      <c r="L787" s="874"/>
      <c r="M787" s="874"/>
    </row>
    <row r="788" spans="1:13">
      <c r="A788" s="874"/>
      <c r="B788" s="875"/>
      <c r="C788" s="874"/>
      <c r="D788" s="874"/>
      <c r="E788" s="874"/>
      <c r="F788" s="874"/>
      <c r="G788" s="874"/>
      <c r="H788" s="874"/>
      <c r="I788" s="874"/>
      <c r="J788" s="874"/>
      <c r="K788" s="874"/>
      <c r="L788" s="874"/>
      <c r="M788" s="874"/>
    </row>
    <row r="789" spans="1:13">
      <c r="A789" s="874"/>
      <c r="B789" s="875"/>
      <c r="C789" s="874"/>
      <c r="D789" s="874"/>
      <c r="E789" s="874"/>
      <c r="F789" s="874"/>
      <c r="G789" s="874"/>
      <c r="H789" s="874"/>
      <c r="I789" s="874"/>
      <c r="J789" s="874"/>
      <c r="K789" s="874"/>
      <c r="L789" s="874"/>
      <c r="M789" s="874"/>
    </row>
    <row r="790" spans="1:13">
      <c r="A790" s="874"/>
      <c r="B790" s="875"/>
      <c r="C790" s="874"/>
      <c r="D790" s="874"/>
      <c r="E790" s="874"/>
      <c r="F790" s="874"/>
      <c r="G790" s="874"/>
      <c r="H790" s="874"/>
      <c r="I790" s="874"/>
      <c r="J790" s="874"/>
      <c r="K790" s="874"/>
      <c r="L790" s="874"/>
      <c r="M790" s="874"/>
    </row>
    <row r="791" spans="1:13">
      <c r="A791" s="874"/>
      <c r="B791" s="875"/>
      <c r="C791" s="874"/>
      <c r="D791" s="874"/>
      <c r="E791" s="874"/>
      <c r="F791" s="874"/>
      <c r="G791" s="874"/>
      <c r="H791" s="874"/>
      <c r="I791" s="874"/>
      <c r="J791" s="874"/>
      <c r="K791" s="874"/>
      <c r="L791" s="874"/>
      <c r="M791" s="874"/>
    </row>
    <row r="792" spans="1:13">
      <c r="A792" s="874"/>
      <c r="B792" s="875"/>
      <c r="C792" s="874"/>
      <c r="D792" s="874"/>
      <c r="E792" s="874"/>
      <c r="F792" s="874"/>
      <c r="G792" s="874"/>
      <c r="H792" s="874"/>
      <c r="I792" s="874"/>
      <c r="J792" s="874"/>
      <c r="K792" s="874"/>
      <c r="L792" s="874"/>
      <c r="M792" s="874"/>
    </row>
    <row r="793" spans="1:13">
      <c r="A793" s="874"/>
      <c r="B793" s="875"/>
      <c r="C793" s="874"/>
      <c r="D793" s="874"/>
      <c r="E793" s="874"/>
      <c r="F793" s="874"/>
      <c r="G793" s="874"/>
      <c r="H793" s="874"/>
      <c r="I793" s="874"/>
      <c r="J793" s="874"/>
      <c r="K793" s="874"/>
      <c r="L793" s="874"/>
      <c r="M793" s="874"/>
    </row>
    <row r="794" spans="1:13">
      <c r="A794" s="874"/>
      <c r="B794" s="875"/>
      <c r="C794" s="874"/>
      <c r="D794" s="874"/>
      <c r="E794" s="874"/>
      <c r="F794" s="874"/>
      <c r="G794" s="874"/>
      <c r="H794" s="874"/>
      <c r="I794" s="874"/>
      <c r="J794" s="874"/>
      <c r="K794" s="874"/>
      <c r="L794" s="874"/>
      <c r="M794" s="874"/>
    </row>
    <row r="795" spans="1:13">
      <c r="A795" s="874"/>
      <c r="B795" s="875"/>
      <c r="C795" s="874"/>
      <c r="D795" s="874"/>
      <c r="E795" s="874"/>
      <c r="F795" s="874"/>
      <c r="G795" s="874"/>
      <c r="H795" s="874"/>
      <c r="I795" s="874"/>
      <c r="J795" s="874"/>
      <c r="K795" s="874"/>
      <c r="L795" s="874"/>
      <c r="M795" s="874"/>
    </row>
    <row r="796" spans="1:13">
      <c r="A796" s="874"/>
      <c r="B796" s="875"/>
      <c r="C796" s="874"/>
      <c r="D796" s="874"/>
      <c r="E796" s="874"/>
      <c r="F796" s="874"/>
      <c r="G796" s="874"/>
      <c r="H796" s="874"/>
      <c r="I796" s="874"/>
      <c r="J796" s="874"/>
      <c r="K796" s="874"/>
      <c r="L796" s="874"/>
      <c r="M796" s="874"/>
    </row>
    <row r="797" spans="1:13">
      <c r="A797" s="874"/>
      <c r="B797" s="875"/>
      <c r="C797" s="874"/>
      <c r="D797" s="874"/>
      <c r="E797" s="874"/>
      <c r="F797" s="874"/>
      <c r="G797" s="874"/>
      <c r="H797" s="874"/>
      <c r="I797" s="874"/>
      <c r="J797" s="874"/>
      <c r="K797" s="874"/>
      <c r="L797" s="874"/>
      <c r="M797" s="874"/>
    </row>
    <row r="798" spans="1:13">
      <c r="A798" s="874"/>
      <c r="B798" s="875"/>
      <c r="C798" s="874"/>
      <c r="D798" s="874"/>
      <c r="E798" s="874"/>
      <c r="F798" s="874"/>
      <c r="G798" s="874"/>
      <c r="H798" s="874"/>
      <c r="I798" s="874"/>
      <c r="J798" s="874"/>
      <c r="K798" s="874"/>
      <c r="L798" s="874"/>
      <c r="M798" s="874"/>
    </row>
    <row r="799" spans="1:13">
      <c r="A799" s="874"/>
      <c r="B799" s="875"/>
      <c r="C799" s="874"/>
      <c r="D799" s="874"/>
      <c r="E799" s="874"/>
      <c r="F799" s="874"/>
      <c r="G799" s="874"/>
      <c r="H799" s="874"/>
      <c r="I799" s="874"/>
      <c r="J799" s="874"/>
      <c r="K799" s="874"/>
      <c r="L799" s="874"/>
      <c r="M799" s="874"/>
    </row>
    <row r="800" spans="1:13">
      <c r="A800" s="874"/>
      <c r="B800" s="875"/>
      <c r="C800" s="874"/>
      <c r="D800" s="874"/>
      <c r="E800" s="874"/>
      <c r="F800" s="874"/>
      <c r="G800" s="874"/>
      <c r="H800" s="874"/>
      <c r="I800" s="874"/>
      <c r="J800" s="874"/>
      <c r="K800" s="874"/>
      <c r="L800" s="874"/>
      <c r="M800" s="874"/>
    </row>
    <row r="801" spans="1:13">
      <c r="A801" s="874"/>
      <c r="B801" s="875"/>
      <c r="C801" s="874"/>
      <c r="D801" s="874"/>
      <c r="E801" s="874"/>
      <c r="F801" s="874"/>
      <c r="G801" s="874"/>
      <c r="H801" s="874"/>
      <c r="I801" s="874"/>
      <c r="J801" s="874"/>
      <c r="K801" s="874"/>
      <c r="L801" s="874"/>
      <c r="M801" s="874"/>
    </row>
    <row r="802" spans="1:13">
      <c r="A802" s="874"/>
      <c r="B802" s="875"/>
      <c r="C802" s="874"/>
      <c r="D802" s="874"/>
      <c r="E802" s="874"/>
      <c r="F802" s="874"/>
      <c r="G802" s="874"/>
      <c r="H802" s="874"/>
      <c r="I802" s="874"/>
      <c r="J802" s="874"/>
      <c r="K802" s="874"/>
      <c r="L802" s="874"/>
      <c r="M802" s="874"/>
    </row>
    <row r="803" spans="1:13">
      <c r="A803" s="874"/>
      <c r="B803" s="875"/>
      <c r="C803" s="874"/>
      <c r="D803" s="874"/>
      <c r="E803" s="874"/>
      <c r="F803" s="874"/>
      <c r="G803" s="874"/>
      <c r="H803" s="874"/>
      <c r="I803" s="874"/>
      <c r="J803" s="874"/>
      <c r="K803" s="874"/>
      <c r="L803" s="874"/>
      <c r="M803" s="874"/>
    </row>
    <row r="804" spans="1:13">
      <c r="A804" s="874"/>
      <c r="B804" s="875"/>
      <c r="C804" s="874"/>
      <c r="D804" s="874"/>
      <c r="E804" s="874"/>
      <c r="F804" s="874"/>
      <c r="G804" s="874"/>
      <c r="H804" s="874"/>
      <c r="I804" s="874"/>
      <c r="J804" s="874"/>
      <c r="K804" s="874"/>
      <c r="L804" s="874"/>
      <c r="M804" s="874"/>
    </row>
    <row r="805" spans="1:13">
      <c r="A805" s="874"/>
      <c r="B805" s="875"/>
      <c r="C805" s="874"/>
      <c r="D805" s="874"/>
      <c r="E805" s="874"/>
      <c r="F805" s="874"/>
      <c r="G805" s="874"/>
      <c r="H805" s="874"/>
      <c r="I805" s="874"/>
      <c r="J805" s="874"/>
      <c r="K805" s="874"/>
      <c r="L805" s="874"/>
      <c r="M805" s="874"/>
    </row>
    <row r="806" spans="1:13">
      <c r="A806" s="874"/>
      <c r="B806" s="875"/>
      <c r="C806" s="874"/>
      <c r="D806" s="874"/>
      <c r="E806" s="874"/>
      <c r="F806" s="874"/>
      <c r="G806" s="874"/>
      <c r="H806" s="874"/>
      <c r="I806" s="874"/>
      <c r="J806" s="874"/>
      <c r="K806" s="874"/>
      <c r="L806" s="874"/>
      <c r="M806" s="874"/>
    </row>
    <row r="807" spans="1:13">
      <c r="A807" s="874"/>
      <c r="B807" s="875"/>
      <c r="C807" s="874"/>
      <c r="D807" s="874"/>
      <c r="E807" s="874"/>
      <c r="F807" s="874"/>
      <c r="G807" s="874"/>
      <c r="H807" s="874"/>
      <c r="I807" s="874"/>
      <c r="J807" s="874"/>
      <c r="K807" s="874"/>
      <c r="L807" s="874"/>
      <c r="M807" s="874"/>
    </row>
    <row r="808" spans="1:13">
      <c r="A808" s="874"/>
      <c r="B808" s="875"/>
      <c r="C808" s="874"/>
      <c r="D808" s="874"/>
      <c r="E808" s="874"/>
      <c r="F808" s="874"/>
      <c r="G808" s="874"/>
      <c r="H808" s="874"/>
      <c r="I808" s="874"/>
      <c r="J808" s="874"/>
      <c r="K808" s="874"/>
      <c r="L808" s="874"/>
      <c r="M808" s="874"/>
    </row>
    <row r="809" spans="1:13">
      <c r="A809" s="874"/>
      <c r="B809" s="875"/>
      <c r="C809" s="874"/>
      <c r="D809" s="874"/>
      <c r="E809" s="874"/>
      <c r="F809" s="874"/>
      <c r="G809" s="874"/>
      <c r="H809" s="874"/>
      <c r="I809" s="874"/>
      <c r="J809" s="874"/>
      <c r="K809" s="874"/>
      <c r="L809" s="874"/>
      <c r="M809" s="874"/>
    </row>
    <row r="810" spans="1:13">
      <c r="A810" s="874"/>
      <c r="B810" s="875"/>
      <c r="C810" s="874"/>
      <c r="D810" s="874"/>
      <c r="E810" s="874"/>
      <c r="F810" s="874"/>
      <c r="G810" s="874"/>
      <c r="H810" s="874"/>
      <c r="I810" s="874"/>
      <c r="J810" s="874"/>
      <c r="K810" s="874"/>
      <c r="L810" s="874"/>
      <c r="M810" s="874"/>
    </row>
    <row r="811" spans="1:13">
      <c r="A811" s="874"/>
      <c r="B811" s="875"/>
      <c r="C811" s="874"/>
      <c r="D811" s="874"/>
      <c r="E811" s="874"/>
      <c r="F811" s="874"/>
      <c r="G811" s="874"/>
      <c r="H811" s="874"/>
      <c r="I811" s="874"/>
      <c r="J811" s="874"/>
      <c r="K811" s="874"/>
      <c r="L811" s="874"/>
      <c r="M811" s="874"/>
    </row>
    <row r="812" spans="1:13">
      <c r="A812" s="874"/>
      <c r="B812" s="875"/>
      <c r="C812" s="874"/>
      <c r="D812" s="874"/>
      <c r="E812" s="874"/>
      <c r="F812" s="874"/>
      <c r="G812" s="874"/>
      <c r="H812" s="874"/>
      <c r="I812" s="874"/>
      <c r="J812" s="874"/>
      <c r="K812" s="874"/>
      <c r="L812" s="874"/>
      <c r="M812" s="874"/>
    </row>
    <row r="813" spans="1:13">
      <c r="A813" s="874"/>
      <c r="B813" s="875"/>
      <c r="C813" s="874"/>
      <c r="D813" s="874"/>
      <c r="E813" s="874"/>
      <c r="F813" s="874"/>
      <c r="G813" s="874"/>
      <c r="H813" s="874"/>
      <c r="I813" s="874"/>
      <c r="J813" s="874"/>
      <c r="K813" s="874"/>
      <c r="L813" s="874"/>
      <c r="M813" s="874"/>
    </row>
    <row r="814" spans="1:13">
      <c r="A814" s="874"/>
      <c r="B814" s="875"/>
      <c r="C814" s="874"/>
      <c r="D814" s="874"/>
      <c r="E814" s="874"/>
      <c r="F814" s="874"/>
      <c r="G814" s="874"/>
      <c r="H814" s="874"/>
      <c r="I814" s="874"/>
      <c r="J814" s="874"/>
      <c r="K814" s="874"/>
      <c r="L814" s="874"/>
      <c r="M814" s="874"/>
    </row>
    <row r="815" spans="1:13">
      <c r="A815" s="874"/>
      <c r="B815" s="875"/>
      <c r="C815" s="874"/>
      <c r="D815" s="874"/>
      <c r="E815" s="874"/>
      <c r="F815" s="874"/>
      <c r="G815" s="874"/>
      <c r="H815" s="874"/>
      <c r="I815" s="874"/>
      <c r="J815" s="874"/>
      <c r="K815" s="874"/>
      <c r="L815" s="874"/>
      <c r="M815" s="874"/>
    </row>
    <row r="816" spans="1:13">
      <c r="A816" s="874"/>
      <c r="B816" s="875"/>
      <c r="C816" s="874"/>
      <c r="D816" s="874"/>
      <c r="E816" s="874"/>
      <c r="F816" s="874"/>
      <c r="G816" s="874"/>
      <c r="H816" s="874"/>
      <c r="I816" s="874"/>
      <c r="J816" s="874"/>
      <c r="K816" s="874"/>
      <c r="L816" s="874"/>
      <c r="M816" s="874"/>
    </row>
    <row r="817" spans="1:13">
      <c r="A817" s="874"/>
      <c r="B817" s="875"/>
      <c r="C817" s="874"/>
      <c r="D817" s="874"/>
      <c r="E817" s="874"/>
      <c r="F817" s="874"/>
      <c r="G817" s="874"/>
      <c r="H817" s="874"/>
      <c r="I817" s="874"/>
      <c r="J817" s="874"/>
      <c r="K817" s="874"/>
      <c r="L817" s="874"/>
      <c r="M817" s="874"/>
    </row>
    <row r="818" spans="1:13">
      <c r="A818" s="874"/>
      <c r="B818" s="875"/>
      <c r="C818" s="874"/>
      <c r="D818" s="874"/>
      <c r="E818" s="874"/>
      <c r="F818" s="874"/>
      <c r="G818" s="874"/>
      <c r="H818" s="874"/>
      <c r="I818" s="874"/>
      <c r="J818" s="874"/>
      <c r="K818" s="874"/>
      <c r="L818" s="874"/>
      <c r="M818" s="874"/>
    </row>
    <row r="819" spans="1:13">
      <c r="A819" s="874"/>
      <c r="B819" s="875"/>
      <c r="C819" s="874"/>
      <c r="D819" s="874"/>
      <c r="E819" s="874"/>
      <c r="F819" s="874"/>
      <c r="G819" s="874"/>
      <c r="H819" s="874"/>
      <c r="I819" s="874"/>
      <c r="J819" s="874"/>
      <c r="K819" s="874"/>
      <c r="L819" s="874"/>
      <c r="M819" s="874"/>
    </row>
    <row r="820" spans="1:13">
      <c r="A820" s="874"/>
      <c r="B820" s="875"/>
      <c r="C820" s="874"/>
      <c r="D820" s="874"/>
      <c r="E820" s="874"/>
      <c r="F820" s="874"/>
      <c r="G820" s="874"/>
      <c r="H820" s="874"/>
      <c r="I820" s="874"/>
      <c r="J820" s="874"/>
      <c r="K820" s="874"/>
      <c r="L820" s="874"/>
      <c r="M820" s="874"/>
    </row>
    <row r="821" spans="1:13">
      <c r="A821" s="874"/>
      <c r="B821" s="875"/>
      <c r="C821" s="874"/>
      <c r="D821" s="874"/>
      <c r="E821" s="874"/>
      <c r="F821" s="874"/>
      <c r="G821" s="874"/>
      <c r="H821" s="874"/>
      <c r="I821" s="874"/>
      <c r="J821" s="874"/>
      <c r="K821" s="874"/>
      <c r="L821" s="874"/>
      <c r="M821" s="874"/>
    </row>
    <row r="822" spans="1:13">
      <c r="A822" s="874"/>
      <c r="B822" s="875"/>
      <c r="C822" s="874"/>
      <c r="D822" s="874"/>
      <c r="E822" s="874"/>
      <c r="F822" s="874"/>
      <c r="G822" s="874"/>
      <c r="H822" s="874"/>
      <c r="I822" s="874"/>
      <c r="J822" s="874"/>
      <c r="K822" s="874"/>
      <c r="L822" s="874"/>
      <c r="M822" s="874"/>
    </row>
    <row r="823" spans="1:13">
      <c r="A823" s="874"/>
      <c r="B823" s="875"/>
      <c r="C823" s="874"/>
      <c r="D823" s="874"/>
      <c r="E823" s="874"/>
      <c r="F823" s="874"/>
      <c r="G823" s="874"/>
      <c r="H823" s="874"/>
      <c r="I823" s="874"/>
      <c r="J823" s="874"/>
      <c r="K823" s="874"/>
      <c r="L823" s="874"/>
      <c r="M823" s="874"/>
    </row>
    <row r="824" spans="1:13">
      <c r="A824" s="874"/>
      <c r="B824" s="875"/>
      <c r="C824" s="874"/>
      <c r="D824" s="874"/>
      <c r="E824" s="874"/>
      <c r="F824" s="874"/>
      <c r="G824" s="874"/>
      <c r="H824" s="874"/>
      <c r="I824" s="874"/>
      <c r="J824" s="874"/>
      <c r="K824" s="874"/>
      <c r="L824" s="874"/>
      <c r="M824" s="874"/>
    </row>
    <row r="825" spans="1:13">
      <c r="A825" s="874"/>
      <c r="B825" s="875"/>
      <c r="C825" s="874"/>
      <c r="D825" s="874"/>
      <c r="E825" s="874"/>
      <c r="F825" s="874"/>
      <c r="G825" s="874"/>
      <c r="H825" s="874"/>
      <c r="I825" s="874"/>
      <c r="J825" s="874"/>
      <c r="K825" s="874"/>
      <c r="L825" s="874"/>
      <c r="M825" s="874"/>
    </row>
    <row r="826" spans="1:13">
      <c r="A826" s="874"/>
      <c r="B826" s="875"/>
      <c r="C826" s="874"/>
      <c r="D826" s="874"/>
      <c r="E826" s="874"/>
      <c r="F826" s="874"/>
      <c r="G826" s="874"/>
      <c r="H826" s="874"/>
      <c r="I826" s="874"/>
      <c r="J826" s="874"/>
      <c r="K826" s="874"/>
      <c r="L826" s="874"/>
      <c r="M826" s="874"/>
    </row>
    <row r="827" spans="1:13">
      <c r="A827" s="874"/>
      <c r="B827" s="875"/>
      <c r="C827" s="874"/>
      <c r="D827" s="874"/>
      <c r="E827" s="874"/>
      <c r="F827" s="874"/>
      <c r="G827" s="874"/>
      <c r="H827" s="874"/>
      <c r="I827" s="874"/>
      <c r="J827" s="874"/>
      <c r="K827" s="874"/>
      <c r="L827" s="874"/>
      <c r="M827" s="874"/>
    </row>
    <row r="828" spans="1:13">
      <c r="A828" s="874"/>
      <c r="B828" s="875"/>
      <c r="C828" s="874"/>
      <c r="D828" s="874"/>
      <c r="E828" s="874"/>
      <c r="F828" s="874"/>
      <c r="G828" s="874"/>
      <c r="H828" s="874"/>
      <c r="I828" s="874"/>
      <c r="J828" s="874"/>
      <c r="K828" s="874"/>
      <c r="L828" s="874"/>
      <c r="M828" s="874"/>
    </row>
    <row r="829" spans="1:13">
      <c r="A829" s="874"/>
      <c r="B829" s="875"/>
      <c r="C829" s="874"/>
      <c r="D829" s="874"/>
      <c r="E829" s="874"/>
      <c r="F829" s="874"/>
      <c r="G829" s="874"/>
      <c r="H829" s="874"/>
      <c r="I829" s="874"/>
      <c r="J829" s="874"/>
      <c r="K829" s="874"/>
      <c r="L829" s="874"/>
      <c r="M829" s="874"/>
    </row>
    <row r="830" spans="1:13">
      <c r="A830" s="874"/>
      <c r="B830" s="875"/>
      <c r="C830" s="874"/>
      <c r="D830" s="874"/>
      <c r="E830" s="874"/>
      <c r="F830" s="874"/>
      <c r="G830" s="874"/>
      <c r="H830" s="874"/>
      <c r="I830" s="874"/>
      <c r="J830" s="874"/>
      <c r="K830" s="874"/>
      <c r="L830" s="874"/>
      <c r="M830" s="874"/>
    </row>
    <row r="831" spans="1:13">
      <c r="A831" s="874"/>
      <c r="B831" s="875"/>
      <c r="C831" s="874"/>
      <c r="D831" s="874"/>
      <c r="E831" s="874"/>
      <c r="F831" s="874"/>
      <c r="G831" s="874"/>
      <c r="H831" s="874"/>
      <c r="I831" s="874"/>
      <c r="J831" s="874"/>
      <c r="K831" s="874"/>
      <c r="L831" s="874"/>
      <c r="M831" s="874"/>
    </row>
    <row r="832" spans="1:13">
      <c r="A832" s="874"/>
      <c r="B832" s="875"/>
      <c r="C832" s="874"/>
      <c r="D832" s="874"/>
      <c r="E832" s="874"/>
      <c r="F832" s="874"/>
      <c r="G832" s="874"/>
      <c r="H832" s="874"/>
      <c r="I832" s="874"/>
      <c r="J832" s="874"/>
      <c r="K832" s="874"/>
      <c r="L832" s="874"/>
      <c r="M832" s="874"/>
    </row>
    <row r="833" spans="1:13">
      <c r="A833" s="874"/>
      <c r="B833" s="875"/>
      <c r="C833" s="874"/>
      <c r="D833" s="874"/>
      <c r="E833" s="874"/>
      <c r="F833" s="874"/>
      <c r="G833" s="874"/>
      <c r="H833" s="874"/>
      <c r="I833" s="874"/>
      <c r="J833" s="874"/>
      <c r="K833" s="874"/>
      <c r="L833" s="874"/>
      <c r="M833" s="874"/>
    </row>
    <row r="834" spans="1:13">
      <c r="A834" s="874"/>
      <c r="B834" s="875"/>
      <c r="C834" s="874"/>
      <c r="D834" s="874"/>
      <c r="E834" s="874"/>
      <c r="F834" s="874"/>
      <c r="G834" s="874"/>
      <c r="H834" s="874"/>
      <c r="I834" s="874"/>
      <c r="J834" s="874"/>
      <c r="K834" s="874"/>
      <c r="L834" s="874"/>
      <c r="M834" s="874"/>
    </row>
    <row r="835" spans="1:13">
      <c r="A835" s="874"/>
      <c r="B835" s="875"/>
      <c r="C835" s="874"/>
      <c r="D835" s="874"/>
      <c r="E835" s="874"/>
      <c r="F835" s="874"/>
      <c r="G835" s="874"/>
      <c r="H835" s="874"/>
      <c r="I835" s="874"/>
      <c r="J835" s="874"/>
      <c r="K835" s="874"/>
      <c r="L835" s="874"/>
      <c r="M835" s="874"/>
    </row>
    <row r="836" spans="1:13">
      <c r="A836" s="874"/>
      <c r="B836" s="875"/>
      <c r="C836" s="874"/>
      <c r="D836" s="874"/>
      <c r="E836" s="874"/>
      <c r="F836" s="874"/>
      <c r="G836" s="874"/>
      <c r="H836" s="874"/>
      <c r="I836" s="874"/>
      <c r="J836" s="874"/>
      <c r="K836" s="874"/>
      <c r="L836" s="874"/>
      <c r="M836" s="874"/>
    </row>
    <row r="837" spans="1:13">
      <c r="A837" s="874"/>
      <c r="B837" s="875"/>
      <c r="C837" s="874"/>
      <c r="D837" s="874"/>
      <c r="E837" s="874"/>
      <c r="F837" s="874"/>
      <c r="G837" s="874"/>
      <c r="H837" s="874"/>
      <c r="I837" s="874"/>
      <c r="J837" s="874"/>
      <c r="K837" s="874"/>
      <c r="L837" s="874"/>
      <c r="M837" s="874"/>
    </row>
    <row r="838" spans="1:13">
      <c r="A838" s="874"/>
      <c r="B838" s="875"/>
      <c r="C838" s="874"/>
      <c r="D838" s="874"/>
      <c r="E838" s="874"/>
      <c r="F838" s="874"/>
      <c r="G838" s="874"/>
      <c r="H838" s="874"/>
      <c r="I838" s="874"/>
      <c r="J838" s="874"/>
      <c r="K838" s="874"/>
      <c r="L838" s="874"/>
      <c r="M838" s="874"/>
    </row>
    <row r="839" spans="1:13">
      <c r="A839" s="874"/>
      <c r="B839" s="875"/>
      <c r="C839" s="874"/>
      <c r="D839" s="874"/>
      <c r="E839" s="874"/>
      <c r="F839" s="874"/>
      <c r="G839" s="874"/>
      <c r="H839" s="874"/>
      <c r="I839" s="874"/>
      <c r="J839" s="874"/>
      <c r="K839" s="874"/>
      <c r="L839" s="874"/>
      <c r="M839" s="874"/>
    </row>
    <row r="840" spans="1:13">
      <c r="A840" s="874"/>
      <c r="B840" s="875"/>
      <c r="C840" s="874"/>
      <c r="D840" s="874"/>
      <c r="E840" s="874"/>
      <c r="F840" s="874"/>
      <c r="G840" s="874"/>
      <c r="H840" s="874"/>
      <c r="I840" s="874"/>
      <c r="J840" s="874"/>
      <c r="K840" s="874"/>
      <c r="L840" s="874"/>
      <c r="M840" s="874"/>
    </row>
    <row r="841" spans="1:13">
      <c r="A841" s="874"/>
      <c r="B841" s="875"/>
      <c r="C841" s="874"/>
      <c r="D841" s="874"/>
      <c r="E841" s="874"/>
      <c r="F841" s="874"/>
      <c r="G841" s="874"/>
      <c r="H841" s="874"/>
      <c r="I841" s="874"/>
      <c r="J841" s="874"/>
      <c r="K841" s="874"/>
      <c r="L841" s="874"/>
      <c r="M841" s="874"/>
    </row>
    <row r="842" spans="1:13">
      <c r="A842" s="874"/>
      <c r="B842" s="875"/>
      <c r="C842" s="874"/>
      <c r="D842" s="874"/>
      <c r="E842" s="874"/>
      <c r="F842" s="874"/>
      <c r="G842" s="874"/>
      <c r="H842" s="874"/>
      <c r="I842" s="874"/>
      <c r="J842" s="874"/>
      <c r="K842" s="874"/>
      <c r="L842" s="874"/>
      <c r="M842" s="874"/>
    </row>
    <row r="843" spans="1:13">
      <c r="A843" s="874"/>
      <c r="B843" s="875"/>
      <c r="C843" s="874"/>
      <c r="D843" s="874"/>
      <c r="E843" s="874"/>
      <c r="F843" s="874"/>
      <c r="G843" s="874"/>
      <c r="H843" s="874"/>
      <c r="I843" s="874"/>
      <c r="J843" s="874"/>
      <c r="K843" s="874"/>
      <c r="L843" s="874"/>
      <c r="M843" s="874"/>
    </row>
    <row r="844" spans="1:13">
      <c r="A844" s="874"/>
      <c r="B844" s="875"/>
      <c r="C844" s="874"/>
      <c r="D844" s="874"/>
      <c r="E844" s="874"/>
      <c r="F844" s="874"/>
      <c r="G844" s="874"/>
      <c r="H844" s="874"/>
      <c r="I844" s="874"/>
      <c r="J844" s="874"/>
      <c r="K844" s="874"/>
      <c r="L844" s="874"/>
      <c r="M844" s="874"/>
    </row>
    <row r="845" spans="1:13">
      <c r="A845" s="874"/>
      <c r="B845" s="875"/>
      <c r="C845" s="874"/>
      <c r="D845" s="874"/>
      <c r="E845" s="874"/>
      <c r="F845" s="874"/>
      <c r="G845" s="874"/>
      <c r="H845" s="874"/>
      <c r="I845" s="874"/>
      <c r="J845" s="874"/>
      <c r="K845" s="874"/>
      <c r="L845" s="874"/>
      <c r="M845" s="874"/>
    </row>
    <row r="846" spans="1:13">
      <c r="A846" s="874"/>
      <c r="B846" s="875"/>
      <c r="C846" s="874"/>
      <c r="D846" s="874"/>
      <c r="E846" s="874"/>
      <c r="F846" s="874"/>
      <c r="G846" s="874"/>
      <c r="H846" s="874"/>
      <c r="I846" s="874"/>
      <c r="J846" s="874"/>
      <c r="K846" s="874"/>
      <c r="L846" s="874"/>
      <c r="M846" s="874"/>
    </row>
    <row r="847" spans="1:13">
      <c r="A847" s="874"/>
      <c r="B847" s="875"/>
      <c r="C847" s="874"/>
      <c r="D847" s="874"/>
      <c r="E847" s="874"/>
      <c r="F847" s="874"/>
      <c r="G847" s="874"/>
      <c r="H847" s="874"/>
      <c r="I847" s="874"/>
      <c r="J847" s="874"/>
      <c r="K847" s="874"/>
      <c r="L847" s="874"/>
      <c r="M847" s="874"/>
    </row>
    <row r="848" spans="1:13">
      <c r="A848" s="874"/>
      <c r="B848" s="875"/>
      <c r="C848" s="874"/>
      <c r="D848" s="874"/>
      <c r="E848" s="874"/>
      <c r="F848" s="874"/>
      <c r="G848" s="874"/>
      <c r="H848" s="874"/>
      <c r="I848" s="874"/>
      <c r="J848" s="874"/>
      <c r="K848" s="874"/>
      <c r="L848" s="874"/>
      <c r="M848" s="874"/>
    </row>
    <row r="849" spans="1:13">
      <c r="A849" s="874"/>
      <c r="B849" s="875"/>
      <c r="C849" s="874"/>
      <c r="D849" s="874"/>
      <c r="E849" s="874"/>
      <c r="F849" s="874"/>
      <c r="G849" s="874"/>
      <c r="H849" s="874"/>
      <c r="I849" s="874"/>
      <c r="J849" s="874"/>
      <c r="K849" s="874"/>
      <c r="L849" s="874"/>
      <c r="M849" s="874"/>
    </row>
    <row r="850" spans="1:13">
      <c r="A850" s="874"/>
      <c r="B850" s="875"/>
      <c r="C850" s="874"/>
      <c r="D850" s="874"/>
      <c r="E850" s="874"/>
      <c r="F850" s="874"/>
      <c r="G850" s="874"/>
      <c r="H850" s="874"/>
      <c r="I850" s="874"/>
      <c r="J850" s="874"/>
      <c r="K850" s="874"/>
      <c r="L850" s="874"/>
      <c r="M850" s="874"/>
    </row>
    <row r="851" spans="1:13">
      <c r="A851" s="874"/>
      <c r="B851" s="875"/>
      <c r="C851" s="874"/>
      <c r="D851" s="874"/>
      <c r="E851" s="874"/>
      <c r="F851" s="874"/>
      <c r="G851" s="874"/>
      <c r="H851" s="874"/>
      <c r="I851" s="874"/>
      <c r="J851" s="874"/>
      <c r="K851" s="874"/>
      <c r="L851" s="874"/>
      <c r="M851" s="874"/>
    </row>
    <row r="852" spans="1:13">
      <c r="A852" s="874"/>
      <c r="B852" s="875"/>
      <c r="C852" s="874"/>
      <c r="D852" s="874"/>
      <c r="E852" s="874"/>
      <c r="F852" s="874"/>
      <c r="G852" s="874"/>
      <c r="H852" s="874"/>
      <c r="I852" s="874"/>
      <c r="J852" s="874"/>
      <c r="K852" s="874"/>
      <c r="L852" s="874"/>
      <c r="M852" s="874"/>
    </row>
    <row r="853" spans="1:13">
      <c r="A853" s="874"/>
      <c r="B853" s="875"/>
      <c r="C853" s="874"/>
      <c r="D853" s="874"/>
      <c r="E853" s="874"/>
      <c r="F853" s="874"/>
      <c r="G853" s="874"/>
      <c r="H853" s="874"/>
      <c r="I853" s="874"/>
      <c r="J853" s="874"/>
      <c r="K853" s="874"/>
      <c r="L853" s="874"/>
      <c r="M853" s="874"/>
    </row>
    <row r="854" spans="1:13">
      <c r="A854" s="874"/>
      <c r="B854" s="875"/>
      <c r="C854" s="874"/>
      <c r="D854" s="874"/>
      <c r="E854" s="874"/>
      <c r="F854" s="874"/>
      <c r="G854" s="874"/>
      <c r="H854" s="874"/>
      <c r="I854" s="874"/>
      <c r="J854" s="874"/>
      <c r="K854" s="874"/>
      <c r="L854" s="874"/>
      <c r="M854" s="874"/>
    </row>
    <row r="855" spans="1:13">
      <c r="A855" s="874"/>
      <c r="B855" s="875"/>
      <c r="C855" s="874"/>
      <c r="D855" s="874"/>
      <c r="E855" s="874"/>
      <c r="F855" s="874"/>
      <c r="G855" s="874"/>
      <c r="H855" s="874"/>
      <c r="I855" s="874"/>
      <c r="J855" s="874"/>
      <c r="K855" s="874"/>
      <c r="L855" s="874"/>
      <c r="M855" s="874"/>
    </row>
    <row r="856" spans="1:13">
      <c r="A856" s="874"/>
      <c r="B856" s="875"/>
      <c r="C856" s="874"/>
      <c r="D856" s="874"/>
      <c r="E856" s="874"/>
      <c r="F856" s="874"/>
      <c r="G856" s="874"/>
      <c r="H856" s="874"/>
      <c r="I856" s="874"/>
      <c r="J856" s="874"/>
      <c r="K856" s="874"/>
      <c r="L856" s="874"/>
      <c r="M856" s="874"/>
    </row>
    <row r="857" spans="1:13">
      <c r="A857" s="874"/>
      <c r="B857" s="875"/>
      <c r="C857" s="874"/>
      <c r="D857" s="874"/>
      <c r="E857" s="874"/>
      <c r="F857" s="874"/>
      <c r="G857" s="874"/>
      <c r="H857" s="874"/>
      <c r="I857" s="874"/>
      <c r="J857" s="874"/>
      <c r="K857" s="874"/>
      <c r="L857" s="874"/>
      <c r="M857" s="874"/>
    </row>
    <row r="858" spans="1:13">
      <c r="A858" s="874"/>
      <c r="B858" s="875"/>
      <c r="C858" s="874"/>
      <c r="D858" s="874"/>
      <c r="E858" s="874"/>
      <c r="F858" s="874"/>
      <c r="G858" s="874"/>
      <c r="H858" s="874"/>
      <c r="I858" s="874"/>
      <c r="J858" s="874"/>
      <c r="K858" s="874"/>
      <c r="L858" s="874"/>
      <c r="M858" s="874"/>
    </row>
    <row r="859" spans="1:13">
      <c r="A859" s="874"/>
      <c r="B859" s="875"/>
      <c r="C859" s="874"/>
      <c r="D859" s="874"/>
      <c r="E859" s="874"/>
      <c r="F859" s="874"/>
      <c r="G859" s="874"/>
      <c r="H859" s="874"/>
      <c r="I859" s="874"/>
      <c r="J859" s="874"/>
      <c r="K859" s="874"/>
      <c r="L859" s="874"/>
      <c r="M859" s="874"/>
    </row>
    <row r="860" spans="1:13">
      <c r="A860" s="874"/>
      <c r="B860" s="875"/>
      <c r="C860" s="874"/>
      <c r="D860" s="874"/>
      <c r="E860" s="874"/>
      <c r="F860" s="874"/>
      <c r="G860" s="874"/>
      <c r="H860" s="874"/>
      <c r="I860" s="874"/>
      <c r="J860" s="874"/>
      <c r="K860" s="874"/>
      <c r="L860" s="874"/>
      <c r="M860" s="874"/>
    </row>
    <row r="861" spans="1:13">
      <c r="A861" s="874"/>
      <c r="B861" s="875"/>
      <c r="C861" s="874"/>
      <c r="D861" s="874"/>
      <c r="E861" s="874"/>
      <c r="F861" s="874"/>
      <c r="G861" s="874"/>
      <c r="H861" s="874"/>
      <c r="I861" s="874"/>
      <c r="J861" s="874"/>
      <c r="K861" s="874"/>
      <c r="L861" s="874"/>
      <c r="M861" s="874"/>
    </row>
    <row r="862" spans="1:13">
      <c r="A862" s="874"/>
      <c r="B862" s="875"/>
      <c r="C862" s="874"/>
      <c r="D862" s="874"/>
      <c r="E862" s="874"/>
      <c r="F862" s="874"/>
      <c r="G862" s="874"/>
      <c r="H862" s="874"/>
      <c r="I862" s="874"/>
      <c r="J862" s="874"/>
      <c r="K862" s="874"/>
      <c r="L862" s="874"/>
      <c r="M862" s="874"/>
    </row>
    <row r="863" spans="1:13">
      <c r="A863" s="874"/>
      <c r="B863" s="875"/>
      <c r="C863" s="874"/>
      <c r="D863" s="874"/>
      <c r="E863" s="874"/>
      <c r="F863" s="874"/>
      <c r="G863" s="874"/>
      <c r="H863" s="874"/>
      <c r="I863" s="874"/>
      <c r="J863" s="874"/>
      <c r="K863" s="874"/>
      <c r="L863" s="874"/>
      <c r="M863" s="874"/>
    </row>
    <row r="864" spans="1:13">
      <c r="A864" s="874"/>
      <c r="B864" s="875"/>
      <c r="C864" s="874"/>
      <c r="D864" s="874"/>
      <c r="E864" s="874"/>
      <c r="F864" s="874"/>
      <c r="G864" s="874"/>
      <c r="H864" s="874"/>
      <c r="I864" s="874"/>
      <c r="J864" s="874"/>
      <c r="K864" s="874"/>
      <c r="L864" s="874"/>
      <c r="M864" s="874"/>
    </row>
    <row r="865" spans="1:13">
      <c r="A865" s="874"/>
      <c r="B865" s="875"/>
      <c r="C865" s="874"/>
      <c r="D865" s="874"/>
      <c r="E865" s="874"/>
      <c r="F865" s="874"/>
      <c r="G865" s="874"/>
      <c r="H865" s="874"/>
      <c r="I865" s="874"/>
      <c r="J865" s="874"/>
      <c r="K865" s="874"/>
      <c r="L865" s="874"/>
      <c r="M865" s="874"/>
    </row>
    <row r="866" spans="1:13">
      <c r="A866" s="874"/>
      <c r="B866" s="875"/>
      <c r="C866" s="874"/>
      <c r="D866" s="874"/>
      <c r="E866" s="874"/>
      <c r="F866" s="874"/>
      <c r="G866" s="874"/>
      <c r="H866" s="874"/>
      <c r="I866" s="874"/>
      <c r="J866" s="874"/>
      <c r="K866" s="874"/>
      <c r="L866" s="874"/>
      <c r="M866" s="874"/>
    </row>
    <row r="867" spans="1:13">
      <c r="A867" s="874"/>
      <c r="B867" s="875"/>
      <c r="C867" s="874"/>
      <c r="D867" s="874"/>
      <c r="E867" s="874"/>
      <c r="F867" s="874"/>
      <c r="G867" s="874"/>
      <c r="H867" s="874"/>
      <c r="I867" s="874"/>
      <c r="J867" s="874"/>
      <c r="K867" s="874"/>
      <c r="L867" s="874"/>
      <c r="M867" s="874"/>
    </row>
    <row r="868" spans="1:13">
      <c r="A868" s="874"/>
      <c r="B868" s="875"/>
      <c r="C868" s="874"/>
      <c r="D868" s="874"/>
      <c r="E868" s="874"/>
      <c r="F868" s="874"/>
      <c r="G868" s="874"/>
      <c r="H868" s="874"/>
      <c r="I868" s="874"/>
      <c r="J868" s="874"/>
      <c r="K868" s="874"/>
      <c r="L868" s="874"/>
      <c r="M868" s="874"/>
    </row>
    <row r="869" spans="1:13">
      <c r="A869" s="874"/>
      <c r="B869" s="875"/>
      <c r="C869" s="874"/>
      <c r="D869" s="874"/>
      <c r="E869" s="874"/>
      <c r="F869" s="874"/>
      <c r="G869" s="874"/>
      <c r="H869" s="874"/>
      <c r="I869" s="874"/>
      <c r="J869" s="874"/>
      <c r="K869" s="874"/>
      <c r="L869" s="874"/>
      <c r="M869" s="874"/>
    </row>
    <row r="870" spans="1:13">
      <c r="A870" s="874"/>
      <c r="B870" s="875"/>
      <c r="C870" s="874"/>
      <c r="D870" s="874"/>
      <c r="E870" s="874"/>
      <c r="F870" s="874"/>
      <c r="G870" s="874"/>
      <c r="H870" s="874"/>
      <c r="I870" s="874"/>
      <c r="J870" s="874"/>
      <c r="K870" s="874"/>
      <c r="L870" s="874"/>
      <c r="M870" s="874"/>
    </row>
    <row r="871" spans="1:13">
      <c r="A871" s="874"/>
      <c r="B871" s="875"/>
      <c r="C871" s="874"/>
      <c r="D871" s="874"/>
      <c r="E871" s="874"/>
      <c r="F871" s="874"/>
      <c r="G871" s="874"/>
      <c r="H871" s="874"/>
      <c r="I871" s="874"/>
      <c r="J871" s="874"/>
      <c r="K871" s="874"/>
      <c r="L871" s="874"/>
      <c r="M871" s="874"/>
    </row>
    <row r="872" spans="1:13">
      <c r="A872" s="874"/>
      <c r="B872" s="875"/>
      <c r="C872" s="874"/>
      <c r="D872" s="874"/>
      <c r="E872" s="874"/>
      <c r="F872" s="874"/>
      <c r="G872" s="874"/>
      <c r="H872" s="874"/>
      <c r="I872" s="874"/>
      <c r="J872" s="874"/>
      <c r="K872" s="874"/>
      <c r="L872" s="874"/>
      <c r="M872" s="874"/>
    </row>
    <row r="873" spans="1:13">
      <c r="A873" s="874"/>
      <c r="B873" s="875"/>
      <c r="C873" s="874"/>
      <c r="D873" s="874"/>
      <c r="E873" s="874"/>
      <c r="F873" s="874"/>
      <c r="G873" s="874"/>
      <c r="H873" s="874"/>
      <c r="I873" s="874"/>
      <c r="J873" s="874"/>
      <c r="K873" s="874"/>
      <c r="L873" s="874"/>
      <c r="M873" s="874"/>
    </row>
    <row r="874" spans="1:13">
      <c r="A874" s="874"/>
      <c r="B874" s="875"/>
      <c r="C874" s="874"/>
      <c r="D874" s="874"/>
      <c r="E874" s="874"/>
      <c r="F874" s="874"/>
      <c r="G874" s="874"/>
      <c r="H874" s="874"/>
      <c r="I874" s="874"/>
      <c r="J874" s="874"/>
      <c r="K874" s="874"/>
      <c r="L874" s="874"/>
      <c r="M874" s="874"/>
    </row>
    <row r="875" spans="1:13">
      <c r="A875" s="874"/>
      <c r="B875" s="875"/>
      <c r="C875" s="874"/>
      <c r="D875" s="874"/>
      <c r="E875" s="874"/>
      <c r="F875" s="874"/>
      <c r="G875" s="874"/>
      <c r="H875" s="874"/>
      <c r="I875" s="874"/>
      <c r="J875" s="874"/>
      <c r="K875" s="874"/>
      <c r="L875" s="874"/>
      <c r="M875" s="874"/>
    </row>
    <row r="876" spans="1:13">
      <c r="A876" s="874"/>
      <c r="B876" s="875"/>
      <c r="C876" s="874"/>
      <c r="D876" s="874"/>
      <c r="E876" s="874"/>
      <c r="F876" s="874"/>
      <c r="G876" s="874"/>
      <c r="H876" s="874"/>
      <c r="I876" s="874"/>
      <c r="J876" s="874"/>
      <c r="K876" s="874"/>
      <c r="L876" s="874"/>
      <c r="M876" s="874"/>
    </row>
    <row r="877" spans="1:13">
      <c r="A877" s="874"/>
      <c r="B877" s="875"/>
      <c r="C877" s="874"/>
      <c r="D877" s="874"/>
      <c r="E877" s="874"/>
      <c r="F877" s="874"/>
      <c r="G877" s="874"/>
      <c r="H877" s="874"/>
      <c r="I877" s="874"/>
      <c r="J877" s="874"/>
      <c r="K877" s="874"/>
      <c r="L877" s="874"/>
      <c r="M877" s="874"/>
    </row>
    <row r="878" spans="1:13">
      <c r="A878" s="874"/>
      <c r="B878" s="875"/>
      <c r="C878" s="874"/>
      <c r="D878" s="874"/>
      <c r="E878" s="874"/>
      <c r="F878" s="874"/>
      <c r="G878" s="874"/>
      <c r="H878" s="874"/>
      <c r="I878" s="874"/>
      <c r="J878" s="874"/>
      <c r="K878" s="874"/>
      <c r="L878" s="874"/>
      <c r="M878" s="874"/>
    </row>
    <row r="879" spans="1:13">
      <c r="A879" s="874"/>
      <c r="B879" s="875"/>
      <c r="C879" s="874"/>
      <c r="D879" s="874"/>
      <c r="E879" s="874"/>
      <c r="F879" s="874"/>
      <c r="G879" s="874"/>
      <c r="H879" s="874"/>
      <c r="I879" s="874"/>
      <c r="J879" s="874"/>
      <c r="K879" s="874"/>
      <c r="L879" s="874"/>
      <c r="M879" s="874"/>
    </row>
    <row r="880" spans="1:13">
      <c r="A880" s="874"/>
      <c r="B880" s="875"/>
      <c r="C880" s="874"/>
      <c r="D880" s="874"/>
      <c r="E880" s="874"/>
      <c r="F880" s="874"/>
      <c r="G880" s="874"/>
      <c r="H880" s="874"/>
      <c r="I880" s="874"/>
      <c r="J880" s="874"/>
      <c r="K880" s="874"/>
      <c r="L880" s="874"/>
      <c r="M880" s="874"/>
    </row>
    <row r="881" spans="1:13">
      <c r="A881" s="874"/>
      <c r="B881" s="875"/>
      <c r="C881" s="874"/>
      <c r="D881" s="874"/>
      <c r="E881" s="874"/>
      <c r="F881" s="874"/>
      <c r="G881" s="874"/>
      <c r="H881" s="874"/>
      <c r="I881" s="874"/>
      <c r="J881" s="874"/>
      <c r="K881" s="874"/>
      <c r="L881" s="874"/>
      <c r="M881" s="874"/>
    </row>
    <row r="882" spans="1:13">
      <c r="A882" s="874"/>
      <c r="B882" s="875"/>
      <c r="C882" s="874"/>
      <c r="D882" s="874"/>
      <c r="E882" s="874"/>
      <c r="F882" s="874"/>
      <c r="G882" s="874"/>
      <c r="H882" s="874"/>
      <c r="I882" s="874"/>
      <c r="J882" s="874"/>
      <c r="K882" s="874"/>
      <c r="L882" s="874"/>
      <c r="M882" s="874"/>
    </row>
    <row r="883" spans="1:13">
      <c r="A883" s="874"/>
      <c r="B883" s="875"/>
      <c r="C883" s="874"/>
      <c r="D883" s="874"/>
      <c r="E883" s="874"/>
      <c r="F883" s="874"/>
      <c r="G883" s="874"/>
      <c r="H883" s="874"/>
      <c r="I883" s="874"/>
      <c r="J883" s="874"/>
      <c r="K883" s="874"/>
      <c r="L883" s="874"/>
      <c r="M883" s="874"/>
    </row>
    <row r="884" spans="1:13">
      <c r="A884" s="874"/>
      <c r="B884" s="875"/>
      <c r="C884" s="874"/>
      <c r="D884" s="874"/>
      <c r="E884" s="874"/>
      <c r="F884" s="874"/>
      <c r="G884" s="874"/>
      <c r="H884" s="874"/>
      <c r="I884" s="874"/>
      <c r="J884" s="874"/>
      <c r="K884" s="874"/>
      <c r="L884" s="874"/>
      <c r="M884" s="874"/>
    </row>
    <row r="885" spans="1:13">
      <c r="A885" s="874"/>
      <c r="B885" s="875"/>
      <c r="C885" s="874"/>
      <c r="D885" s="874"/>
      <c r="E885" s="874"/>
      <c r="F885" s="874"/>
      <c r="G885" s="874"/>
      <c r="H885" s="874"/>
      <c r="I885" s="874"/>
      <c r="J885" s="874"/>
      <c r="K885" s="874"/>
      <c r="L885" s="874"/>
      <c r="M885" s="874"/>
    </row>
    <row r="886" spans="1:13">
      <c r="A886" s="874"/>
      <c r="B886" s="875"/>
      <c r="C886" s="874"/>
      <c r="D886" s="874"/>
      <c r="E886" s="874"/>
      <c r="F886" s="874"/>
      <c r="G886" s="874"/>
      <c r="H886" s="874"/>
      <c r="I886" s="874"/>
      <c r="J886" s="874"/>
      <c r="K886" s="874"/>
      <c r="L886" s="874"/>
      <c r="M886" s="874"/>
    </row>
    <row r="887" spans="1:13">
      <c r="A887" s="874"/>
      <c r="B887" s="875"/>
      <c r="C887" s="874"/>
      <c r="D887" s="874"/>
      <c r="E887" s="874"/>
      <c r="F887" s="874"/>
      <c r="G887" s="874"/>
      <c r="H887" s="874"/>
      <c r="I887" s="874"/>
      <c r="J887" s="874"/>
      <c r="K887" s="874"/>
      <c r="L887" s="874"/>
      <c r="M887" s="874"/>
    </row>
    <row r="888" spans="1:13">
      <c r="A888" s="874"/>
      <c r="B888" s="875"/>
      <c r="C888" s="874"/>
      <c r="D888" s="874"/>
      <c r="E888" s="874"/>
      <c r="F888" s="874"/>
      <c r="G888" s="874"/>
      <c r="H888" s="874"/>
      <c r="I888" s="874"/>
      <c r="J888" s="874"/>
      <c r="K888" s="874"/>
      <c r="L888" s="874"/>
      <c r="M888" s="874"/>
    </row>
    <row r="889" spans="1:13">
      <c r="A889" s="874"/>
      <c r="B889" s="875"/>
      <c r="C889" s="874"/>
      <c r="D889" s="874"/>
      <c r="E889" s="874"/>
      <c r="F889" s="874"/>
      <c r="G889" s="874"/>
      <c r="H889" s="874"/>
      <c r="I889" s="874"/>
      <c r="J889" s="874"/>
      <c r="K889" s="874"/>
      <c r="L889" s="874"/>
      <c r="M889" s="874"/>
    </row>
    <row r="890" spans="1:13">
      <c r="A890" s="874"/>
      <c r="B890" s="875"/>
      <c r="C890" s="874"/>
      <c r="D890" s="874"/>
      <c r="E890" s="874"/>
      <c r="F890" s="874"/>
      <c r="G890" s="874"/>
      <c r="H890" s="874"/>
      <c r="I890" s="874"/>
      <c r="J890" s="874"/>
      <c r="K890" s="874"/>
      <c r="L890" s="874"/>
      <c r="M890" s="874"/>
    </row>
    <row r="891" spans="1:13">
      <c r="A891" s="874"/>
      <c r="B891" s="875"/>
      <c r="C891" s="874"/>
      <c r="D891" s="874"/>
      <c r="E891" s="874"/>
      <c r="F891" s="874"/>
      <c r="G891" s="874"/>
      <c r="H891" s="874"/>
      <c r="I891" s="874"/>
      <c r="J891" s="874"/>
      <c r="K891" s="874"/>
      <c r="L891" s="874"/>
      <c r="M891" s="874"/>
    </row>
    <row r="892" spans="1:13">
      <c r="A892" s="874"/>
      <c r="B892" s="875"/>
      <c r="C892" s="874"/>
      <c r="D892" s="874"/>
      <c r="E892" s="874"/>
      <c r="F892" s="874"/>
      <c r="G892" s="874"/>
      <c r="H892" s="874"/>
      <c r="I892" s="874"/>
      <c r="J892" s="874"/>
      <c r="K892" s="874"/>
      <c r="L892" s="874"/>
      <c r="M892" s="874"/>
    </row>
    <row r="893" spans="1:13">
      <c r="A893" s="874"/>
      <c r="B893" s="875"/>
      <c r="C893" s="874"/>
      <c r="D893" s="874"/>
      <c r="E893" s="874"/>
      <c r="F893" s="874"/>
      <c r="G893" s="874"/>
      <c r="H893" s="874"/>
      <c r="I893" s="874"/>
      <c r="J893" s="874"/>
      <c r="K893" s="874"/>
      <c r="L893" s="874"/>
      <c r="M893" s="874"/>
    </row>
    <row r="894" spans="1:13">
      <c r="A894" s="874"/>
      <c r="B894" s="875"/>
      <c r="C894" s="874"/>
      <c r="D894" s="874"/>
      <c r="E894" s="874"/>
      <c r="F894" s="874"/>
      <c r="G894" s="874"/>
      <c r="H894" s="874"/>
      <c r="I894" s="874"/>
      <c r="J894" s="874"/>
      <c r="K894" s="874"/>
      <c r="L894" s="874"/>
      <c r="M894" s="874"/>
    </row>
    <row r="895" spans="1:13">
      <c r="A895" s="874"/>
      <c r="B895" s="875"/>
      <c r="C895" s="874"/>
      <c r="D895" s="874"/>
      <c r="E895" s="874"/>
      <c r="F895" s="874"/>
      <c r="G895" s="874"/>
      <c r="H895" s="874"/>
      <c r="I895" s="874"/>
      <c r="J895" s="874"/>
      <c r="K895" s="874"/>
      <c r="L895" s="874"/>
      <c r="M895" s="874"/>
    </row>
    <row r="896" spans="1:13">
      <c r="A896" s="874"/>
      <c r="B896" s="875"/>
      <c r="C896" s="874"/>
      <c r="D896" s="874"/>
      <c r="E896" s="874"/>
      <c r="F896" s="874"/>
      <c r="G896" s="874"/>
      <c r="H896" s="874"/>
      <c r="I896" s="874"/>
      <c r="J896" s="874"/>
      <c r="K896" s="874"/>
      <c r="L896" s="874"/>
      <c r="M896" s="874"/>
    </row>
    <row r="897" spans="1:13">
      <c r="A897" s="874"/>
      <c r="B897" s="875"/>
      <c r="C897" s="874"/>
      <c r="D897" s="874"/>
      <c r="E897" s="874"/>
      <c r="F897" s="874"/>
      <c r="G897" s="874"/>
      <c r="H897" s="874"/>
      <c r="I897" s="874"/>
      <c r="J897" s="874"/>
      <c r="K897" s="874"/>
      <c r="L897" s="874"/>
      <c r="M897" s="874"/>
    </row>
    <row r="898" spans="1:13">
      <c r="A898" s="874"/>
      <c r="B898" s="875"/>
      <c r="C898" s="874"/>
      <c r="D898" s="874"/>
      <c r="E898" s="874"/>
      <c r="F898" s="874"/>
      <c r="G898" s="874"/>
      <c r="H898" s="874"/>
      <c r="I898" s="874"/>
      <c r="J898" s="874"/>
      <c r="K898" s="874"/>
      <c r="L898" s="874"/>
      <c r="M898" s="874"/>
    </row>
    <row r="899" spans="1:13">
      <c r="A899" s="874"/>
      <c r="B899" s="875"/>
      <c r="C899" s="874"/>
      <c r="D899" s="874"/>
      <c r="E899" s="874"/>
      <c r="F899" s="874"/>
      <c r="G899" s="874"/>
      <c r="H899" s="874"/>
      <c r="I899" s="874"/>
      <c r="J899" s="874"/>
      <c r="K899" s="874"/>
      <c r="L899" s="874"/>
      <c r="M899" s="874"/>
    </row>
    <row r="900" spans="1:13">
      <c r="A900" s="874"/>
      <c r="B900" s="875"/>
      <c r="C900" s="874"/>
      <c r="D900" s="874"/>
      <c r="E900" s="874"/>
      <c r="F900" s="874"/>
      <c r="G900" s="874"/>
      <c r="H900" s="874"/>
      <c r="I900" s="874"/>
      <c r="J900" s="874"/>
      <c r="K900" s="874"/>
      <c r="L900" s="874"/>
      <c r="M900" s="874"/>
    </row>
    <row r="901" spans="1:13">
      <c r="A901" s="874"/>
      <c r="B901" s="875"/>
      <c r="C901" s="874"/>
      <c r="D901" s="874"/>
      <c r="E901" s="874"/>
      <c r="F901" s="874"/>
      <c r="G901" s="874"/>
      <c r="H901" s="874"/>
      <c r="I901" s="874"/>
      <c r="J901" s="874"/>
      <c r="K901" s="874"/>
      <c r="L901" s="874"/>
      <c r="M901" s="874"/>
    </row>
    <row r="902" spans="1:13">
      <c r="A902" s="874"/>
      <c r="B902" s="875"/>
      <c r="C902" s="874"/>
      <c r="D902" s="874"/>
      <c r="E902" s="874"/>
      <c r="F902" s="874"/>
      <c r="G902" s="874"/>
      <c r="H902" s="874"/>
      <c r="I902" s="874"/>
      <c r="J902" s="874"/>
      <c r="K902" s="874"/>
      <c r="L902" s="874"/>
      <c r="M902" s="874"/>
    </row>
    <row r="903" spans="1:13">
      <c r="A903" s="874"/>
      <c r="B903" s="875"/>
      <c r="C903" s="874"/>
      <c r="D903" s="874"/>
      <c r="E903" s="874"/>
      <c r="F903" s="874"/>
      <c r="G903" s="874"/>
      <c r="H903" s="874"/>
      <c r="I903" s="874"/>
      <c r="J903" s="874"/>
      <c r="K903" s="874"/>
      <c r="L903" s="874"/>
      <c r="M903" s="874"/>
    </row>
    <row r="904" spans="1:13">
      <c r="A904" s="874"/>
      <c r="B904" s="875"/>
      <c r="C904" s="874"/>
      <c r="D904" s="874"/>
      <c r="E904" s="874"/>
      <c r="F904" s="874"/>
      <c r="G904" s="874"/>
      <c r="H904" s="874"/>
      <c r="I904" s="874"/>
      <c r="J904" s="874"/>
      <c r="K904" s="874"/>
      <c r="L904" s="874"/>
      <c r="M904" s="874"/>
    </row>
    <row r="905" spans="1:13">
      <c r="A905" s="874"/>
      <c r="B905" s="875"/>
      <c r="C905" s="874"/>
      <c r="D905" s="874"/>
      <c r="E905" s="874"/>
      <c r="F905" s="874"/>
      <c r="G905" s="874"/>
      <c r="H905" s="874"/>
      <c r="I905" s="874"/>
      <c r="J905" s="874"/>
      <c r="K905" s="874"/>
      <c r="L905" s="874"/>
      <c r="M905" s="874"/>
    </row>
    <row r="906" spans="1:13">
      <c r="A906" s="874"/>
      <c r="B906" s="875"/>
      <c r="C906" s="874"/>
      <c r="D906" s="874"/>
      <c r="E906" s="874"/>
      <c r="F906" s="874"/>
      <c r="G906" s="874"/>
      <c r="H906" s="874"/>
      <c r="I906" s="874"/>
      <c r="J906" s="874"/>
      <c r="K906" s="874"/>
      <c r="L906" s="874"/>
      <c r="M906" s="874"/>
    </row>
    <row r="907" spans="1:13">
      <c r="A907" s="874"/>
      <c r="B907" s="875"/>
      <c r="C907" s="874"/>
      <c r="D907" s="874"/>
      <c r="E907" s="874"/>
      <c r="F907" s="874"/>
      <c r="G907" s="874"/>
      <c r="H907" s="874"/>
      <c r="I907" s="874"/>
      <c r="J907" s="874"/>
      <c r="K907" s="874"/>
      <c r="L907" s="874"/>
      <c r="M907" s="874"/>
    </row>
    <row r="908" spans="1:13">
      <c r="A908" s="874"/>
      <c r="B908" s="875"/>
      <c r="C908" s="874"/>
      <c r="D908" s="874"/>
      <c r="E908" s="874"/>
      <c r="F908" s="874"/>
      <c r="G908" s="874"/>
      <c r="H908" s="874"/>
      <c r="I908" s="874"/>
      <c r="J908" s="874"/>
      <c r="K908" s="874"/>
      <c r="L908" s="874"/>
      <c r="M908" s="874"/>
    </row>
    <row r="909" spans="1:13">
      <c r="A909" s="874"/>
      <c r="B909" s="875"/>
      <c r="C909" s="874"/>
      <c r="D909" s="874"/>
      <c r="E909" s="874"/>
      <c r="F909" s="874"/>
      <c r="G909" s="874"/>
      <c r="H909" s="874"/>
      <c r="I909" s="874"/>
      <c r="J909" s="874"/>
      <c r="K909" s="874"/>
      <c r="L909" s="874"/>
      <c r="M909" s="874"/>
    </row>
    <row r="910" spans="1:13">
      <c r="A910" s="874"/>
      <c r="B910" s="875"/>
      <c r="C910" s="874"/>
      <c r="D910" s="874"/>
      <c r="E910" s="874"/>
      <c r="F910" s="874"/>
      <c r="G910" s="874"/>
      <c r="H910" s="874"/>
      <c r="I910" s="874"/>
      <c r="J910" s="874"/>
      <c r="K910" s="874"/>
      <c r="L910" s="874"/>
      <c r="M910" s="874"/>
    </row>
    <row r="911" spans="1:13">
      <c r="A911" s="874"/>
      <c r="B911" s="875"/>
      <c r="C911" s="874"/>
      <c r="D911" s="874"/>
      <c r="E911" s="874"/>
      <c r="F911" s="874"/>
      <c r="G911" s="874"/>
      <c r="H911" s="874"/>
      <c r="I911" s="874"/>
      <c r="J911" s="874"/>
      <c r="K911" s="874"/>
      <c r="L911" s="874"/>
      <c r="M911" s="874"/>
    </row>
    <row r="912" spans="1:13">
      <c r="A912" s="874"/>
      <c r="B912" s="875"/>
      <c r="C912" s="874"/>
      <c r="D912" s="874"/>
      <c r="E912" s="874"/>
      <c r="F912" s="874"/>
      <c r="G912" s="874"/>
      <c r="H912" s="874"/>
      <c r="I912" s="874"/>
      <c r="J912" s="874"/>
      <c r="K912" s="874"/>
      <c r="L912" s="874"/>
      <c r="M912" s="874"/>
    </row>
    <row r="913" spans="1:13">
      <c r="A913" s="874"/>
      <c r="B913" s="875"/>
      <c r="C913" s="874"/>
      <c r="D913" s="874"/>
      <c r="E913" s="874"/>
      <c r="F913" s="874"/>
      <c r="G913" s="874"/>
      <c r="H913" s="874"/>
      <c r="I913" s="874"/>
      <c r="J913" s="874"/>
      <c r="K913" s="874"/>
      <c r="L913" s="874"/>
      <c r="M913" s="874"/>
    </row>
    <row r="914" spans="1:13">
      <c r="A914" s="874"/>
      <c r="B914" s="875"/>
      <c r="C914" s="874"/>
      <c r="D914" s="874"/>
      <c r="E914" s="874"/>
      <c r="F914" s="874"/>
      <c r="G914" s="874"/>
      <c r="H914" s="874"/>
      <c r="I914" s="874"/>
      <c r="J914" s="874"/>
      <c r="K914" s="874"/>
      <c r="L914" s="874"/>
      <c r="M914" s="874"/>
    </row>
    <row r="915" spans="1:13">
      <c r="A915" s="874"/>
      <c r="B915" s="875"/>
      <c r="C915" s="874"/>
      <c r="D915" s="874"/>
      <c r="E915" s="874"/>
      <c r="F915" s="874"/>
      <c r="G915" s="874"/>
      <c r="H915" s="874"/>
      <c r="I915" s="874"/>
      <c r="J915" s="874"/>
      <c r="K915" s="874"/>
      <c r="L915" s="874"/>
      <c r="M915" s="874"/>
    </row>
    <row r="916" spans="1:13">
      <c r="A916" s="874"/>
      <c r="B916" s="875"/>
      <c r="C916" s="874"/>
      <c r="D916" s="874"/>
      <c r="E916" s="874"/>
      <c r="F916" s="874"/>
      <c r="G916" s="874"/>
      <c r="H916" s="874"/>
      <c r="I916" s="874"/>
      <c r="J916" s="874"/>
      <c r="K916" s="874"/>
      <c r="L916" s="874"/>
      <c r="M916" s="874"/>
    </row>
    <row r="917" spans="1:13">
      <c r="A917" s="874"/>
      <c r="B917" s="875"/>
      <c r="C917" s="874"/>
      <c r="D917" s="874"/>
      <c r="E917" s="874"/>
      <c r="F917" s="874"/>
      <c r="G917" s="874"/>
      <c r="H917" s="874"/>
      <c r="I917" s="874"/>
      <c r="J917" s="874"/>
      <c r="K917" s="874"/>
      <c r="L917" s="874"/>
      <c r="M917" s="874"/>
    </row>
    <row r="918" spans="1:13">
      <c r="A918" s="874"/>
      <c r="B918" s="875"/>
      <c r="C918" s="874"/>
      <c r="D918" s="874"/>
      <c r="E918" s="874"/>
      <c r="F918" s="874"/>
      <c r="G918" s="874"/>
      <c r="H918" s="874"/>
      <c r="I918" s="874"/>
      <c r="J918" s="874"/>
      <c r="K918" s="874"/>
      <c r="L918" s="874"/>
      <c r="M918" s="874"/>
    </row>
    <row r="919" spans="1:13">
      <c r="A919" s="874"/>
      <c r="B919" s="875"/>
      <c r="C919" s="874"/>
      <c r="D919" s="874"/>
      <c r="E919" s="874"/>
      <c r="F919" s="874"/>
      <c r="G919" s="874"/>
      <c r="H919" s="874"/>
      <c r="I919" s="874"/>
      <c r="J919" s="874"/>
      <c r="K919" s="874"/>
      <c r="L919" s="874"/>
      <c r="M919" s="874"/>
    </row>
    <row r="920" spans="1:13">
      <c r="A920" s="874"/>
      <c r="B920" s="875"/>
      <c r="C920" s="874"/>
      <c r="D920" s="874"/>
      <c r="E920" s="874"/>
      <c r="F920" s="874"/>
      <c r="G920" s="874"/>
      <c r="H920" s="874"/>
      <c r="I920" s="874"/>
      <c r="J920" s="874"/>
      <c r="K920" s="874"/>
      <c r="L920" s="874"/>
      <c r="M920" s="874"/>
    </row>
    <row r="921" spans="1:13">
      <c r="A921" s="874"/>
      <c r="B921" s="875"/>
      <c r="C921" s="874"/>
      <c r="D921" s="874"/>
      <c r="E921" s="874"/>
      <c r="F921" s="874"/>
      <c r="G921" s="874"/>
      <c r="H921" s="874"/>
      <c r="I921" s="874"/>
      <c r="J921" s="874"/>
      <c r="K921" s="874"/>
      <c r="L921" s="874"/>
      <c r="M921" s="874"/>
    </row>
    <row r="922" spans="1:13">
      <c r="A922" s="874"/>
      <c r="B922" s="875"/>
      <c r="C922" s="874"/>
      <c r="D922" s="874"/>
      <c r="E922" s="874"/>
      <c r="F922" s="874"/>
      <c r="G922" s="874"/>
      <c r="H922" s="874"/>
      <c r="I922" s="874"/>
      <c r="J922" s="874"/>
      <c r="K922" s="874"/>
      <c r="L922" s="874"/>
      <c r="M922" s="874"/>
    </row>
    <row r="923" spans="1:13">
      <c r="A923" s="874"/>
      <c r="B923" s="875"/>
      <c r="C923" s="874"/>
      <c r="D923" s="874"/>
      <c r="E923" s="874"/>
      <c r="F923" s="874"/>
      <c r="G923" s="874"/>
      <c r="H923" s="874"/>
      <c r="I923" s="874"/>
      <c r="J923" s="874"/>
      <c r="K923" s="874"/>
      <c r="L923" s="874"/>
      <c r="M923" s="874"/>
    </row>
    <row r="924" spans="1:13">
      <c r="A924" s="874"/>
      <c r="B924" s="875"/>
      <c r="C924" s="874"/>
      <c r="D924" s="874"/>
      <c r="E924" s="874"/>
      <c r="F924" s="874"/>
      <c r="G924" s="874"/>
      <c r="H924" s="874"/>
      <c r="I924" s="874"/>
      <c r="J924" s="874"/>
      <c r="K924" s="874"/>
      <c r="L924" s="874"/>
      <c r="M924" s="874"/>
    </row>
    <row r="925" spans="1:13">
      <c r="A925" s="874"/>
      <c r="B925" s="875"/>
      <c r="C925" s="874"/>
      <c r="D925" s="874"/>
      <c r="E925" s="874"/>
      <c r="F925" s="874"/>
      <c r="G925" s="874"/>
      <c r="H925" s="874"/>
      <c r="I925" s="874"/>
      <c r="J925" s="874"/>
      <c r="K925" s="874"/>
      <c r="L925" s="874"/>
      <c r="M925" s="874"/>
    </row>
    <row r="926" spans="1:13">
      <c r="A926" s="874"/>
      <c r="B926" s="875"/>
      <c r="C926" s="874"/>
      <c r="D926" s="874"/>
      <c r="E926" s="874"/>
      <c r="F926" s="874"/>
      <c r="G926" s="874"/>
      <c r="H926" s="874"/>
      <c r="I926" s="874"/>
      <c r="J926" s="874"/>
      <c r="K926" s="874"/>
      <c r="L926" s="874"/>
      <c r="M926" s="874"/>
    </row>
    <row r="927" spans="1:13">
      <c r="A927" s="874"/>
      <c r="B927" s="875"/>
      <c r="C927" s="874"/>
      <c r="D927" s="874"/>
      <c r="E927" s="874"/>
      <c r="F927" s="874"/>
      <c r="G927" s="874"/>
      <c r="H927" s="874"/>
      <c r="I927" s="874"/>
      <c r="J927" s="874"/>
      <c r="K927" s="874"/>
      <c r="L927" s="874"/>
      <c r="M927" s="874"/>
    </row>
    <row r="928" spans="1:13">
      <c r="A928" s="874"/>
      <c r="B928" s="875"/>
      <c r="C928" s="874"/>
      <c r="D928" s="874"/>
      <c r="E928" s="874"/>
      <c r="F928" s="874"/>
      <c r="G928" s="874"/>
      <c r="H928" s="874"/>
      <c r="I928" s="874"/>
      <c r="J928" s="874"/>
      <c r="K928" s="874"/>
      <c r="L928" s="874"/>
      <c r="M928" s="874"/>
    </row>
    <row r="929" spans="1:13">
      <c r="A929" s="874"/>
      <c r="B929" s="875"/>
      <c r="C929" s="874"/>
      <c r="D929" s="874"/>
      <c r="E929" s="874"/>
      <c r="F929" s="874"/>
      <c r="G929" s="874"/>
      <c r="H929" s="874"/>
      <c r="I929" s="874"/>
      <c r="J929" s="874"/>
      <c r="K929" s="874"/>
      <c r="L929" s="874"/>
      <c r="M929" s="874"/>
    </row>
    <row r="930" spans="1:13">
      <c r="A930" s="874"/>
      <c r="B930" s="875"/>
      <c r="C930" s="874"/>
      <c r="D930" s="874"/>
      <c r="E930" s="874"/>
      <c r="F930" s="874"/>
      <c r="G930" s="874"/>
      <c r="H930" s="874"/>
      <c r="I930" s="874"/>
      <c r="J930" s="874"/>
      <c r="K930" s="874"/>
      <c r="L930" s="874"/>
      <c r="M930" s="874"/>
    </row>
    <row r="931" spans="1:13">
      <c r="A931" s="874"/>
      <c r="B931" s="875"/>
      <c r="C931" s="874"/>
      <c r="D931" s="874"/>
      <c r="E931" s="874"/>
      <c r="F931" s="874"/>
      <c r="G931" s="874"/>
      <c r="H931" s="874"/>
      <c r="I931" s="874"/>
      <c r="J931" s="874"/>
      <c r="K931" s="874"/>
      <c r="L931" s="874"/>
      <c r="M931" s="874"/>
    </row>
    <row r="932" spans="1:13">
      <c r="A932" s="874"/>
      <c r="B932" s="875"/>
      <c r="C932" s="874"/>
      <c r="D932" s="874"/>
      <c r="E932" s="874"/>
      <c r="F932" s="874"/>
      <c r="G932" s="874"/>
      <c r="H932" s="874"/>
      <c r="I932" s="874"/>
      <c r="J932" s="874"/>
      <c r="K932" s="874"/>
      <c r="L932" s="874"/>
      <c r="M932" s="874"/>
    </row>
    <row r="933" spans="1:13">
      <c r="A933" s="874"/>
      <c r="B933" s="875"/>
      <c r="C933" s="874"/>
      <c r="D933" s="874"/>
      <c r="E933" s="874"/>
      <c r="F933" s="874"/>
      <c r="G933" s="874"/>
      <c r="H933" s="874"/>
      <c r="I933" s="874"/>
      <c r="J933" s="874"/>
      <c r="K933" s="874"/>
      <c r="L933" s="874"/>
      <c r="M933" s="874"/>
    </row>
    <row r="934" spans="1:13">
      <c r="A934" s="874"/>
      <c r="B934" s="875"/>
      <c r="C934" s="874"/>
      <c r="D934" s="874"/>
      <c r="E934" s="874"/>
      <c r="F934" s="874"/>
      <c r="G934" s="874"/>
      <c r="H934" s="874"/>
      <c r="I934" s="874"/>
      <c r="J934" s="874"/>
      <c r="K934" s="874"/>
      <c r="L934" s="874"/>
      <c r="M934" s="874"/>
    </row>
    <row r="935" spans="1:13">
      <c r="A935" s="874"/>
      <c r="B935" s="875"/>
      <c r="C935" s="874"/>
      <c r="D935" s="874"/>
      <c r="E935" s="874"/>
      <c r="F935" s="874"/>
      <c r="G935" s="874"/>
      <c r="H935" s="874"/>
      <c r="I935" s="874"/>
      <c r="J935" s="874"/>
      <c r="K935" s="874"/>
      <c r="L935" s="874"/>
      <c r="M935" s="874"/>
    </row>
    <row r="936" spans="1:13">
      <c r="A936" s="874"/>
      <c r="B936" s="875"/>
      <c r="C936" s="874"/>
      <c r="D936" s="874"/>
      <c r="E936" s="874"/>
      <c r="F936" s="874"/>
      <c r="G936" s="874"/>
      <c r="H936" s="874"/>
      <c r="I936" s="874"/>
      <c r="J936" s="874"/>
      <c r="K936" s="874"/>
      <c r="L936" s="874"/>
      <c r="M936" s="874"/>
    </row>
    <row r="937" spans="1:13">
      <c r="A937" s="874"/>
      <c r="B937" s="875"/>
      <c r="C937" s="874"/>
      <c r="D937" s="874"/>
      <c r="E937" s="874"/>
      <c r="F937" s="874"/>
      <c r="G937" s="874"/>
      <c r="H937" s="874"/>
      <c r="I937" s="874"/>
      <c r="J937" s="874"/>
      <c r="K937" s="874"/>
      <c r="L937" s="874"/>
      <c r="M937" s="874"/>
    </row>
    <row r="938" spans="1:13">
      <c r="A938" s="874"/>
      <c r="B938" s="875"/>
      <c r="C938" s="874"/>
      <c r="D938" s="874"/>
      <c r="E938" s="874"/>
      <c r="F938" s="874"/>
      <c r="G938" s="874"/>
      <c r="H938" s="874"/>
      <c r="I938" s="874"/>
      <c r="J938" s="874"/>
      <c r="K938" s="874"/>
      <c r="L938" s="874"/>
      <c r="M938" s="874"/>
    </row>
    <row r="939" spans="1:13">
      <c r="A939" s="874"/>
      <c r="B939" s="875"/>
      <c r="C939" s="874"/>
      <c r="D939" s="874"/>
      <c r="E939" s="874"/>
      <c r="F939" s="874"/>
      <c r="G939" s="874"/>
      <c r="H939" s="874"/>
      <c r="I939" s="874"/>
      <c r="J939" s="874"/>
      <c r="K939" s="874"/>
      <c r="L939" s="874"/>
      <c r="M939" s="874"/>
    </row>
    <row r="940" spans="1:13">
      <c r="A940" s="874"/>
      <c r="B940" s="875"/>
      <c r="C940" s="874"/>
      <c r="D940" s="874"/>
      <c r="E940" s="874"/>
      <c r="F940" s="874"/>
      <c r="G940" s="874"/>
      <c r="H940" s="874"/>
      <c r="I940" s="874"/>
      <c r="J940" s="874"/>
      <c r="K940" s="874"/>
      <c r="L940" s="874"/>
      <c r="M940" s="874"/>
    </row>
    <row r="941" spans="1:13">
      <c r="A941" s="874"/>
      <c r="B941" s="875"/>
      <c r="C941" s="874"/>
      <c r="D941" s="874"/>
      <c r="E941" s="874"/>
      <c r="F941" s="874"/>
      <c r="G941" s="874"/>
      <c r="H941" s="874"/>
      <c r="I941" s="874"/>
      <c r="J941" s="874"/>
      <c r="K941" s="874"/>
      <c r="L941" s="874"/>
      <c r="M941" s="874"/>
    </row>
    <row r="942" spans="1:13">
      <c r="A942" s="874"/>
      <c r="B942" s="875"/>
      <c r="C942" s="874"/>
      <c r="D942" s="874"/>
      <c r="E942" s="874"/>
      <c r="F942" s="874"/>
      <c r="G942" s="874"/>
      <c r="H942" s="874"/>
      <c r="I942" s="874"/>
      <c r="J942" s="874"/>
      <c r="K942" s="874"/>
      <c r="L942" s="874"/>
      <c r="M942" s="874"/>
    </row>
    <row r="943" spans="1:13">
      <c r="A943" s="874"/>
      <c r="B943" s="875"/>
      <c r="C943" s="874"/>
      <c r="D943" s="874"/>
      <c r="E943" s="874"/>
      <c r="F943" s="874"/>
      <c r="G943" s="874"/>
      <c r="H943" s="874"/>
      <c r="I943" s="874"/>
      <c r="J943" s="874"/>
      <c r="K943" s="874"/>
      <c r="L943" s="874"/>
      <c r="M943" s="874"/>
    </row>
    <row r="944" spans="1:13">
      <c r="A944" s="874"/>
      <c r="B944" s="875"/>
      <c r="C944" s="874"/>
      <c r="D944" s="874"/>
      <c r="E944" s="874"/>
      <c r="F944" s="874"/>
      <c r="G944" s="874"/>
      <c r="H944" s="874"/>
      <c r="I944" s="874"/>
      <c r="J944" s="874"/>
      <c r="K944" s="874"/>
      <c r="L944" s="874"/>
      <c r="M944" s="874"/>
    </row>
    <row r="945" spans="1:13">
      <c r="A945" s="874"/>
      <c r="B945" s="875"/>
      <c r="C945" s="874"/>
      <c r="D945" s="874"/>
      <c r="E945" s="874"/>
      <c r="F945" s="874"/>
      <c r="G945" s="874"/>
      <c r="H945" s="874"/>
      <c r="I945" s="874"/>
      <c r="J945" s="874"/>
      <c r="K945" s="874"/>
      <c r="L945" s="874"/>
      <c r="M945" s="874"/>
    </row>
    <row r="946" spans="1:13">
      <c r="A946" s="874"/>
      <c r="B946" s="875"/>
      <c r="C946" s="874"/>
      <c r="D946" s="874"/>
      <c r="E946" s="874"/>
      <c r="F946" s="874"/>
      <c r="G946" s="874"/>
      <c r="H946" s="874"/>
      <c r="I946" s="874"/>
      <c r="J946" s="874"/>
      <c r="K946" s="874"/>
      <c r="L946" s="874"/>
      <c r="M946" s="874"/>
    </row>
    <row r="947" spans="1:13">
      <c r="A947" s="874"/>
      <c r="B947" s="875"/>
      <c r="C947" s="874"/>
      <c r="D947" s="874"/>
      <c r="E947" s="874"/>
      <c r="F947" s="874"/>
      <c r="G947" s="874"/>
      <c r="H947" s="874"/>
      <c r="I947" s="874"/>
      <c r="J947" s="874"/>
      <c r="K947" s="874"/>
      <c r="L947" s="874"/>
      <c r="M947" s="874"/>
    </row>
    <row r="948" spans="1:13">
      <c r="A948" s="874"/>
      <c r="B948" s="875"/>
      <c r="C948" s="874"/>
      <c r="D948" s="874"/>
      <c r="E948" s="874"/>
      <c r="F948" s="874"/>
      <c r="G948" s="874"/>
      <c r="H948" s="874"/>
      <c r="I948" s="874"/>
      <c r="J948" s="874"/>
      <c r="K948" s="874"/>
      <c r="L948" s="874"/>
      <c r="M948" s="874"/>
    </row>
    <row r="949" spans="1:13">
      <c r="A949" s="874"/>
      <c r="B949" s="875"/>
      <c r="C949" s="874"/>
      <c r="D949" s="874"/>
      <c r="E949" s="874"/>
      <c r="F949" s="874"/>
      <c r="G949" s="874"/>
      <c r="H949" s="874"/>
      <c r="I949" s="874"/>
      <c r="J949" s="874"/>
      <c r="K949" s="874"/>
      <c r="L949" s="874"/>
      <c r="M949" s="874"/>
    </row>
    <row r="950" spans="1:13">
      <c r="A950" s="874"/>
      <c r="B950" s="875"/>
      <c r="C950" s="874"/>
      <c r="D950" s="874"/>
      <c r="E950" s="874"/>
      <c r="F950" s="874"/>
      <c r="G950" s="874"/>
      <c r="H950" s="874"/>
      <c r="I950" s="874"/>
      <c r="J950" s="874"/>
      <c r="K950" s="874"/>
      <c r="L950" s="874"/>
      <c r="M950" s="874"/>
    </row>
    <row r="951" spans="1:13">
      <c r="A951" s="874"/>
      <c r="B951" s="875"/>
      <c r="C951" s="874"/>
      <c r="D951" s="874"/>
      <c r="E951" s="874"/>
      <c r="F951" s="874"/>
      <c r="G951" s="874"/>
      <c r="H951" s="874"/>
      <c r="I951" s="874"/>
      <c r="J951" s="874"/>
      <c r="K951" s="874"/>
      <c r="L951" s="874"/>
      <c r="M951" s="874"/>
    </row>
    <row r="952" spans="1:13">
      <c r="A952" s="874"/>
      <c r="B952" s="875"/>
      <c r="C952" s="874"/>
      <c r="D952" s="874"/>
      <c r="E952" s="874"/>
      <c r="F952" s="874"/>
      <c r="G952" s="874"/>
      <c r="H952" s="874"/>
      <c r="I952" s="874"/>
      <c r="J952" s="874"/>
      <c r="K952" s="874"/>
      <c r="L952" s="874"/>
      <c r="M952" s="874"/>
    </row>
    <row r="953" spans="1:13">
      <c r="A953" s="874"/>
      <c r="B953" s="875"/>
      <c r="C953" s="874"/>
      <c r="D953" s="874"/>
      <c r="E953" s="874"/>
      <c r="F953" s="874"/>
      <c r="G953" s="874"/>
      <c r="H953" s="874"/>
      <c r="I953" s="874"/>
      <c r="J953" s="874"/>
      <c r="K953" s="874"/>
      <c r="L953" s="874"/>
      <c r="M953" s="874"/>
    </row>
    <row r="954" spans="1:13">
      <c r="A954" s="874"/>
      <c r="B954" s="875"/>
      <c r="C954" s="874"/>
      <c r="D954" s="874"/>
      <c r="E954" s="874"/>
      <c r="F954" s="874"/>
      <c r="G954" s="874"/>
      <c r="H954" s="874"/>
      <c r="I954" s="874"/>
      <c r="J954" s="874"/>
      <c r="K954" s="874"/>
      <c r="L954" s="874"/>
      <c r="M954" s="874"/>
    </row>
    <row r="955" spans="1:13">
      <c r="A955" s="874"/>
      <c r="B955" s="875"/>
      <c r="C955" s="874"/>
      <c r="D955" s="874"/>
      <c r="E955" s="874"/>
      <c r="F955" s="874"/>
      <c r="G955" s="874"/>
      <c r="H955" s="874"/>
      <c r="I955" s="874"/>
      <c r="J955" s="874"/>
      <c r="K955" s="874"/>
      <c r="L955" s="874"/>
      <c r="M955" s="874"/>
    </row>
    <row r="956" spans="1:13">
      <c r="A956" s="874"/>
      <c r="B956" s="875"/>
      <c r="C956" s="874"/>
      <c r="D956" s="874"/>
      <c r="E956" s="874"/>
      <c r="F956" s="874"/>
      <c r="G956" s="874"/>
      <c r="H956" s="874"/>
      <c r="I956" s="874"/>
      <c r="J956" s="874"/>
      <c r="K956" s="874"/>
      <c r="L956" s="874"/>
      <c r="M956" s="874"/>
    </row>
    <row r="957" spans="1:13">
      <c r="A957" s="874"/>
      <c r="B957" s="875"/>
      <c r="C957" s="874"/>
      <c r="D957" s="874"/>
      <c r="E957" s="874"/>
      <c r="F957" s="874"/>
      <c r="G957" s="874"/>
      <c r="H957" s="874"/>
      <c r="I957" s="874"/>
      <c r="J957" s="874"/>
      <c r="K957" s="874"/>
      <c r="L957" s="874"/>
      <c r="M957" s="874"/>
    </row>
    <row r="958" spans="1:13">
      <c r="A958" s="874"/>
      <c r="B958" s="875"/>
      <c r="C958" s="874"/>
      <c r="D958" s="874"/>
      <c r="E958" s="874"/>
      <c r="F958" s="874"/>
      <c r="G958" s="874"/>
      <c r="H958" s="874"/>
      <c r="I958" s="874"/>
      <c r="J958" s="874"/>
      <c r="K958" s="874"/>
      <c r="L958" s="874"/>
      <c r="M958" s="874"/>
    </row>
    <row r="959" spans="1:13">
      <c r="A959" s="874"/>
      <c r="B959" s="875"/>
      <c r="C959" s="874"/>
      <c r="D959" s="874"/>
      <c r="E959" s="874"/>
      <c r="F959" s="874"/>
      <c r="G959" s="874"/>
      <c r="H959" s="874"/>
      <c r="I959" s="874"/>
      <c r="J959" s="874"/>
      <c r="K959" s="874"/>
      <c r="L959" s="874"/>
      <c r="M959" s="874"/>
    </row>
    <row r="960" spans="1:13">
      <c r="A960" s="874"/>
      <c r="B960" s="875"/>
      <c r="C960" s="874"/>
      <c r="D960" s="874"/>
      <c r="E960" s="874"/>
      <c r="F960" s="874"/>
      <c r="G960" s="874"/>
      <c r="H960" s="874"/>
      <c r="I960" s="874"/>
      <c r="J960" s="874"/>
      <c r="K960" s="874"/>
      <c r="L960" s="874"/>
      <c r="M960" s="874"/>
    </row>
    <row r="961" spans="1:13">
      <c r="A961" s="874"/>
      <c r="B961" s="875"/>
      <c r="C961" s="874"/>
      <c r="D961" s="874"/>
      <c r="E961" s="874"/>
      <c r="F961" s="874"/>
      <c r="G961" s="874"/>
      <c r="H961" s="874"/>
      <c r="I961" s="874"/>
      <c r="J961" s="874"/>
      <c r="K961" s="874"/>
      <c r="L961" s="874"/>
      <c r="M961" s="874"/>
    </row>
    <row r="962" spans="1:13">
      <c r="A962" s="874"/>
      <c r="B962" s="875"/>
      <c r="C962" s="874"/>
      <c r="D962" s="874"/>
      <c r="E962" s="874"/>
      <c r="F962" s="874"/>
      <c r="G962" s="874"/>
      <c r="H962" s="874"/>
      <c r="I962" s="874"/>
      <c r="J962" s="874"/>
      <c r="K962" s="874"/>
      <c r="L962" s="874"/>
      <c r="M962" s="874"/>
    </row>
    <row r="963" spans="1:13">
      <c r="A963" s="874"/>
      <c r="B963" s="875"/>
      <c r="C963" s="874"/>
      <c r="D963" s="874"/>
      <c r="E963" s="874"/>
      <c r="F963" s="874"/>
      <c r="G963" s="874"/>
      <c r="H963" s="874"/>
      <c r="I963" s="874"/>
      <c r="J963" s="874"/>
      <c r="K963" s="874"/>
      <c r="L963" s="874"/>
      <c r="M963" s="874"/>
    </row>
    <row r="964" spans="1:13">
      <c r="A964" s="874"/>
      <c r="B964" s="875"/>
      <c r="C964" s="874"/>
      <c r="D964" s="874"/>
      <c r="E964" s="874"/>
      <c r="F964" s="874"/>
      <c r="G964" s="874"/>
      <c r="H964" s="874"/>
      <c r="I964" s="874"/>
      <c r="J964" s="874"/>
      <c r="K964" s="874"/>
      <c r="L964" s="874"/>
      <c r="M964" s="874"/>
    </row>
    <row r="965" spans="1:13">
      <c r="A965" s="874"/>
      <c r="B965" s="875"/>
      <c r="C965" s="874"/>
      <c r="D965" s="874"/>
      <c r="E965" s="874"/>
      <c r="F965" s="874"/>
      <c r="G965" s="874"/>
      <c r="H965" s="874"/>
      <c r="I965" s="874"/>
      <c r="J965" s="874"/>
      <c r="K965" s="874"/>
      <c r="L965" s="874"/>
      <c r="M965" s="874"/>
    </row>
    <row r="966" spans="1:13">
      <c r="A966" s="874"/>
      <c r="B966" s="875"/>
      <c r="C966" s="874"/>
      <c r="D966" s="874"/>
      <c r="E966" s="874"/>
      <c r="F966" s="874"/>
      <c r="G966" s="874"/>
      <c r="H966" s="874"/>
      <c r="I966" s="874"/>
      <c r="J966" s="874"/>
      <c r="K966" s="874"/>
      <c r="L966" s="874"/>
      <c r="M966" s="874"/>
    </row>
    <row r="967" spans="1:13">
      <c r="A967" s="874"/>
      <c r="B967" s="875"/>
      <c r="C967" s="874"/>
      <c r="D967" s="874"/>
      <c r="E967" s="874"/>
      <c r="F967" s="874"/>
      <c r="G967" s="874"/>
      <c r="H967" s="874"/>
      <c r="I967" s="874"/>
      <c r="J967" s="874"/>
      <c r="K967" s="874"/>
      <c r="L967" s="874"/>
      <c r="M967" s="874"/>
    </row>
    <row r="968" spans="1:13">
      <c r="A968" s="874"/>
      <c r="B968" s="875"/>
      <c r="C968" s="874"/>
      <c r="D968" s="874"/>
      <c r="E968" s="874"/>
      <c r="F968" s="874"/>
      <c r="G968" s="874"/>
      <c r="H968" s="874"/>
      <c r="I968" s="874"/>
      <c r="J968" s="874"/>
      <c r="K968" s="874"/>
      <c r="L968" s="874"/>
      <c r="M968" s="874"/>
    </row>
    <row r="969" spans="1:13">
      <c r="A969" s="874"/>
      <c r="B969" s="875"/>
      <c r="C969" s="874"/>
      <c r="D969" s="874"/>
      <c r="E969" s="874"/>
      <c r="F969" s="874"/>
      <c r="G969" s="874"/>
      <c r="H969" s="874"/>
      <c r="I969" s="874"/>
      <c r="J969" s="874"/>
      <c r="K969" s="874"/>
      <c r="L969" s="874"/>
      <c r="M969" s="874"/>
    </row>
    <row r="970" spans="1:13">
      <c r="A970" s="874"/>
      <c r="B970" s="875"/>
      <c r="C970" s="874"/>
      <c r="D970" s="874"/>
      <c r="E970" s="874"/>
      <c r="F970" s="874"/>
      <c r="G970" s="874"/>
      <c r="H970" s="874"/>
      <c r="I970" s="874"/>
      <c r="J970" s="874"/>
      <c r="K970" s="874"/>
      <c r="L970" s="874"/>
      <c r="M970" s="874"/>
    </row>
    <row r="971" spans="1:13">
      <c r="A971" s="874"/>
      <c r="B971" s="875"/>
      <c r="C971" s="874"/>
      <c r="D971" s="874"/>
      <c r="E971" s="874"/>
      <c r="F971" s="874"/>
      <c r="G971" s="874"/>
      <c r="H971" s="874"/>
      <c r="I971" s="874"/>
      <c r="J971" s="874"/>
      <c r="K971" s="874"/>
      <c r="L971" s="874"/>
      <c r="M971" s="874"/>
    </row>
    <row r="972" spans="1:13">
      <c r="A972" s="874"/>
      <c r="B972" s="875"/>
      <c r="C972" s="874"/>
      <c r="D972" s="874"/>
      <c r="E972" s="874"/>
      <c r="F972" s="874"/>
      <c r="G972" s="874"/>
      <c r="H972" s="874"/>
      <c r="I972" s="874"/>
      <c r="J972" s="874"/>
      <c r="K972" s="874"/>
      <c r="L972" s="874"/>
      <c r="M972" s="874"/>
    </row>
    <row r="973" spans="1:13">
      <c r="A973" s="874"/>
      <c r="B973" s="875"/>
      <c r="C973" s="874"/>
      <c r="D973" s="874"/>
      <c r="E973" s="874"/>
      <c r="F973" s="874"/>
      <c r="G973" s="874"/>
      <c r="H973" s="874"/>
      <c r="I973" s="874"/>
      <c r="J973" s="874"/>
      <c r="K973" s="874"/>
      <c r="L973" s="874"/>
      <c r="M973" s="874"/>
    </row>
    <row r="974" spans="1:13">
      <c r="A974" s="874"/>
      <c r="B974" s="875"/>
      <c r="C974" s="874"/>
      <c r="D974" s="874"/>
      <c r="E974" s="874"/>
      <c r="F974" s="874"/>
      <c r="G974" s="874"/>
      <c r="H974" s="874"/>
      <c r="I974" s="874"/>
      <c r="J974" s="874"/>
      <c r="K974" s="874"/>
      <c r="L974" s="874"/>
      <c r="M974" s="874"/>
    </row>
    <row r="975" spans="1:13">
      <c r="A975" s="874"/>
      <c r="B975" s="875"/>
      <c r="C975" s="874"/>
      <c r="D975" s="874"/>
      <c r="E975" s="874"/>
      <c r="F975" s="874"/>
      <c r="G975" s="874"/>
      <c r="H975" s="874"/>
      <c r="I975" s="874"/>
      <c r="J975" s="874"/>
      <c r="K975" s="874"/>
      <c r="L975" s="874"/>
      <c r="M975" s="874"/>
    </row>
    <row r="976" spans="1:13">
      <c r="A976" s="874"/>
      <c r="B976" s="875"/>
      <c r="C976" s="874"/>
      <c r="D976" s="874"/>
      <c r="E976" s="874"/>
      <c r="F976" s="874"/>
      <c r="G976" s="874"/>
      <c r="H976" s="874"/>
      <c r="I976" s="874"/>
      <c r="J976" s="874"/>
      <c r="K976" s="874"/>
      <c r="L976" s="874"/>
      <c r="M976" s="874"/>
    </row>
    <row r="977" spans="1:13">
      <c r="A977" s="874"/>
      <c r="B977" s="875"/>
      <c r="C977" s="874"/>
      <c r="D977" s="874"/>
      <c r="E977" s="874"/>
      <c r="F977" s="874"/>
      <c r="G977" s="874"/>
      <c r="H977" s="874"/>
      <c r="I977" s="874"/>
      <c r="J977" s="874"/>
      <c r="K977" s="874"/>
      <c r="L977" s="874"/>
      <c r="M977" s="874"/>
    </row>
    <row r="978" spans="1:13">
      <c r="A978" s="874"/>
      <c r="B978" s="875"/>
      <c r="C978" s="874"/>
      <c r="D978" s="874"/>
      <c r="E978" s="874"/>
      <c r="F978" s="874"/>
      <c r="G978" s="874"/>
      <c r="H978" s="874"/>
      <c r="I978" s="874"/>
      <c r="J978" s="874"/>
      <c r="K978" s="874"/>
      <c r="L978" s="874"/>
      <c r="M978" s="874"/>
    </row>
    <row r="979" spans="1:13">
      <c r="A979" s="874"/>
      <c r="B979" s="875"/>
      <c r="C979" s="874"/>
      <c r="D979" s="874"/>
      <c r="E979" s="874"/>
      <c r="F979" s="874"/>
      <c r="G979" s="874"/>
      <c r="H979" s="874"/>
      <c r="I979" s="874"/>
      <c r="J979" s="874"/>
      <c r="K979" s="874"/>
      <c r="L979" s="874"/>
      <c r="M979" s="874"/>
    </row>
    <row r="980" spans="1:13">
      <c r="A980" s="874"/>
      <c r="B980" s="875"/>
      <c r="C980" s="874"/>
      <c r="D980" s="874"/>
      <c r="E980" s="874"/>
      <c r="F980" s="874"/>
      <c r="G980" s="874"/>
      <c r="H980" s="874"/>
      <c r="I980" s="874"/>
      <c r="J980" s="874"/>
      <c r="K980" s="874"/>
      <c r="L980" s="874"/>
      <c r="M980" s="874"/>
    </row>
    <row r="981" spans="1:13">
      <c r="A981" s="874"/>
      <c r="B981" s="875"/>
      <c r="C981" s="874"/>
      <c r="D981" s="874"/>
      <c r="E981" s="874"/>
      <c r="F981" s="874"/>
      <c r="G981" s="874"/>
      <c r="H981" s="874"/>
      <c r="I981" s="874"/>
      <c r="J981" s="874"/>
      <c r="K981" s="874"/>
      <c r="L981" s="874"/>
      <c r="M981" s="874"/>
    </row>
    <row r="982" spans="1:13">
      <c r="A982" s="874"/>
      <c r="B982" s="875"/>
      <c r="C982" s="874"/>
      <c r="D982" s="874"/>
      <c r="E982" s="874"/>
      <c r="F982" s="874"/>
      <c r="G982" s="874"/>
      <c r="H982" s="874"/>
      <c r="I982" s="874"/>
      <c r="J982" s="874"/>
      <c r="K982" s="874"/>
      <c r="L982" s="874"/>
      <c r="M982" s="874"/>
    </row>
    <row r="983" spans="1:13">
      <c r="A983" s="874"/>
      <c r="B983" s="875"/>
      <c r="C983" s="874"/>
      <c r="D983" s="874"/>
      <c r="E983" s="874"/>
      <c r="F983" s="874"/>
      <c r="G983" s="874"/>
      <c r="H983" s="874"/>
      <c r="I983" s="874"/>
      <c r="J983" s="874"/>
      <c r="K983" s="874"/>
      <c r="L983" s="874"/>
      <c r="M983" s="874"/>
    </row>
    <row r="984" spans="1:13">
      <c r="A984" s="874"/>
      <c r="B984" s="875"/>
      <c r="C984" s="874"/>
      <c r="D984" s="874"/>
      <c r="E984" s="874"/>
      <c r="F984" s="874"/>
      <c r="G984" s="874"/>
      <c r="H984" s="874"/>
      <c r="I984" s="874"/>
      <c r="J984" s="874"/>
      <c r="K984" s="874"/>
      <c r="L984" s="874"/>
      <c r="M984" s="874"/>
    </row>
    <row r="985" spans="1:13">
      <c r="A985" s="874"/>
      <c r="B985" s="875"/>
      <c r="C985" s="874"/>
      <c r="D985" s="874"/>
      <c r="E985" s="874"/>
      <c r="F985" s="874"/>
      <c r="G985" s="874"/>
      <c r="H985" s="874"/>
      <c r="I985" s="874"/>
      <c r="J985" s="874"/>
      <c r="K985" s="874"/>
      <c r="L985" s="874"/>
      <c r="M985" s="874"/>
    </row>
    <row r="986" spans="1:13">
      <c r="A986" s="874"/>
      <c r="B986" s="875"/>
      <c r="C986" s="874"/>
      <c r="D986" s="874"/>
      <c r="E986" s="874"/>
      <c r="F986" s="874"/>
      <c r="G986" s="874"/>
      <c r="H986" s="874"/>
      <c r="I986" s="874"/>
      <c r="J986" s="874"/>
      <c r="K986" s="874"/>
      <c r="L986" s="874"/>
      <c r="M986" s="874"/>
    </row>
    <row r="987" spans="1:13">
      <c r="A987" s="874"/>
      <c r="B987" s="875"/>
      <c r="C987" s="874"/>
      <c r="D987" s="874"/>
      <c r="E987" s="874"/>
      <c r="F987" s="874"/>
      <c r="G987" s="874"/>
      <c r="H987" s="874"/>
      <c r="I987" s="874"/>
      <c r="J987" s="874"/>
      <c r="K987" s="874"/>
      <c r="L987" s="874"/>
      <c r="M987" s="874"/>
    </row>
    <row r="988" spans="1:13">
      <c r="A988" s="874"/>
      <c r="B988" s="875"/>
      <c r="C988" s="874"/>
      <c r="D988" s="874"/>
      <c r="E988" s="874"/>
      <c r="F988" s="874"/>
      <c r="G988" s="874"/>
      <c r="H988" s="874"/>
      <c r="I988" s="874"/>
      <c r="J988" s="874"/>
      <c r="K988" s="874"/>
      <c r="L988" s="874"/>
      <c r="M988" s="874"/>
    </row>
    <row r="989" spans="1:13">
      <c r="A989" s="874"/>
      <c r="B989" s="875"/>
      <c r="C989" s="874"/>
      <c r="D989" s="874"/>
      <c r="E989" s="874"/>
      <c r="F989" s="874"/>
      <c r="G989" s="874"/>
      <c r="H989" s="874"/>
      <c r="I989" s="874"/>
      <c r="J989" s="874"/>
      <c r="K989" s="874"/>
      <c r="L989" s="874"/>
      <c r="M989" s="874"/>
    </row>
    <row r="990" spans="1:13">
      <c r="A990" s="874"/>
      <c r="B990" s="875"/>
      <c r="C990" s="874"/>
      <c r="D990" s="874"/>
      <c r="E990" s="874"/>
      <c r="F990" s="874"/>
      <c r="G990" s="874"/>
      <c r="H990" s="874"/>
      <c r="I990" s="874"/>
      <c r="J990" s="874"/>
      <c r="K990" s="874"/>
      <c r="L990" s="874"/>
      <c r="M990" s="874"/>
    </row>
    <row r="991" spans="1:13">
      <c r="A991" s="874"/>
      <c r="B991" s="875"/>
      <c r="C991" s="874"/>
      <c r="D991" s="874"/>
      <c r="E991" s="874"/>
      <c r="F991" s="874"/>
      <c r="G991" s="874"/>
      <c r="H991" s="874"/>
      <c r="I991" s="874"/>
      <c r="J991" s="874"/>
      <c r="K991" s="874"/>
      <c r="L991" s="874"/>
      <c r="M991" s="874"/>
    </row>
    <row r="992" spans="1:13">
      <c r="A992" s="874"/>
      <c r="B992" s="875"/>
      <c r="C992" s="874"/>
      <c r="D992" s="874"/>
      <c r="E992" s="874"/>
      <c r="F992" s="874"/>
      <c r="G992" s="874"/>
      <c r="H992" s="874"/>
      <c r="I992" s="874"/>
      <c r="J992" s="874"/>
      <c r="K992" s="874"/>
      <c r="L992" s="874"/>
      <c r="M992" s="874"/>
    </row>
    <row r="993" spans="1:13">
      <c r="A993" s="874"/>
      <c r="B993" s="875"/>
      <c r="C993" s="874"/>
      <c r="D993" s="874"/>
      <c r="E993" s="874"/>
      <c r="F993" s="874"/>
      <c r="G993" s="874"/>
      <c r="H993" s="874"/>
      <c r="I993" s="874"/>
      <c r="J993" s="874"/>
      <c r="K993" s="874"/>
      <c r="L993" s="874"/>
      <c r="M993" s="874"/>
    </row>
    <row r="994" spans="1:13">
      <c r="A994" s="874"/>
      <c r="B994" s="875"/>
      <c r="C994" s="874"/>
      <c r="D994" s="874"/>
      <c r="E994" s="874"/>
      <c r="F994" s="874"/>
      <c r="G994" s="874"/>
      <c r="H994" s="874"/>
      <c r="I994" s="874"/>
      <c r="J994" s="874"/>
      <c r="K994" s="874"/>
      <c r="L994" s="874"/>
      <c r="M994" s="874"/>
    </row>
    <row r="995" spans="1:13">
      <c r="A995" s="874"/>
      <c r="B995" s="875"/>
      <c r="C995" s="874"/>
      <c r="D995" s="874"/>
      <c r="E995" s="874"/>
      <c r="F995" s="874"/>
      <c r="G995" s="874"/>
      <c r="H995" s="874"/>
      <c r="I995" s="874"/>
      <c r="J995" s="874"/>
      <c r="K995" s="874"/>
      <c r="L995" s="874"/>
      <c r="M995" s="874"/>
    </row>
    <row r="996" spans="1:13">
      <c r="A996" s="874"/>
      <c r="B996" s="875"/>
      <c r="C996" s="874"/>
      <c r="D996" s="874"/>
      <c r="E996" s="874"/>
      <c r="F996" s="874"/>
      <c r="G996" s="874"/>
      <c r="H996" s="874"/>
      <c r="I996" s="874"/>
      <c r="J996" s="874"/>
      <c r="K996" s="874"/>
      <c r="L996" s="874"/>
      <c r="M996" s="874"/>
    </row>
    <row r="997" spans="1:13">
      <c r="A997" s="874"/>
      <c r="B997" s="875"/>
      <c r="C997" s="874"/>
      <c r="D997" s="874"/>
      <c r="E997" s="874"/>
      <c r="F997" s="874"/>
      <c r="G997" s="874"/>
      <c r="H997" s="874"/>
      <c r="I997" s="874"/>
      <c r="J997" s="874"/>
      <c r="K997" s="874"/>
      <c r="L997" s="874"/>
      <c r="M997" s="874"/>
    </row>
    <row r="998" spans="1:13">
      <c r="A998" s="874"/>
      <c r="B998" s="875"/>
      <c r="C998" s="874"/>
      <c r="D998" s="874"/>
      <c r="E998" s="874"/>
      <c r="F998" s="874"/>
      <c r="G998" s="874"/>
      <c r="H998" s="874"/>
      <c r="I998" s="874"/>
      <c r="J998" s="874"/>
      <c r="K998" s="874"/>
      <c r="L998" s="874"/>
      <c r="M998" s="874"/>
    </row>
    <row r="999" spans="1:13">
      <c r="A999" s="874"/>
      <c r="B999" s="875"/>
      <c r="C999" s="874"/>
      <c r="D999" s="874"/>
      <c r="E999" s="874"/>
      <c r="F999" s="874"/>
      <c r="G999" s="874"/>
      <c r="H999" s="874"/>
      <c r="I999" s="874"/>
      <c r="J999" s="874"/>
      <c r="K999" s="874"/>
      <c r="L999" s="874"/>
      <c r="M999" s="874"/>
    </row>
    <row r="1000" spans="1:13">
      <c r="A1000" s="874"/>
      <c r="B1000" s="875"/>
      <c r="C1000" s="874"/>
      <c r="D1000" s="874"/>
      <c r="E1000" s="874"/>
      <c r="F1000" s="874"/>
      <c r="G1000" s="874"/>
      <c r="H1000" s="874"/>
      <c r="I1000" s="874"/>
      <c r="J1000" s="874"/>
      <c r="K1000" s="874"/>
      <c r="L1000" s="874"/>
      <c r="M1000" s="874"/>
    </row>
    <row r="1001" spans="1:13">
      <c r="A1001" s="874"/>
      <c r="B1001" s="875"/>
      <c r="C1001" s="874"/>
      <c r="D1001" s="874"/>
      <c r="E1001" s="874"/>
      <c r="F1001" s="874"/>
      <c r="G1001" s="874"/>
      <c r="H1001" s="874"/>
      <c r="I1001" s="874"/>
      <c r="J1001" s="874"/>
      <c r="K1001" s="874"/>
      <c r="L1001" s="874"/>
      <c r="M1001" s="874"/>
    </row>
  </sheetData>
  <mergeCells count="1">
    <mergeCell ref="B2:K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2"/>
  <dimension ref="C2:K125"/>
  <sheetViews>
    <sheetView topLeftCell="D82" zoomScaleNormal="100" workbookViewId="0">
      <selection activeCell="D87" sqref="D87"/>
    </sheetView>
  </sheetViews>
  <sheetFormatPr defaultRowHeight="15"/>
  <cols>
    <col min="3" max="3" width="10.33203125" customWidth="1"/>
    <col min="4" max="4" width="10.21875" style="1" customWidth="1"/>
    <col min="5" max="5" width="10.109375" style="1" customWidth="1"/>
    <col min="6" max="6" width="10.77734375" style="1" customWidth="1"/>
    <col min="7" max="7" width="9.21875" style="1"/>
    <col min="8" max="8" width="11.109375" style="1" customWidth="1"/>
    <col min="9" max="9" width="9.21875" style="1"/>
    <col min="10" max="10" width="35.77734375" customWidth="1"/>
  </cols>
  <sheetData>
    <row r="2" spans="3:10" ht="21">
      <c r="C2" s="1226" t="s">
        <v>29</v>
      </c>
      <c r="D2" s="1226"/>
      <c r="E2" s="1226"/>
      <c r="F2" s="1226"/>
      <c r="G2" s="1226"/>
      <c r="H2" s="1226"/>
      <c r="I2" s="1226"/>
      <c r="J2" s="1226"/>
    </row>
    <row r="3" spans="3:10" ht="18.75" customHeight="1" thickBot="1"/>
    <row r="4" spans="3:10" ht="24" customHeight="1" thickBot="1">
      <c r="C4" s="1223" t="s">
        <v>30</v>
      </c>
      <c r="D4" s="1224"/>
      <c r="E4" s="1224"/>
      <c r="F4" s="1224"/>
      <c r="G4" s="1224"/>
      <c r="H4" s="1224"/>
      <c r="I4" s="1224"/>
      <c r="J4" s="1225"/>
    </row>
    <row r="5" spans="3:10" ht="27" thickBot="1">
      <c r="C5" s="66" t="s">
        <v>31</v>
      </c>
      <c r="D5" s="50" t="s">
        <v>32</v>
      </c>
      <c r="E5" s="50" t="s">
        <v>33</v>
      </c>
      <c r="F5" s="50" t="s">
        <v>34</v>
      </c>
      <c r="G5" s="50" t="s">
        <v>35</v>
      </c>
      <c r="H5" s="50" t="s">
        <v>36</v>
      </c>
      <c r="I5" s="50" t="s">
        <v>37</v>
      </c>
      <c r="J5" s="51" t="s">
        <v>40</v>
      </c>
    </row>
    <row r="6" spans="3:10">
      <c r="C6" s="80" t="s">
        <v>41</v>
      </c>
      <c r="D6" s="59" t="s">
        <v>42</v>
      </c>
      <c r="E6" s="49">
        <v>28</v>
      </c>
      <c r="F6" s="49">
        <v>1932</v>
      </c>
      <c r="G6" s="78">
        <v>560.28</v>
      </c>
      <c r="H6" s="78">
        <v>1371.72</v>
      </c>
      <c r="I6" s="74">
        <v>0.71140000000000003</v>
      </c>
      <c r="J6" s="60"/>
    </row>
    <row r="7" spans="3:10">
      <c r="C7" s="81" t="s">
        <v>43</v>
      </c>
      <c r="D7" s="61" t="s">
        <v>44</v>
      </c>
      <c r="E7" s="46">
        <v>28</v>
      </c>
      <c r="F7" s="46">
        <v>1160</v>
      </c>
      <c r="G7" s="71">
        <v>629.88</v>
      </c>
      <c r="H7" s="71">
        <v>530.12</v>
      </c>
      <c r="I7" s="75">
        <v>0.45650000000000002</v>
      </c>
      <c r="J7" s="62"/>
    </row>
    <row r="8" spans="3:10">
      <c r="C8" s="81" t="s">
        <v>45</v>
      </c>
      <c r="D8" s="61" t="s">
        <v>44</v>
      </c>
      <c r="E8" s="46">
        <v>32</v>
      </c>
      <c r="F8" s="46">
        <v>2096</v>
      </c>
      <c r="G8" s="71">
        <v>976.73599999999988</v>
      </c>
      <c r="H8" s="71">
        <v>1119.2640000000001</v>
      </c>
      <c r="I8" s="75">
        <v>0.53400000000000003</v>
      </c>
      <c r="J8" s="62"/>
    </row>
    <row r="9" spans="3:10">
      <c r="C9" s="81" t="s">
        <v>46</v>
      </c>
      <c r="D9" s="61" t="s">
        <v>47</v>
      </c>
      <c r="E9" s="46">
        <v>40</v>
      </c>
      <c r="F9" s="46">
        <v>1680</v>
      </c>
      <c r="G9" s="71">
        <v>907.19999999999993</v>
      </c>
      <c r="H9" s="71">
        <v>772.80000000000007</v>
      </c>
      <c r="I9" s="75">
        <v>0.46</v>
      </c>
      <c r="J9" s="62"/>
    </row>
    <row r="10" spans="3:10">
      <c r="C10" s="81" t="s">
        <v>48</v>
      </c>
      <c r="D10" s="61" t="s">
        <v>47</v>
      </c>
      <c r="E10" s="46" t="s">
        <v>49</v>
      </c>
      <c r="F10" s="46">
        <v>1712</v>
      </c>
      <c r="G10" s="71">
        <v>975.84</v>
      </c>
      <c r="H10" s="71">
        <v>736.16</v>
      </c>
      <c r="I10" s="75">
        <v>0.43</v>
      </c>
      <c r="J10" s="62"/>
    </row>
    <row r="11" spans="3:10">
      <c r="C11" s="97" t="s">
        <v>590</v>
      </c>
      <c r="D11" s="98" t="s">
        <v>47</v>
      </c>
      <c r="E11" s="46"/>
      <c r="F11" s="46"/>
      <c r="G11" s="71"/>
      <c r="H11" s="71"/>
      <c r="I11" s="75"/>
      <c r="J11" s="102" t="s">
        <v>591</v>
      </c>
    </row>
    <row r="12" spans="3:10">
      <c r="C12" s="97" t="s">
        <v>592</v>
      </c>
      <c r="D12" s="98" t="s">
        <v>47</v>
      </c>
      <c r="E12" s="99"/>
      <c r="F12" s="99"/>
      <c r="G12" s="100"/>
      <c r="H12" s="100"/>
      <c r="I12" s="101"/>
      <c r="J12" s="102" t="s">
        <v>593</v>
      </c>
    </row>
    <row r="13" spans="3:10">
      <c r="C13" s="97" t="s">
        <v>373</v>
      </c>
      <c r="D13" s="98" t="s">
        <v>47</v>
      </c>
      <c r="E13" s="99"/>
      <c r="F13" s="99"/>
      <c r="G13" s="100"/>
      <c r="H13" s="100"/>
      <c r="I13" s="101"/>
      <c r="J13" s="102" t="s">
        <v>593</v>
      </c>
    </row>
    <row r="14" spans="3:10">
      <c r="C14" s="81" t="s">
        <v>50</v>
      </c>
      <c r="D14" s="61" t="s">
        <v>47</v>
      </c>
      <c r="E14" s="46" t="s">
        <v>51</v>
      </c>
      <c r="F14" s="79">
        <v>1372</v>
      </c>
      <c r="G14" s="71">
        <v>521.36</v>
      </c>
      <c r="H14" s="71">
        <v>850.64</v>
      </c>
      <c r="I14" s="75">
        <v>0.62029999999999996</v>
      </c>
      <c r="J14" s="62"/>
    </row>
    <row r="15" spans="3:10">
      <c r="C15" s="81" t="s">
        <v>52</v>
      </c>
      <c r="D15" s="61" t="s">
        <v>47</v>
      </c>
      <c r="E15" s="46">
        <v>40</v>
      </c>
      <c r="F15" s="46">
        <v>1524</v>
      </c>
      <c r="G15" s="46">
        <v>683</v>
      </c>
      <c r="H15" s="46">
        <v>842</v>
      </c>
      <c r="I15" s="75">
        <v>0.55210000000000004</v>
      </c>
      <c r="J15" s="62"/>
    </row>
    <row r="16" spans="3:10">
      <c r="C16" s="81" t="s">
        <v>53</v>
      </c>
      <c r="D16" s="61" t="s">
        <v>47</v>
      </c>
      <c r="E16" s="46" t="s">
        <v>51</v>
      </c>
      <c r="F16" s="46">
        <v>1363</v>
      </c>
      <c r="G16" s="46">
        <v>566</v>
      </c>
      <c r="H16" s="46">
        <v>797</v>
      </c>
      <c r="I16" s="75">
        <v>0.58460000000000001</v>
      </c>
      <c r="J16" s="62"/>
    </row>
    <row r="17" spans="3:10">
      <c r="C17" s="97" t="s">
        <v>594</v>
      </c>
      <c r="D17" s="98" t="s">
        <v>47</v>
      </c>
      <c r="E17" s="99"/>
      <c r="F17" s="99"/>
      <c r="G17" s="99"/>
      <c r="H17" s="99"/>
      <c r="I17" s="101"/>
      <c r="J17" s="102" t="s">
        <v>595</v>
      </c>
    </row>
    <row r="18" spans="3:10">
      <c r="C18" s="81" t="s">
        <v>54</v>
      </c>
      <c r="D18" s="61" t="s">
        <v>47</v>
      </c>
      <c r="E18" s="46" t="s">
        <v>55</v>
      </c>
      <c r="F18" s="46">
        <v>1548</v>
      </c>
      <c r="G18" s="71">
        <v>928.8</v>
      </c>
      <c r="H18" s="71">
        <v>619.20000000000005</v>
      </c>
      <c r="I18" s="75">
        <v>0.40129999999999999</v>
      </c>
      <c r="J18" s="62"/>
    </row>
    <row r="19" spans="3:10">
      <c r="C19" s="81" t="s">
        <v>56</v>
      </c>
      <c r="D19" s="61" t="s">
        <v>47</v>
      </c>
      <c r="E19" s="46">
        <v>44</v>
      </c>
      <c r="F19" s="46">
        <v>3895</v>
      </c>
      <c r="G19" s="46">
        <v>1962</v>
      </c>
      <c r="H19" s="46">
        <v>1934</v>
      </c>
      <c r="I19" s="75">
        <v>0.49640000000000001</v>
      </c>
      <c r="J19" s="62"/>
    </row>
    <row r="20" spans="3:10" ht="15.6" thickBot="1">
      <c r="C20" s="82" t="s">
        <v>57</v>
      </c>
      <c r="D20" s="61" t="s">
        <v>47</v>
      </c>
      <c r="E20" s="48" t="s">
        <v>55</v>
      </c>
      <c r="F20" s="48">
        <v>1684</v>
      </c>
      <c r="G20" s="73">
        <v>311.54000000000019</v>
      </c>
      <c r="H20" s="73">
        <v>1372.4599999999998</v>
      </c>
      <c r="I20" s="77">
        <v>0.81510000000000005</v>
      </c>
      <c r="J20" s="64"/>
    </row>
    <row r="21" spans="3:10" ht="15.6" thickBot="1">
      <c r="C21" s="67"/>
      <c r="D21" s="68"/>
      <c r="E21" s="68"/>
      <c r="F21" s="44">
        <f>SUM(F6:F20)</f>
        <v>19966</v>
      </c>
      <c r="G21" s="72">
        <f>SUM(G6:G20)</f>
        <v>9022.6360000000004</v>
      </c>
      <c r="H21" s="72">
        <f>SUM(H6:H20)</f>
        <v>10945.364</v>
      </c>
      <c r="I21" s="69"/>
    </row>
    <row r="23" spans="3:10" ht="15.6" thickBot="1"/>
    <row r="24" spans="3:10" ht="28.5" customHeight="1" thickBot="1">
      <c r="C24" s="1223" t="s">
        <v>58</v>
      </c>
      <c r="D24" s="1224"/>
      <c r="E24" s="1224"/>
      <c r="F24" s="1224"/>
      <c r="G24" s="1224"/>
      <c r="H24" s="1224"/>
      <c r="I24" s="1224"/>
      <c r="J24" s="1225"/>
    </row>
    <row r="25" spans="3:10" ht="27" thickBot="1">
      <c r="C25" s="66" t="s">
        <v>31</v>
      </c>
      <c r="D25" s="50" t="s">
        <v>32</v>
      </c>
      <c r="E25" s="50" t="s">
        <v>33</v>
      </c>
      <c r="F25" s="50" t="s">
        <v>34</v>
      </c>
      <c r="G25" s="50" t="s">
        <v>35</v>
      </c>
      <c r="H25" s="50" t="s">
        <v>36</v>
      </c>
      <c r="I25" s="50" t="s">
        <v>37</v>
      </c>
      <c r="J25" s="51" t="s">
        <v>40</v>
      </c>
    </row>
    <row r="26" spans="3:10" s="107" customFormat="1">
      <c r="C26" s="103" t="s">
        <v>596</v>
      </c>
      <c r="D26" s="104" t="s">
        <v>84</v>
      </c>
      <c r="E26" s="105"/>
      <c r="F26" s="105"/>
      <c r="G26" s="105"/>
      <c r="H26" s="105"/>
      <c r="I26" s="105"/>
      <c r="J26" s="106" t="s">
        <v>597</v>
      </c>
    </row>
    <row r="27" spans="3:10" s="107" customFormat="1">
      <c r="C27" s="97" t="s">
        <v>417</v>
      </c>
      <c r="D27" s="108" t="s">
        <v>418</v>
      </c>
      <c r="E27" s="109"/>
      <c r="F27" s="109"/>
      <c r="G27" s="109"/>
      <c r="H27" s="109"/>
      <c r="I27" s="109"/>
      <c r="J27" s="102" t="s">
        <v>598</v>
      </c>
    </row>
    <row r="28" spans="3:10" s="107" customFormat="1">
      <c r="C28" s="97" t="s">
        <v>376</v>
      </c>
      <c r="D28" s="108" t="s">
        <v>89</v>
      </c>
      <c r="E28" s="109"/>
      <c r="F28" s="109"/>
      <c r="G28" s="109"/>
      <c r="H28" s="109"/>
      <c r="I28" s="109"/>
      <c r="J28" s="102" t="s">
        <v>598</v>
      </c>
    </row>
    <row r="29" spans="3:10">
      <c r="C29" s="83" t="s">
        <v>59</v>
      </c>
      <c r="D29" s="53" t="s">
        <v>60</v>
      </c>
      <c r="E29" s="84">
        <v>56</v>
      </c>
      <c r="F29" s="84">
        <v>1007</v>
      </c>
      <c r="G29" s="84">
        <v>984</v>
      </c>
      <c r="H29" s="84">
        <v>23</v>
      </c>
      <c r="I29" s="85">
        <v>2.3E-2</v>
      </c>
      <c r="J29" s="86"/>
    </row>
    <row r="30" spans="3:10">
      <c r="C30" s="97" t="s">
        <v>599</v>
      </c>
      <c r="D30" s="108" t="s">
        <v>600</v>
      </c>
      <c r="E30" s="109"/>
      <c r="F30" s="109"/>
      <c r="G30" s="109"/>
      <c r="H30" s="109"/>
      <c r="I30" s="110"/>
      <c r="J30" s="111" t="s">
        <v>601</v>
      </c>
    </row>
    <row r="31" spans="3:10">
      <c r="C31" s="83" t="s">
        <v>61</v>
      </c>
      <c r="D31" s="53" t="s">
        <v>62</v>
      </c>
      <c r="E31" s="84">
        <v>28</v>
      </c>
      <c r="F31" s="84">
        <v>964</v>
      </c>
      <c r="G31" s="84">
        <v>511</v>
      </c>
      <c r="H31" s="84">
        <v>453</v>
      </c>
      <c r="I31" s="85">
        <v>0.47</v>
      </c>
      <c r="J31" s="86" t="s">
        <v>63</v>
      </c>
    </row>
    <row r="32" spans="3:10">
      <c r="C32" s="83" t="s">
        <v>64</v>
      </c>
      <c r="D32" s="53" t="s">
        <v>65</v>
      </c>
      <c r="E32" s="84">
        <v>32</v>
      </c>
      <c r="F32" s="84">
        <v>2378</v>
      </c>
      <c r="G32" s="84">
        <v>1408</v>
      </c>
      <c r="H32" s="84">
        <v>970</v>
      </c>
      <c r="I32" s="85">
        <v>0.40799999999999997</v>
      </c>
      <c r="J32" s="86"/>
    </row>
    <row r="33" spans="3:10">
      <c r="C33" s="97" t="s">
        <v>602</v>
      </c>
      <c r="D33" s="108" t="s">
        <v>603</v>
      </c>
      <c r="E33" s="109"/>
      <c r="F33" s="109"/>
      <c r="G33" s="109"/>
      <c r="H33" s="109"/>
      <c r="I33" s="110"/>
      <c r="J33" s="111" t="s">
        <v>604</v>
      </c>
    </row>
    <row r="34" spans="3:10">
      <c r="C34" s="97" t="s">
        <v>605</v>
      </c>
      <c r="D34" s="108" t="s">
        <v>62</v>
      </c>
      <c r="E34" s="109"/>
      <c r="F34" s="109"/>
      <c r="G34" s="109"/>
      <c r="H34" s="109"/>
      <c r="I34" s="110"/>
      <c r="J34" s="111" t="s">
        <v>606</v>
      </c>
    </row>
    <row r="35" spans="3:10">
      <c r="C35" s="83" t="s">
        <v>66</v>
      </c>
      <c r="D35" s="53" t="s">
        <v>67</v>
      </c>
      <c r="E35" s="84">
        <v>28</v>
      </c>
      <c r="F35" s="84">
        <v>699</v>
      </c>
      <c r="G35" s="84">
        <v>423</v>
      </c>
      <c r="H35" s="84">
        <v>276</v>
      </c>
      <c r="I35" s="85">
        <v>0.3952</v>
      </c>
      <c r="J35" s="86"/>
    </row>
    <row r="36" spans="3:10">
      <c r="C36" s="83" t="s">
        <v>69</v>
      </c>
      <c r="D36" s="53" t="s">
        <v>70</v>
      </c>
      <c r="E36" s="84">
        <v>24</v>
      </c>
      <c r="F36" s="84">
        <v>946</v>
      </c>
      <c r="G36" s="84">
        <v>311</v>
      </c>
      <c r="H36" s="84">
        <v>635</v>
      </c>
      <c r="I36" s="85">
        <v>0.67149999999999999</v>
      </c>
      <c r="J36" s="86"/>
    </row>
    <row r="37" spans="3:10">
      <c r="C37" s="83" t="s">
        <v>71</v>
      </c>
      <c r="D37" s="53" t="s">
        <v>72</v>
      </c>
      <c r="E37" s="84">
        <v>28</v>
      </c>
      <c r="F37" s="84">
        <v>843</v>
      </c>
      <c r="G37" s="84">
        <v>280</v>
      </c>
      <c r="H37" s="84">
        <v>563</v>
      </c>
      <c r="I37" s="85">
        <v>0.66769999999999996</v>
      </c>
      <c r="J37" s="86"/>
    </row>
    <row r="38" spans="3:10">
      <c r="C38" s="83" t="s">
        <v>73</v>
      </c>
      <c r="D38" s="53" t="s">
        <v>72</v>
      </c>
      <c r="E38" s="84">
        <v>36</v>
      </c>
      <c r="F38" s="84">
        <v>1079</v>
      </c>
      <c r="G38" s="84">
        <v>723</v>
      </c>
      <c r="H38" s="84">
        <v>355</v>
      </c>
      <c r="I38" s="85">
        <v>0.32950000000000002</v>
      </c>
      <c r="J38" s="86"/>
    </row>
    <row r="39" spans="3:10">
      <c r="C39" s="83" t="s">
        <v>74</v>
      </c>
      <c r="D39" s="53" t="s">
        <v>75</v>
      </c>
      <c r="E39" s="84">
        <v>36</v>
      </c>
      <c r="F39" s="84">
        <v>3138</v>
      </c>
      <c r="G39" s="84">
        <v>1246</v>
      </c>
      <c r="H39" s="84">
        <v>1893</v>
      </c>
      <c r="I39" s="85">
        <v>0.60309999999999997</v>
      </c>
      <c r="J39" s="86"/>
    </row>
    <row r="40" spans="3:10">
      <c r="C40" s="97" t="s">
        <v>607</v>
      </c>
      <c r="D40" s="108" t="s">
        <v>65</v>
      </c>
      <c r="E40" s="109"/>
      <c r="F40" s="109"/>
      <c r="G40" s="109"/>
      <c r="H40" s="109"/>
      <c r="I40" s="110"/>
      <c r="J40" s="111" t="s">
        <v>608</v>
      </c>
    </row>
    <row r="41" spans="3:10">
      <c r="C41" s="83" t="s">
        <v>76</v>
      </c>
      <c r="D41" s="53" t="s">
        <v>77</v>
      </c>
      <c r="E41" s="84">
        <v>20</v>
      </c>
      <c r="F41" s="84">
        <v>704</v>
      </c>
      <c r="G41" s="84">
        <v>305</v>
      </c>
      <c r="H41" s="84">
        <v>399</v>
      </c>
      <c r="I41" s="85">
        <v>0.56720000000000004</v>
      </c>
      <c r="J41" s="86"/>
    </row>
    <row r="42" spans="3:10">
      <c r="C42" s="83" t="s">
        <v>78</v>
      </c>
      <c r="D42" s="53" t="s">
        <v>79</v>
      </c>
      <c r="E42" s="84">
        <v>48</v>
      </c>
      <c r="F42" s="84">
        <v>1027</v>
      </c>
      <c r="G42" s="84">
        <v>1024</v>
      </c>
      <c r="H42" s="84">
        <v>3</v>
      </c>
      <c r="I42" s="85">
        <v>2.5000000000000001E-3</v>
      </c>
      <c r="J42" s="86"/>
    </row>
    <row r="43" spans="3:10">
      <c r="C43" s="83" t="s">
        <v>80</v>
      </c>
      <c r="D43" s="53" t="s">
        <v>81</v>
      </c>
      <c r="E43" s="84">
        <v>32</v>
      </c>
      <c r="F43" s="84">
        <v>1609</v>
      </c>
      <c r="G43" s="84">
        <v>592</v>
      </c>
      <c r="H43" s="84">
        <v>1017</v>
      </c>
      <c r="I43" s="85">
        <v>0.63190000000000002</v>
      </c>
      <c r="J43" s="86" t="s">
        <v>63</v>
      </c>
    </row>
    <row r="44" spans="3:10">
      <c r="C44" s="83" t="s">
        <v>82</v>
      </c>
      <c r="D44" s="53" t="s">
        <v>65</v>
      </c>
      <c r="E44" s="84">
        <v>24</v>
      </c>
      <c r="F44" s="84">
        <v>1004</v>
      </c>
      <c r="G44" s="84">
        <v>1003</v>
      </c>
      <c r="H44" s="84">
        <v>1</v>
      </c>
      <c r="I44" s="85">
        <v>5.9999999999999995E-4</v>
      </c>
      <c r="J44" s="86" t="s">
        <v>63</v>
      </c>
    </row>
    <row r="45" spans="3:10">
      <c r="C45" s="97" t="s">
        <v>379</v>
      </c>
      <c r="D45" s="108" t="s">
        <v>380</v>
      </c>
      <c r="E45" s="109"/>
      <c r="F45" s="109"/>
      <c r="G45" s="109"/>
      <c r="H45" s="109"/>
      <c r="I45" s="110"/>
      <c r="J45" s="111" t="s">
        <v>609</v>
      </c>
    </row>
    <row r="46" spans="3:10">
      <c r="C46" s="97" t="s">
        <v>351</v>
      </c>
      <c r="D46" s="108" t="s">
        <v>352</v>
      </c>
      <c r="E46" s="109"/>
      <c r="F46" s="109"/>
      <c r="G46" s="109"/>
      <c r="H46" s="109"/>
      <c r="I46" s="110"/>
      <c r="J46" s="111" t="s">
        <v>609</v>
      </c>
    </row>
    <row r="47" spans="3:10">
      <c r="C47" s="97" t="s">
        <v>610</v>
      </c>
      <c r="D47" s="108" t="s">
        <v>65</v>
      </c>
      <c r="E47" s="109"/>
      <c r="F47" s="109"/>
      <c r="G47" s="109"/>
      <c r="H47" s="109"/>
      <c r="I47" s="110"/>
      <c r="J47" s="111" t="s">
        <v>604</v>
      </c>
    </row>
    <row r="48" spans="3:10">
      <c r="C48" s="83" t="s">
        <v>83</v>
      </c>
      <c r="D48" s="53" t="s">
        <v>84</v>
      </c>
      <c r="E48" s="84">
        <v>48</v>
      </c>
      <c r="F48" s="84">
        <v>2549</v>
      </c>
      <c r="G48" s="84">
        <v>1041</v>
      </c>
      <c r="H48" s="84">
        <v>1508</v>
      </c>
      <c r="I48" s="85">
        <v>0.5917</v>
      </c>
      <c r="J48" s="86"/>
    </row>
    <row r="49" spans="3:10">
      <c r="C49" s="97" t="s">
        <v>611</v>
      </c>
      <c r="D49" s="108" t="s">
        <v>612</v>
      </c>
      <c r="E49" s="109"/>
      <c r="F49" s="109"/>
      <c r="G49" s="109"/>
      <c r="H49" s="109"/>
      <c r="I49" s="110"/>
      <c r="J49" s="111" t="s">
        <v>613</v>
      </c>
    </row>
    <row r="50" spans="3:10">
      <c r="C50" s="97" t="s">
        <v>614</v>
      </c>
      <c r="D50" s="108" t="s">
        <v>67</v>
      </c>
      <c r="E50" s="109"/>
      <c r="F50" s="109"/>
      <c r="G50" s="109"/>
      <c r="H50" s="109"/>
      <c r="I50" s="110"/>
      <c r="J50" s="111" t="s">
        <v>615</v>
      </c>
    </row>
    <row r="51" spans="3:10">
      <c r="C51" s="83" t="s">
        <v>85</v>
      </c>
      <c r="D51" s="53" t="s">
        <v>72</v>
      </c>
      <c r="E51" s="84">
        <v>32</v>
      </c>
      <c r="F51" s="84">
        <v>1401</v>
      </c>
      <c r="G51" s="84">
        <v>881</v>
      </c>
      <c r="H51" s="84">
        <v>521</v>
      </c>
      <c r="I51" s="85">
        <v>0.3715</v>
      </c>
      <c r="J51" s="86"/>
    </row>
    <row r="52" spans="3:10">
      <c r="C52" s="97" t="s">
        <v>616</v>
      </c>
      <c r="D52" s="108" t="s">
        <v>81</v>
      </c>
      <c r="E52" s="109"/>
      <c r="F52" s="109"/>
      <c r="G52" s="109"/>
      <c r="H52" s="109"/>
      <c r="I52" s="110"/>
      <c r="J52" s="111" t="s">
        <v>617</v>
      </c>
    </row>
    <row r="53" spans="3:10">
      <c r="C53" s="97" t="s">
        <v>618</v>
      </c>
      <c r="D53" s="108" t="s">
        <v>89</v>
      </c>
      <c r="E53" s="109"/>
      <c r="F53" s="109"/>
      <c r="G53" s="109"/>
      <c r="H53" s="109"/>
      <c r="I53" s="110"/>
      <c r="J53" s="111" t="s">
        <v>608</v>
      </c>
    </row>
    <row r="54" spans="3:10">
      <c r="C54" s="83" t="s">
        <v>86</v>
      </c>
      <c r="D54" s="53" t="s">
        <v>87</v>
      </c>
      <c r="E54" s="84">
        <v>28</v>
      </c>
      <c r="F54" s="84">
        <v>885</v>
      </c>
      <c r="G54" s="84">
        <v>350</v>
      </c>
      <c r="H54" s="84">
        <v>535</v>
      </c>
      <c r="I54" s="85">
        <v>0.60470000000000002</v>
      </c>
      <c r="J54" s="86"/>
    </row>
    <row r="55" spans="3:10">
      <c r="C55" s="97" t="s">
        <v>619</v>
      </c>
      <c r="D55" s="108" t="s">
        <v>89</v>
      </c>
      <c r="E55" s="109"/>
      <c r="F55" s="109"/>
      <c r="G55" s="109"/>
      <c r="H55" s="109"/>
      <c r="I55" s="110"/>
      <c r="J55" s="111" t="s">
        <v>620</v>
      </c>
    </row>
    <row r="56" spans="3:10">
      <c r="C56" s="97" t="s">
        <v>621</v>
      </c>
      <c r="D56" s="108" t="s">
        <v>84</v>
      </c>
      <c r="E56" s="109"/>
      <c r="F56" s="109"/>
      <c r="G56" s="109"/>
      <c r="H56" s="109"/>
      <c r="I56" s="110"/>
      <c r="J56" s="111" t="s">
        <v>622</v>
      </c>
    </row>
    <row r="57" spans="3:10">
      <c r="C57" s="97" t="s">
        <v>623</v>
      </c>
      <c r="D57" s="108" t="s">
        <v>624</v>
      </c>
      <c r="E57" s="109"/>
      <c r="F57" s="109"/>
      <c r="G57" s="109"/>
      <c r="H57" s="109"/>
      <c r="I57" s="110"/>
      <c r="J57" s="112" t="s">
        <v>625</v>
      </c>
    </row>
    <row r="58" spans="3:10">
      <c r="C58" s="97" t="s">
        <v>626</v>
      </c>
      <c r="D58" s="108" t="s">
        <v>418</v>
      </c>
      <c r="E58" s="109"/>
      <c r="F58" s="109"/>
      <c r="G58" s="109"/>
      <c r="H58" s="109"/>
      <c r="I58" s="110"/>
      <c r="J58" s="111" t="s">
        <v>627</v>
      </c>
    </row>
    <row r="59" spans="3:10">
      <c r="C59" s="83" t="s">
        <v>88</v>
      </c>
      <c r="D59" s="53" t="s">
        <v>89</v>
      </c>
      <c r="E59" s="84">
        <v>28</v>
      </c>
      <c r="F59" s="84">
        <v>1151</v>
      </c>
      <c r="G59" s="84">
        <v>505</v>
      </c>
      <c r="H59" s="84">
        <v>646</v>
      </c>
      <c r="I59" s="85">
        <v>0.56159999999999999</v>
      </c>
      <c r="J59" s="86"/>
    </row>
    <row r="60" spans="3:10">
      <c r="C60" s="83" t="s">
        <v>90</v>
      </c>
      <c r="D60" s="53" t="s">
        <v>84</v>
      </c>
      <c r="E60" s="84">
        <v>48</v>
      </c>
      <c r="F60" s="84">
        <v>537</v>
      </c>
      <c r="G60" s="84">
        <v>498</v>
      </c>
      <c r="H60" s="84">
        <v>39</v>
      </c>
      <c r="I60" s="85">
        <v>7.2800000000000004E-2</v>
      </c>
      <c r="J60" s="86"/>
    </row>
    <row r="61" spans="3:10">
      <c r="C61" s="83" t="s">
        <v>91</v>
      </c>
      <c r="D61" s="53" t="s">
        <v>89</v>
      </c>
      <c r="E61" s="84">
        <v>36</v>
      </c>
      <c r="F61" s="84">
        <v>488</v>
      </c>
      <c r="G61" s="84">
        <v>487</v>
      </c>
      <c r="H61" s="84">
        <v>0</v>
      </c>
      <c r="I61" s="85">
        <v>5.9999999999999995E-4</v>
      </c>
      <c r="J61" s="86"/>
    </row>
    <row r="62" spans="3:10">
      <c r="C62" s="83" t="s">
        <v>92</v>
      </c>
      <c r="D62" s="53" t="s">
        <v>93</v>
      </c>
      <c r="E62" s="84">
        <v>24</v>
      </c>
      <c r="F62" s="84">
        <v>487</v>
      </c>
      <c r="G62" s="84">
        <v>212</v>
      </c>
      <c r="H62" s="84">
        <v>274</v>
      </c>
      <c r="I62" s="85">
        <v>0.56389999999999996</v>
      </c>
      <c r="J62" s="86"/>
    </row>
    <row r="63" spans="3:10">
      <c r="C63" s="97" t="s">
        <v>628</v>
      </c>
      <c r="D63" s="108" t="s">
        <v>629</v>
      </c>
      <c r="E63" s="109"/>
      <c r="F63" s="109"/>
      <c r="G63" s="109"/>
      <c r="H63" s="109"/>
      <c r="I63" s="110"/>
      <c r="J63" s="111" t="s">
        <v>630</v>
      </c>
    </row>
    <row r="64" spans="3:10">
      <c r="C64" s="97" t="s">
        <v>631</v>
      </c>
      <c r="D64" s="108" t="s">
        <v>65</v>
      </c>
      <c r="E64" s="109"/>
      <c r="F64" s="109"/>
      <c r="G64" s="109"/>
      <c r="H64" s="109"/>
      <c r="I64" s="110"/>
      <c r="J64" s="111" t="s">
        <v>632</v>
      </c>
    </row>
    <row r="65" spans="3:11">
      <c r="C65" s="83" t="s">
        <v>94</v>
      </c>
      <c r="D65" s="53" t="s">
        <v>67</v>
      </c>
      <c r="E65" s="84">
        <v>16</v>
      </c>
      <c r="F65" s="84">
        <v>1571</v>
      </c>
      <c r="G65" s="84">
        <v>914</v>
      </c>
      <c r="H65" s="84">
        <v>658</v>
      </c>
      <c r="I65" s="85">
        <v>0.41870000000000002</v>
      </c>
      <c r="J65" s="86"/>
    </row>
    <row r="66" spans="3:11">
      <c r="C66" s="83" t="s">
        <v>95</v>
      </c>
      <c r="D66" s="53" t="s">
        <v>65</v>
      </c>
      <c r="E66" s="84">
        <v>20</v>
      </c>
      <c r="F66" s="84">
        <v>566</v>
      </c>
      <c r="G66" s="84">
        <v>251</v>
      </c>
      <c r="H66" s="84">
        <v>315</v>
      </c>
      <c r="I66" s="85">
        <v>0.55700000000000005</v>
      </c>
      <c r="J66" s="86" t="s">
        <v>63</v>
      </c>
    </row>
    <row r="67" spans="3:11" ht="15.6" thickBot="1">
      <c r="C67" s="87" t="s">
        <v>96</v>
      </c>
      <c r="D67" s="55" t="s">
        <v>67</v>
      </c>
      <c r="E67" s="88">
        <v>32</v>
      </c>
      <c r="F67" s="88">
        <v>1201</v>
      </c>
      <c r="G67" s="88">
        <v>555</v>
      </c>
      <c r="H67" s="88">
        <v>646</v>
      </c>
      <c r="I67" s="89">
        <v>0.53759999999999997</v>
      </c>
      <c r="J67" s="86"/>
    </row>
    <row r="68" spans="3:11" ht="15.6" thickBot="1">
      <c r="C68" s="67"/>
      <c r="D68" s="68"/>
      <c r="E68" s="68"/>
      <c r="F68" s="44">
        <f>SUM(F26:F67)</f>
        <v>26234</v>
      </c>
      <c r="G68" s="44">
        <f>SUM(G26:G67)</f>
        <v>14504</v>
      </c>
      <c r="H68" s="44">
        <f>SUM(H26:H67)</f>
        <v>11730</v>
      </c>
      <c r="I68" s="69"/>
    </row>
    <row r="70" spans="3:11" ht="20.45" customHeight="1" thickBot="1"/>
    <row r="71" spans="3:11" s="23" customFormat="1" ht="30.75" customHeight="1" thickBot="1">
      <c r="C71" s="1223" t="s">
        <v>97</v>
      </c>
      <c r="D71" s="1224"/>
      <c r="E71" s="1224"/>
      <c r="F71" s="1224"/>
      <c r="G71" s="1224"/>
      <c r="H71" s="1224"/>
      <c r="I71" s="1224"/>
      <c r="J71" s="1225"/>
    </row>
    <row r="72" spans="3:11" ht="27" thickBot="1">
      <c r="C72" s="66" t="s">
        <v>31</v>
      </c>
      <c r="D72" s="50" t="s">
        <v>32</v>
      </c>
      <c r="E72" s="50" t="s">
        <v>33</v>
      </c>
      <c r="F72" s="50" t="s">
        <v>34</v>
      </c>
      <c r="G72" s="50" t="s">
        <v>35</v>
      </c>
      <c r="H72" s="50" t="s">
        <v>36</v>
      </c>
      <c r="I72" s="50" t="s">
        <v>37</v>
      </c>
      <c r="J72" s="51" t="s">
        <v>40</v>
      </c>
    </row>
    <row r="73" spans="3:11">
      <c r="C73" s="90" t="s">
        <v>98</v>
      </c>
      <c r="D73" s="52" t="s">
        <v>99</v>
      </c>
      <c r="E73" s="49">
        <v>36</v>
      </c>
      <c r="F73" s="49">
        <v>1827</v>
      </c>
      <c r="G73" s="49">
        <v>1240</v>
      </c>
      <c r="H73" s="49">
        <v>587</v>
      </c>
      <c r="I73" s="74">
        <v>0.32119999999999999</v>
      </c>
      <c r="J73" s="56"/>
    </row>
    <row r="74" spans="3:11">
      <c r="C74" s="91" t="s">
        <v>100</v>
      </c>
      <c r="D74" s="53" t="s">
        <v>101</v>
      </c>
      <c r="E74" s="46">
        <v>36</v>
      </c>
      <c r="F74" s="46">
        <v>1007</v>
      </c>
      <c r="G74" s="46">
        <v>774</v>
      </c>
      <c r="H74" s="46">
        <v>234</v>
      </c>
      <c r="I74" s="75">
        <v>0.2321</v>
      </c>
      <c r="J74" s="57"/>
      <c r="K74" s="45"/>
    </row>
    <row r="75" spans="3:11">
      <c r="C75" s="91" t="s">
        <v>102</v>
      </c>
      <c r="D75" s="53" t="s">
        <v>103</v>
      </c>
      <c r="E75" s="46">
        <v>28</v>
      </c>
      <c r="F75" s="46">
        <v>504</v>
      </c>
      <c r="G75" s="46">
        <v>171</v>
      </c>
      <c r="H75" s="46">
        <v>332</v>
      </c>
      <c r="I75" s="75">
        <v>0.65959999999999996</v>
      </c>
      <c r="J75" s="57"/>
    </row>
    <row r="76" spans="3:11">
      <c r="C76" s="91" t="s">
        <v>104</v>
      </c>
      <c r="D76" s="53" t="s">
        <v>105</v>
      </c>
      <c r="E76" s="46">
        <v>24</v>
      </c>
      <c r="F76" s="46">
        <v>802</v>
      </c>
      <c r="G76" s="46">
        <v>407</v>
      </c>
      <c r="H76" s="46">
        <v>395</v>
      </c>
      <c r="I76" s="75">
        <v>0.49249999999999999</v>
      </c>
      <c r="J76" s="57"/>
    </row>
    <row r="77" spans="3:11">
      <c r="C77" s="91" t="s">
        <v>106</v>
      </c>
      <c r="D77" s="53" t="s">
        <v>103</v>
      </c>
      <c r="E77" s="46">
        <v>28</v>
      </c>
      <c r="F77" s="46">
        <v>1361</v>
      </c>
      <c r="G77" s="46">
        <v>403</v>
      </c>
      <c r="H77" s="46">
        <v>958</v>
      </c>
      <c r="I77" s="75">
        <f>H77/F77</f>
        <v>0.70389419544452614</v>
      </c>
      <c r="J77" s="57"/>
    </row>
    <row r="78" spans="3:11">
      <c r="C78" s="91" t="s">
        <v>107</v>
      </c>
      <c r="D78" s="53" t="s">
        <v>103</v>
      </c>
      <c r="E78" s="46">
        <v>40</v>
      </c>
      <c r="F78" s="46">
        <v>2327</v>
      </c>
      <c r="G78" s="46">
        <v>1371</v>
      </c>
      <c r="H78" s="46">
        <v>957</v>
      </c>
      <c r="I78" s="75">
        <v>0.41110000000000002</v>
      </c>
      <c r="J78" s="57" t="s">
        <v>108</v>
      </c>
    </row>
    <row r="79" spans="3:11">
      <c r="C79" s="91" t="s">
        <v>109</v>
      </c>
      <c r="D79" s="53" t="s">
        <v>110</v>
      </c>
      <c r="E79" s="46">
        <v>32</v>
      </c>
      <c r="F79" s="46">
        <v>1398</v>
      </c>
      <c r="G79" s="46">
        <v>664</v>
      </c>
      <c r="H79" s="46">
        <v>734</v>
      </c>
      <c r="I79" s="75">
        <v>0.52480000000000004</v>
      </c>
      <c r="J79" s="57"/>
    </row>
    <row r="80" spans="3:11">
      <c r="C80" s="91" t="s">
        <v>111</v>
      </c>
      <c r="D80" s="53" t="s">
        <v>99</v>
      </c>
      <c r="E80" s="46">
        <v>36</v>
      </c>
      <c r="F80" s="46">
        <v>2372</v>
      </c>
      <c r="G80" s="46">
        <v>1277</v>
      </c>
      <c r="H80" s="46">
        <v>1095</v>
      </c>
      <c r="I80" s="75">
        <v>0.46160000000000001</v>
      </c>
      <c r="J80" s="57"/>
    </row>
    <row r="81" spans="3:10">
      <c r="C81" s="113" t="s">
        <v>633</v>
      </c>
      <c r="D81" s="108" t="s">
        <v>99</v>
      </c>
      <c r="E81" s="99"/>
      <c r="F81" s="99"/>
      <c r="G81" s="99"/>
      <c r="H81" s="99"/>
      <c r="I81" s="101"/>
      <c r="J81" s="114" t="s">
        <v>634</v>
      </c>
    </row>
    <row r="82" spans="3:10">
      <c r="C82" s="91" t="s">
        <v>112</v>
      </c>
      <c r="D82" s="53" t="s">
        <v>103</v>
      </c>
      <c r="E82" s="46">
        <v>56</v>
      </c>
      <c r="F82" s="46">
        <v>6298</v>
      </c>
      <c r="G82" s="46">
        <v>6298</v>
      </c>
      <c r="H82" s="46">
        <v>0</v>
      </c>
      <c r="I82" s="75">
        <v>6.9999999999999999E-4</v>
      </c>
      <c r="J82" s="57"/>
    </row>
    <row r="83" spans="3:10">
      <c r="C83" s="91" t="s">
        <v>113</v>
      </c>
      <c r="D83" s="53" t="s">
        <v>103</v>
      </c>
      <c r="E83" s="46" t="s">
        <v>20</v>
      </c>
      <c r="F83" s="46">
        <v>2125</v>
      </c>
      <c r="G83" s="46">
        <v>2111</v>
      </c>
      <c r="H83" s="46">
        <v>14</v>
      </c>
      <c r="I83" s="75">
        <v>6.4000000000000003E-3</v>
      </c>
      <c r="J83" s="57"/>
    </row>
    <row r="84" spans="3:10">
      <c r="C84" s="91" t="s">
        <v>114</v>
      </c>
      <c r="D84" s="53" t="s">
        <v>99</v>
      </c>
      <c r="E84" s="46">
        <v>40</v>
      </c>
      <c r="F84" s="46">
        <v>778</v>
      </c>
      <c r="G84" s="46">
        <v>539</v>
      </c>
      <c r="H84" s="46">
        <v>239</v>
      </c>
      <c r="I84" s="75">
        <v>0.307</v>
      </c>
      <c r="J84" s="57"/>
    </row>
    <row r="85" spans="3:10">
      <c r="C85" s="91" t="s">
        <v>115</v>
      </c>
      <c r="D85" s="53" t="s">
        <v>105</v>
      </c>
      <c r="E85" s="46">
        <v>20</v>
      </c>
      <c r="F85" s="46">
        <v>2410</v>
      </c>
      <c r="G85" s="46">
        <v>1259</v>
      </c>
      <c r="H85" s="46">
        <v>1151</v>
      </c>
      <c r="I85" s="75">
        <v>0.47760000000000002</v>
      </c>
      <c r="J85" s="57"/>
    </row>
    <row r="86" spans="3:10">
      <c r="C86" s="91" t="s">
        <v>116</v>
      </c>
      <c r="D86" s="53" t="s">
        <v>117</v>
      </c>
      <c r="E86" s="46">
        <v>28</v>
      </c>
      <c r="F86" s="46">
        <v>948</v>
      </c>
      <c r="G86" s="46">
        <v>375</v>
      </c>
      <c r="H86" s="46">
        <v>572</v>
      </c>
      <c r="I86" s="75">
        <v>0.6038</v>
      </c>
      <c r="J86" s="57"/>
    </row>
    <row r="87" spans="3:10">
      <c r="C87" s="91" t="s">
        <v>118</v>
      </c>
      <c r="D87" s="53" t="s">
        <v>99</v>
      </c>
      <c r="E87" s="46">
        <v>24</v>
      </c>
      <c r="F87" s="46">
        <v>1060</v>
      </c>
      <c r="G87" s="46">
        <v>448</v>
      </c>
      <c r="H87" s="46">
        <v>612</v>
      </c>
      <c r="I87" s="75">
        <v>0.57730000000000004</v>
      </c>
      <c r="J87" s="57"/>
    </row>
    <row r="88" spans="3:10">
      <c r="C88" s="91" t="s">
        <v>119</v>
      </c>
      <c r="D88" s="53" t="s">
        <v>103</v>
      </c>
      <c r="E88" s="46">
        <v>28</v>
      </c>
      <c r="F88" s="46">
        <v>629</v>
      </c>
      <c r="G88" s="46">
        <v>365</v>
      </c>
      <c r="H88" s="46">
        <v>265</v>
      </c>
      <c r="I88" s="75">
        <v>0.42080000000000001</v>
      </c>
      <c r="J88" s="57"/>
    </row>
    <row r="89" spans="3:10">
      <c r="C89" s="91" t="s">
        <v>120</v>
      </c>
      <c r="D89" s="53" t="s">
        <v>101</v>
      </c>
      <c r="E89" s="46">
        <v>20</v>
      </c>
      <c r="F89" s="46">
        <v>471</v>
      </c>
      <c r="G89" s="46">
        <v>291</v>
      </c>
      <c r="H89" s="46">
        <v>181</v>
      </c>
      <c r="I89" s="75">
        <v>0.38340000000000002</v>
      </c>
      <c r="J89" s="57"/>
    </row>
    <row r="90" spans="3:10">
      <c r="C90" s="91" t="s">
        <v>121</v>
      </c>
      <c r="D90" s="53" t="s">
        <v>105</v>
      </c>
      <c r="E90" s="46">
        <v>24</v>
      </c>
      <c r="F90" s="46">
        <v>324</v>
      </c>
      <c r="G90" s="46">
        <v>221</v>
      </c>
      <c r="H90" s="46">
        <v>103</v>
      </c>
      <c r="I90" s="75">
        <v>0.31890000000000002</v>
      </c>
      <c r="J90" s="57"/>
    </row>
    <row r="91" spans="3:10">
      <c r="C91" s="113" t="s">
        <v>635</v>
      </c>
      <c r="D91" s="108" t="s">
        <v>103</v>
      </c>
      <c r="E91" s="99"/>
      <c r="F91" s="99"/>
      <c r="G91" s="99"/>
      <c r="H91" s="99"/>
      <c r="I91" s="101"/>
      <c r="J91" s="114" t="s">
        <v>634</v>
      </c>
    </row>
    <row r="92" spans="3:10">
      <c r="C92" s="113" t="s">
        <v>636</v>
      </c>
      <c r="D92" s="108" t="s">
        <v>105</v>
      </c>
      <c r="E92" s="99"/>
      <c r="F92" s="99"/>
      <c r="G92" s="99"/>
      <c r="H92" s="99"/>
      <c r="I92" s="101"/>
      <c r="J92" s="114" t="s">
        <v>634</v>
      </c>
    </row>
    <row r="93" spans="3:10">
      <c r="C93" s="113" t="s">
        <v>637</v>
      </c>
      <c r="D93" s="108" t="s">
        <v>101</v>
      </c>
      <c r="E93" s="99"/>
      <c r="F93" s="99"/>
      <c r="G93" s="99"/>
      <c r="H93" s="99"/>
      <c r="I93" s="101"/>
      <c r="J93" s="114" t="s">
        <v>634</v>
      </c>
    </row>
    <row r="94" spans="3:10">
      <c r="C94" s="113" t="s">
        <v>638</v>
      </c>
      <c r="D94" s="108" t="s">
        <v>105</v>
      </c>
      <c r="E94" s="99"/>
      <c r="F94" s="99"/>
      <c r="G94" s="99"/>
      <c r="H94" s="99"/>
      <c r="I94" s="101"/>
      <c r="J94" s="114" t="s">
        <v>634</v>
      </c>
    </row>
    <row r="95" spans="3:10">
      <c r="C95" s="113" t="s">
        <v>639</v>
      </c>
      <c r="D95" s="108" t="s">
        <v>629</v>
      </c>
      <c r="E95" s="99"/>
      <c r="F95" s="99"/>
      <c r="G95" s="99"/>
      <c r="H95" s="99"/>
      <c r="I95" s="101"/>
      <c r="J95" s="114" t="s">
        <v>634</v>
      </c>
    </row>
    <row r="96" spans="3:10">
      <c r="C96" s="91" t="s">
        <v>122</v>
      </c>
      <c r="D96" s="53" t="s">
        <v>110</v>
      </c>
      <c r="E96" s="46">
        <v>24</v>
      </c>
      <c r="F96" s="46">
        <v>938</v>
      </c>
      <c r="G96" s="46">
        <v>875</v>
      </c>
      <c r="H96" s="46">
        <v>63</v>
      </c>
      <c r="I96" s="75">
        <v>6.7199999999999996E-2</v>
      </c>
      <c r="J96" s="57"/>
    </row>
    <row r="97" spans="3:10">
      <c r="C97" s="113" t="s">
        <v>640</v>
      </c>
      <c r="D97" s="108" t="s">
        <v>67</v>
      </c>
      <c r="E97" s="99"/>
      <c r="F97" s="99"/>
      <c r="G97" s="99"/>
      <c r="H97" s="99"/>
      <c r="I97" s="101"/>
      <c r="J97" s="114" t="s">
        <v>634</v>
      </c>
    </row>
    <row r="98" spans="3:10">
      <c r="C98" s="113" t="s">
        <v>641</v>
      </c>
      <c r="D98" s="108" t="s">
        <v>124</v>
      </c>
      <c r="E98" s="99"/>
      <c r="F98" s="99"/>
      <c r="G98" s="99"/>
      <c r="H98" s="99"/>
      <c r="I98" s="101"/>
      <c r="J98" s="114" t="s">
        <v>634</v>
      </c>
    </row>
    <row r="99" spans="3:10">
      <c r="C99" s="91" t="s">
        <v>123</v>
      </c>
      <c r="D99" s="53" t="s">
        <v>124</v>
      </c>
      <c r="E99" s="46">
        <v>28</v>
      </c>
      <c r="F99" s="46">
        <v>326</v>
      </c>
      <c r="G99" s="46">
        <v>176</v>
      </c>
      <c r="H99" s="46">
        <v>150</v>
      </c>
      <c r="I99" s="75">
        <v>0.4587</v>
      </c>
      <c r="J99" s="57"/>
    </row>
    <row r="100" spans="3:10">
      <c r="C100" s="91" t="s">
        <v>125</v>
      </c>
      <c r="D100" s="53" t="s">
        <v>126</v>
      </c>
      <c r="E100" s="46">
        <v>24</v>
      </c>
      <c r="F100" s="46">
        <v>668</v>
      </c>
      <c r="G100" s="46">
        <v>319</v>
      </c>
      <c r="H100" s="46">
        <v>348</v>
      </c>
      <c r="I100" s="75">
        <v>0.52170000000000005</v>
      </c>
      <c r="J100" s="57"/>
    </row>
    <row r="101" spans="3:10" s="107" customFormat="1">
      <c r="C101" s="113" t="s">
        <v>642</v>
      </c>
      <c r="D101" s="108" t="s">
        <v>105</v>
      </c>
      <c r="E101" s="99"/>
      <c r="F101" s="99"/>
      <c r="G101" s="99"/>
      <c r="H101" s="99"/>
      <c r="I101" s="101"/>
      <c r="J101" s="114" t="s">
        <v>643</v>
      </c>
    </row>
    <row r="102" spans="3:10">
      <c r="C102" s="91" t="s">
        <v>127</v>
      </c>
      <c r="D102" s="53" t="s">
        <v>101</v>
      </c>
      <c r="E102" s="46">
        <v>36</v>
      </c>
      <c r="F102" s="46">
        <v>3153</v>
      </c>
      <c r="G102" s="46">
        <v>1022</v>
      </c>
      <c r="H102" s="46">
        <v>2132</v>
      </c>
      <c r="I102" s="75">
        <v>0.67600000000000005</v>
      </c>
      <c r="J102" s="57"/>
    </row>
    <row r="103" spans="3:10">
      <c r="C103" s="91" t="s">
        <v>128</v>
      </c>
      <c r="D103" s="53" t="s">
        <v>105</v>
      </c>
      <c r="E103" s="46">
        <v>24</v>
      </c>
      <c r="F103" s="46">
        <v>827</v>
      </c>
      <c r="G103" s="46">
        <v>276</v>
      </c>
      <c r="H103" s="46">
        <v>551</v>
      </c>
      <c r="I103" s="75">
        <v>0.66620000000000001</v>
      </c>
      <c r="J103" s="57"/>
    </row>
    <row r="104" spans="3:10">
      <c r="C104" s="91" t="s">
        <v>129</v>
      </c>
      <c r="D104" s="53" t="s">
        <v>99</v>
      </c>
      <c r="E104" s="46">
        <v>20</v>
      </c>
      <c r="F104" s="46">
        <v>441</v>
      </c>
      <c r="G104" s="46">
        <v>166</v>
      </c>
      <c r="H104" s="46">
        <v>274</v>
      </c>
      <c r="I104" s="75">
        <v>0.62229999999999996</v>
      </c>
      <c r="J104" s="57"/>
    </row>
    <row r="105" spans="3:10">
      <c r="C105" s="115" t="s">
        <v>644</v>
      </c>
      <c r="D105" s="54" t="s">
        <v>99</v>
      </c>
      <c r="E105" s="47"/>
      <c r="F105" s="47"/>
      <c r="G105" s="47"/>
      <c r="H105" s="47"/>
      <c r="I105" s="76"/>
      <c r="J105" s="57" t="s">
        <v>606</v>
      </c>
    </row>
    <row r="106" spans="3:10">
      <c r="C106" s="91" t="s">
        <v>130</v>
      </c>
      <c r="D106" s="53" t="s">
        <v>105</v>
      </c>
      <c r="E106" s="46">
        <v>16</v>
      </c>
      <c r="F106" s="46">
        <v>1042</v>
      </c>
      <c r="G106" s="46">
        <v>405</v>
      </c>
      <c r="H106" s="46">
        <v>638</v>
      </c>
      <c r="I106" s="75">
        <v>0.61180000000000001</v>
      </c>
      <c r="J106" s="57"/>
    </row>
    <row r="107" spans="3:10">
      <c r="C107" s="91" t="s">
        <v>131</v>
      </c>
      <c r="D107" s="53" t="s">
        <v>110</v>
      </c>
      <c r="E107" s="46">
        <v>20</v>
      </c>
      <c r="F107" s="46">
        <v>684</v>
      </c>
      <c r="G107" s="46">
        <v>344</v>
      </c>
      <c r="H107" s="46">
        <v>339</v>
      </c>
      <c r="I107" s="75">
        <v>0.4965</v>
      </c>
      <c r="J107" s="57"/>
    </row>
    <row r="108" spans="3:10" ht="27.6">
      <c r="C108" s="91" t="s">
        <v>132</v>
      </c>
      <c r="D108" s="53" t="s">
        <v>133</v>
      </c>
      <c r="E108" s="46">
        <v>24</v>
      </c>
      <c r="F108" s="46">
        <v>860</v>
      </c>
      <c r="G108" s="46">
        <v>409</v>
      </c>
      <c r="H108" s="46">
        <v>451</v>
      </c>
      <c r="I108" s="75">
        <v>0.52410000000000001</v>
      </c>
      <c r="J108" s="57"/>
    </row>
    <row r="109" spans="3:10" hidden="1">
      <c r="C109" s="113" t="s">
        <v>645</v>
      </c>
      <c r="D109" s="108" t="s">
        <v>103</v>
      </c>
      <c r="E109" s="99"/>
      <c r="F109" s="99"/>
      <c r="G109" s="99"/>
      <c r="H109" s="99"/>
      <c r="I109" s="101"/>
      <c r="J109" s="114" t="s">
        <v>634</v>
      </c>
    </row>
    <row r="110" spans="3:10" hidden="1">
      <c r="C110" s="113" t="s">
        <v>646</v>
      </c>
      <c r="D110" s="108" t="s">
        <v>101</v>
      </c>
      <c r="E110" s="99"/>
      <c r="F110" s="99"/>
      <c r="G110" s="99"/>
      <c r="H110" s="99"/>
      <c r="I110" s="101"/>
      <c r="J110" s="114" t="s">
        <v>634</v>
      </c>
    </row>
    <row r="111" spans="3:10">
      <c r="C111" s="91" t="s">
        <v>134</v>
      </c>
      <c r="D111" s="53" t="s">
        <v>135</v>
      </c>
      <c r="E111" s="46">
        <v>20</v>
      </c>
      <c r="F111" s="46">
        <v>580</v>
      </c>
      <c r="G111" s="46">
        <v>322</v>
      </c>
      <c r="H111" s="46">
        <v>258</v>
      </c>
      <c r="I111" s="75">
        <v>0.44490000000000002</v>
      </c>
      <c r="J111" s="57"/>
    </row>
    <row r="112" spans="3:10" ht="23.45">
      <c r="C112" s="113" t="s">
        <v>647</v>
      </c>
      <c r="D112" s="108" t="s">
        <v>117</v>
      </c>
      <c r="E112" s="99"/>
      <c r="F112" s="99"/>
      <c r="G112" s="99"/>
      <c r="H112" s="99"/>
      <c r="I112" s="101"/>
      <c r="J112" s="116" t="s">
        <v>648</v>
      </c>
    </row>
    <row r="113" spans="3:10">
      <c r="C113" s="113" t="s">
        <v>649</v>
      </c>
      <c r="D113" s="108" t="s">
        <v>105</v>
      </c>
      <c r="E113" s="99"/>
      <c r="F113" s="99"/>
      <c r="G113" s="99"/>
      <c r="H113" s="99"/>
      <c r="I113" s="101"/>
      <c r="J113" s="114" t="s">
        <v>634</v>
      </c>
    </row>
    <row r="114" spans="3:10">
      <c r="C114" s="91" t="s">
        <v>136</v>
      </c>
      <c r="D114" s="53" t="s">
        <v>105</v>
      </c>
      <c r="E114" s="46">
        <v>40</v>
      </c>
      <c r="F114" s="46">
        <v>2412</v>
      </c>
      <c r="G114" s="46">
        <v>1043</v>
      </c>
      <c r="H114" s="46">
        <v>1369</v>
      </c>
      <c r="I114" s="75">
        <v>0.5675</v>
      </c>
      <c r="J114" s="57"/>
    </row>
    <row r="115" spans="3:10" ht="15.6" thickBot="1">
      <c r="C115" s="92" t="s">
        <v>137</v>
      </c>
      <c r="D115" s="55" t="s">
        <v>110</v>
      </c>
      <c r="E115" s="48">
        <v>40</v>
      </c>
      <c r="F115" s="48">
        <v>2099</v>
      </c>
      <c r="G115" s="48">
        <v>941</v>
      </c>
      <c r="H115" s="48">
        <v>1159</v>
      </c>
      <c r="I115" s="77">
        <v>0.55189999999999995</v>
      </c>
      <c r="J115" s="58"/>
    </row>
    <row r="116" spans="3:10" ht="15.6" thickBot="1">
      <c r="C116" s="67"/>
      <c r="D116" s="68"/>
      <c r="E116" s="68"/>
      <c r="F116" s="65">
        <f>SUM(F73:F115)</f>
        <v>40671</v>
      </c>
      <c r="G116" s="65">
        <f>SUM(G73:G115)</f>
        <v>24512</v>
      </c>
      <c r="H116" s="65">
        <f>SUM(H73:H115)</f>
        <v>16161</v>
      </c>
      <c r="I116" s="70"/>
    </row>
    <row r="118" spans="3:10" ht="15.6" thickBot="1"/>
    <row r="119" spans="3:10" ht="26.25" customHeight="1" thickBot="1">
      <c r="C119" s="1223" t="s">
        <v>138</v>
      </c>
      <c r="D119" s="1224"/>
      <c r="E119" s="1224"/>
      <c r="F119" s="1224"/>
      <c r="G119" s="1224"/>
      <c r="H119" s="1224"/>
      <c r="I119" s="1224"/>
      <c r="J119" s="1225"/>
    </row>
    <row r="120" spans="3:10" ht="27" thickBot="1">
      <c r="C120" s="66" t="s">
        <v>31</v>
      </c>
      <c r="D120" s="50" t="s">
        <v>32</v>
      </c>
      <c r="E120" s="50" t="s">
        <v>33</v>
      </c>
      <c r="F120" s="50" t="s">
        <v>34</v>
      </c>
      <c r="G120" s="50" t="s">
        <v>35</v>
      </c>
      <c r="H120" s="50" t="s">
        <v>36</v>
      </c>
      <c r="I120" s="50" t="s">
        <v>37</v>
      </c>
      <c r="J120" s="51" t="s">
        <v>40</v>
      </c>
    </row>
    <row r="121" spans="3:10" ht="26.45">
      <c r="C121" s="93" t="s">
        <v>139</v>
      </c>
      <c r="D121" s="52" t="s">
        <v>140</v>
      </c>
      <c r="E121" s="49">
        <v>20</v>
      </c>
      <c r="F121" s="49">
        <v>430</v>
      </c>
      <c r="G121" s="49">
        <v>207</v>
      </c>
      <c r="H121" s="49">
        <v>223</v>
      </c>
      <c r="I121" s="74">
        <v>0.62</v>
      </c>
      <c r="J121" s="94" t="s">
        <v>141</v>
      </c>
    </row>
    <row r="122" spans="3:10" ht="26.45">
      <c r="C122" s="95" t="s">
        <v>142</v>
      </c>
      <c r="D122" s="53" t="s">
        <v>143</v>
      </c>
      <c r="E122" s="46">
        <v>24</v>
      </c>
      <c r="F122" s="46">
        <v>908</v>
      </c>
      <c r="G122" s="46">
        <v>879</v>
      </c>
      <c r="H122" s="46">
        <v>29</v>
      </c>
      <c r="I122" s="75">
        <v>0.04</v>
      </c>
      <c r="J122" s="94" t="s">
        <v>141</v>
      </c>
    </row>
    <row r="123" spans="3:10" ht="26.45">
      <c r="C123" s="95" t="s">
        <v>144</v>
      </c>
      <c r="D123" s="53" t="s">
        <v>140</v>
      </c>
      <c r="E123" s="46">
        <v>36</v>
      </c>
      <c r="F123" s="46">
        <v>1296</v>
      </c>
      <c r="G123" s="46">
        <v>1055</v>
      </c>
      <c r="H123" s="46">
        <v>242</v>
      </c>
      <c r="I123" s="75">
        <v>0.21</v>
      </c>
      <c r="J123" s="94" t="s">
        <v>141</v>
      </c>
    </row>
    <row r="124" spans="3:10" ht="27" thickBot="1">
      <c r="C124" s="96" t="s">
        <v>145</v>
      </c>
      <c r="D124" s="55" t="s">
        <v>146</v>
      </c>
      <c r="E124" s="48">
        <v>36</v>
      </c>
      <c r="F124" s="48">
        <v>2155</v>
      </c>
      <c r="G124" s="48">
        <v>2027</v>
      </c>
      <c r="H124" s="48">
        <v>129</v>
      </c>
      <c r="I124" s="77">
        <v>6.5000000000000002E-2</v>
      </c>
      <c r="J124" s="94" t="s">
        <v>141</v>
      </c>
    </row>
    <row r="125" spans="3:10" ht="15.6" thickBot="1">
      <c r="C125" s="696"/>
      <c r="D125" s="697"/>
      <c r="E125" s="697"/>
      <c r="F125" s="65">
        <f>SUM(F121:F124)</f>
        <v>4789</v>
      </c>
      <c r="G125" s="65">
        <f>SUM(G121:G124)</f>
        <v>4168</v>
      </c>
      <c r="H125" s="65">
        <f>SUM(H121:H124)</f>
        <v>623</v>
      </c>
    </row>
  </sheetData>
  <mergeCells count="5">
    <mergeCell ref="C2:J2"/>
    <mergeCell ref="C4:J4"/>
    <mergeCell ref="C24:J24"/>
    <mergeCell ref="C71:J71"/>
    <mergeCell ref="C119:J119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C6F48E5D4AB346975DD1A5CC1297F9" ma:contentTypeVersion="13" ma:contentTypeDescription="Create a new document." ma:contentTypeScope="" ma:versionID="d3619769699aa8b715483a75385147c5">
  <xsd:schema xmlns:xsd="http://www.w3.org/2001/XMLSchema" xmlns:xs="http://www.w3.org/2001/XMLSchema" xmlns:p="http://schemas.microsoft.com/office/2006/metadata/properties" xmlns:ns3="51bdffa2-51ec-404a-b820-b230a35f932b" xmlns:ns4="b3125876-77ab-4c66-b0f9-fda1f62a9962" targetNamespace="http://schemas.microsoft.com/office/2006/metadata/properties" ma:root="true" ma:fieldsID="b277ca7fdc466478055bb7ec7cf53303" ns3:_="" ns4:_="">
    <xsd:import namespace="51bdffa2-51ec-404a-b820-b230a35f932b"/>
    <xsd:import namespace="b3125876-77ab-4c66-b0f9-fda1f62a996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dffa2-51ec-404a-b820-b230a35f93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125876-77ab-4c66-b0f9-fda1f62a9962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FE0CA0-5458-4159-8A88-25D0BCB2BCE2}"/>
</file>

<file path=customXml/itemProps2.xml><?xml version="1.0" encoding="utf-8"?>
<ds:datastoreItem xmlns:ds="http://schemas.openxmlformats.org/officeDocument/2006/customXml" ds:itemID="{54D829F0-EEB7-4B84-B942-ABDE1FA52503}"/>
</file>

<file path=customXml/itemProps3.xml><?xml version="1.0" encoding="utf-8"?>
<ds:datastoreItem xmlns:ds="http://schemas.openxmlformats.org/officeDocument/2006/customXml" ds:itemID="{693BFBDA-72ED-40F1-A539-A98137035F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Omatsola Jeyema</dc:creator>
  <cp:keywords/>
  <dc:description/>
  <cp:lastModifiedBy/>
  <cp:revision/>
  <dcterms:created xsi:type="dcterms:W3CDTF">2020-04-11T17:04:45Z</dcterms:created>
  <dcterms:modified xsi:type="dcterms:W3CDTF">2022-05-02T21:24:27Z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0x01010071C6F48E5D4AB346975DD1A5CC1297F9</vt:lpwstr>
  </property>
</Properties>
</file>