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my\Downloads\"/>
    </mc:Choice>
  </mc:AlternateContent>
  <xr:revisionPtr revIDLastSave="0" documentId="13_ncr:1_{37113122-DA4E-4B1D-9674-DB3838E72777}" xr6:coauthVersionLast="47" xr6:coauthVersionMax="47" xr10:uidLastSave="{00000000-0000-0000-0000-000000000000}"/>
  <bookViews>
    <workbookView xWindow="-83" yWindow="0" windowWidth="9766" windowHeight="12083" xr2:uid="{BCF3C07C-1139-4A51-B01C-9C8FA7065C5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6" i="1" l="1"/>
  <c r="U51" i="1" s="1"/>
  <c r="S55" i="1" s="1"/>
  <c r="S59" i="1" s="1"/>
  <c r="T7" i="1"/>
  <c r="S7" i="1"/>
  <c r="S48" i="1"/>
  <c r="S50" i="1"/>
  <c r="S52" i="1"/>
  <c r="U49" i="1"/>
  <c r="S33" i="1"/>
  <c r="S31" i="1"/>
  <c r="S29" i="1"/>
  <c r="U30" i="1" s="1"/>
  <c r="S27" i="1"/>
  <c r="S13" i="1"/>
  <c r="S11" i="1"/>
  <c r="S9" i="1"/>
  <c r="U10" i="1"/>
  <c r="U11" i="1" s="1"/>
  <c r="A42" i="1"/>
  <c r="A44" i="1"/>
  <c r="A46" i="1"/>
  <c r="A48" i="1"/>
  <c r="C47" i="1"/>
  <c r="A51" i="1" s="1"/>
  <c r="C45" i="1"/>
  <c r="C46" i="1" s="1"/>
  <c r="G47" i="1"/>
  <c r="F40" i="1"/>
  <c r="N54" i="1"/>
  <c r="N48" i="1"/>
  <c r="N41" i="1"/>
  <c r="N35" i="1"/>
  <c r="N29" i="1"/>
  <c r="N22" i="1"/>
  <c r="N10" i="1"/>
  <c r="M54" i="1"/>
  <c r="M48" i="1"/>
  <c r="M41" i="1"/>
  <c r="O41" i="1" s="1"/>
  <c r="M35" i="1"/>
  <c r="M29" i="1"/>
  <c r="M22" i="1"/>
  <c r="M10" i="1"/>
  <c r="O52" i="1"/>
  <c r="M52" i="1"/>
  <c r="L52" i="1"/>
  <c r="K52" i="1"/>
  <c r="K54" i="1"/>
  <c r="L50" i="1"/>
  <c r="O46" i="1"/>
  <c r="M46" i="1"/>
  <c r="K48" i="1" s="1"/>
  <c r="L46" i="1"/>
  <c r="K46" i="1"/>
  <c r="O39" i="1"/>
  <c r="M39" i="1"/>
  <c r="L39" i="1"/>
  <c r="K39" i="1"/>
  <c r="F39" i="1" s="1"/>
  <c r="K41" i="1"/>
  <c r="O33" i="1"/>
  <c r="M33" i="1"/>
  <c r="L33" i="1"/>
  <c r="K33" i="1"/>
  <c r="K35" i="1"/>
  <c r="O27" i="1"/>
  <c r="M27" i="1"/>
  <c r="L27" i="1"/>
  <c r="K29" i="1" s="1"/>
  <c r="L29" i="1" s="1"/>
  <c r="K27" i="1"/>
  <c r="K20" i="1"/>
  <c r="K22" i="1" s="1"/>
  <c r="L22" i="1" s="1"/>
  <c r="K10" i="1"/>
  <c r="K8" i="1"/>
  <c r="A26" i="1"/>
  <c r="A25" i="1"/>
  <c r="U12" i="1" l="1"/>
  <c r="S16" i="1" s="1"/>
  <c r="S20" i="1" s="1"/>
  <c r="U50" i="1"/>
  <c r="U31" i="1"/>
  <c r="U32" i="1"/>
  <c r="S36" i="1" s="1"/>
  <c r="S40" i="1" s="1"/>
  <c r="L10" i="1"/>
  <c r="K11" i="1" s="1"/>
  <c r="A55" i="1"/>
  <c r="L54" i="1"/>
  <c r="L48" i="1"/>
  <c r="L41" i="1"/>
  <c r="L35" i="1"/>
</calcChain>
</file>

<file path=xl/sharedStrings.xml><?xml version="1.0" encoding="utf-8"?>
<sst xmlns="http://schemas.openxmlformats.org/spreadsheetml/2006/main" count="213" uniqueCount="102">
  <si>
    <t>Figuring out the relationship between Tractive Effort, Power, Weight and the acceleration curve given by the distance and time to top speed on flat ground</t>
  </si>
  <si>
    <t>Datapoints:</t>
  </si>
  <si>
    <t>(time at vmax)</t>
  </si>
  <si>
    <t>(dist at vmax)</t>
  </si>
  <si>
    <t>Weight (t)</t>
  </si>
  <si>
    <t>Power (kW)</t>
  </si>
  <si>
    <t>Tractive Effort (kN)</t>
  </si>
  <si>
    <t>T1 (s)</t>
  </si>
  <si>
    <t>D1 (m)</t>
  </si>
  <si>
    <t>Railbus</t>
  </si>
  <si>
    <t>TGV (base)</t>
  </si>
  <si>
    <t>RABDe 12/12 Mirage</t>
  </si>
  <si>
    <t>CLe 2/4 Roter Pfeil</t>
  </si>
  <si>
    <t>Vmax</t>
  </si>
  <si>
    <t>How do these corrolate?</t>
  </si>
  <si>
    <t>Re 450 commuter</t>
  </si>
  <si>
    <t>ICE 1</t>
  </si>
  <si>
    <t>DUALSTOX</t>
  </si>
  <si>
    <t>Acceleration = deriv of velocity</t>
  </si>
  <si>
    <t>where velocity is known to be ax^2 + bx (where a, b are functions of t1, Vmax, d1)</t>
  </si>
  <si>
    <t>accel = 2a*x + b</t>
  </si>
  <si>
    <t>(linear!!)</t>
  </si>
  <si>
    <t>this SHOULD also be (assuming tractive effort doesn't impact how it moves on flat ground)</t>
  </si>
  <si>
    <t>W = J/s = N* m/s = kg * m^2 / s^3</t>
  </si>
  <si>
    <t>t (assuming metric ton)= 1000*kg</t>
  </si>
  <si>
    <t>so I'm given W, kg, and m/s via Vmax, and I want to find s and m (m comes from integral I think)</t>
  </si>
  <si>
    <t>Energy at max speed = 1/2 * m * Vmax^2</t>
  </si>
  <si>
    <t>divide that by power then you get t1 (theoretically)</t>
  </si>
  <si>
    <t>EXCEPT THAT'S WRONG</t>
  </si>
  <si>
    <t>&gt;</t>
  </si>
  <si>
    <t>s</t>
  </si>
  <si>
    <t>kW</t>
  </si>
  <si>
    <t>t</t>
  </si>
  <si>
    <t>m/s</t>
  </si>
  <si>
    <t>Factor</t>
  </si>
  <si>
    <t>For ICE1</t>
  </si>
  <si>
    <t>For DUALSTOX</t>
  </si>
  <si>
    <t>w</t>
  </si>
  <si>
    <t xml:space="preserve">For </t>
  </si>
  <si>
    <t>For</t>
  </si>
  <si>
    <t>TGV</t>
  </si>
  <si>
    <t>All datasets have different factors of difference</t>
  </si>
  <si>
    <t>NOT dependant on speed</t>
  </si>
  <si>
    <t>(why is this factor so abnormally big???)</t>
  </si>
  <si>
    <t>RADBe Mirage</t>
  </si>
  <si>
    <t>P/TE</t>
  </si>
  <si>
    <t>TE/W</t>
  </si>
  <si>
    <t>IT HAS TO BE BECAUSE OF TE</t>
  </si>
  <si>
    <t>ACTUAL WAY:</t>
  </si>
  <si>
    <t>When v &lt; TE/P, a = TE/m-0.002g</t>
  </si>
  <si>
    <t>when v &gt;= TE/P, a = P*m/v-0.002g</t>
  </si>
  <si>
    <t>v = y</t>
  </si>
  <si>
    <t>t = x</t>
  </si>
  <si>
    <t>when v = Vmax, stop</t>
  </si>
  <si>
    <t>TE/m - 0.002g</t>
  </si>
  <si>
    <t>P/v*m - 0.002g</t>
  </si>
  <si>
    <t>TE/P</t>
  </si>
  <si>
    <t>should be 54s</t>
  </si>
  <si>
    <t>a(t) = {</t>
  </si>
  <si>
    <t>I want V(t1) = 130kmh</t>
  </si>
  <si>
    <t>v(t) = {</t>
  </si>
  <si>
    <t>36.11111=</t>
  </si>
  <si>
    <t>(TE/m)*t - 0.002g*t when v &lt; TE/P</t>
  </si>
  <si>
    <t>(P/v*m)*t - 0.002g*t when v &gt;= TE/P</t>
  </si>
  <si>
    <t>Vmax/((TE/m)-0.002g) = t1</t>
  </si>
  <si>
    <t>a(t) = dv/dt</t>
  </si>
  <si>
    <t>v(t)a(t) = P/m - 0.002g*v(t)</t>
  </si>
  <si>
    <t>v(t)(a(t)-0.002g)=P/m</t>
  </si>
  <si>
    <t>v(t) = P/(m*(a(t)-0.002g))</t>
  </si>
  <si>
    <t>v' = P/v*m - 0.002g</t>
  </si>
  <si>
    <t>v'*v = P/m - 0.002g(v)</t>
  </si>
  <si>
    <t>v(v'+0.002g) = P/m</t>
  </si>
  <si>
    <t>at T1:</t>
  </si>
  <si>
    <t>v(t1) = Vmax</t>
  </si>
  <si>
    <t>a(t1) = P/v(t1)*m - 0.002g</t>
  </si>
  <si>
    <t>P/Vmax*m -0.002g</t>
  </si>
  <si>
    <t>=</t>
  </si>
  <si>
    <t>t1</t>
  </si>
  <si>
    <t>FOR RE 450</t>
  </si>
  <si>
    <t>TRY TO SOLVE FOR THIS</t>
  </si>
  <si>
    <t>int (a(t1)) = v(t1)</t>
  </si>
  <si>
    <t>a(t1)*t1=v(t1)</t>
  </si>
  <si>
    <t>t1=v(t1)/a(t1)</t>
  </si>
  <si>
    <t>is TE &gt; P/v?</t>
  </si>
  <si>
    <t>F = TE-0.002mg</t>
  </si>
  <si>
    <t>TE (N)</t>
  </si>
  <si>
    <t>P (W)</t>
  </si>
  <si>
    <t>m (kg)</t>
  </si>
  <si>
    <t>Vmax (m/s)</t>
  </si>
  <si>
    <t>g (m/s^2)</t>
  </si>
  <si>
    <t>a = F/m</t>
  </si>
  <si>
    <t>P/V (N)</t>
  </si>
  <si>
    <t>a(t1) bc ik TE &lt; P/Vmax</t>
  </si>
  <si>
    <t>FOR Railbus (checking crazy g value)</t>
  </si>
  <si>
    <t>WAIT THIS IS PRETTY DAMN CLOSE</t>
  </si>
  <si>
    <t xml:space="preserve">FOR </t>
  </si>
  <si>
    <t>Fresh slate, try again!</t>
  </si>
  <si>
    <t>N/W = s/m</t>
  </si>
  <si>
    <t>(DOESN'T MAKE SENSE??)</t>
  </si>
  <si>
    <t>after v(t) &gt; v(t0.5), a(t) = (P/v)/m - 0.002g</t>
  </si>
  <si>
    <t>from what the dude said, up until v(t0.5) = TE/P, a(t) = TE/m - 0.002g</t>
  </si>
  <si>
    <t xml:space="preserve">for Cle,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</si>
</sst>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0388F-62B7-4BE8-96C5-0C4268898B84}">
  <dimension ref="A1:V59"/>
  <sheetViews>
    <sheetView tabSelected="1" topLeftCell="M37" zoomScale="85" zoomScaleNormal="85" workbookViewId="0">
      <selection activeCell="S47" sqref="S47"/>
    </sheetView>
  </sheetViews>
  <sheetFormatPr defaultRowHeight="14.25" x14ac:dyDescent="0.45"/>
  <cols>
    <col min="1" max="1" width="12.06640625" bestFit="1" customWidth="1"/>
    <col min="12" max="12" width="16.6640625" customWidth="1"/>
  </cols>
  <sheetData>
    <row r="1" spans="1:21" x14ac:dyDescent="0.45">
      <c r="B1" t="s">
        <v>0</v>
      </c>
    </row>
    <row r="2" spans="1:21" x14ac:dyDescent="0.45">
      <c r="B2" t="s">
        <v>1</v>
      </c>
      <c r="F2" t="s">
        <v>2</v>
      </c>
      <c r="G2" t="s">
        <v>3</v>
      </c>
    </row>
    <row r="3" spans="1:21" x14ac:dyDescent="0.45">
      <c r="B3" t="s">
        <v>4</v>
      </c>
      <c r="C3" t="s">
        <v>5</v>
      </c>
      <c r="D3" t="s">
        <v>6</v>
      </c>
      <c r="F3" t="s">
        <v>7</v>
      </c>
      <c r="G3" t="s">
        <v>8</v>
      </c>
      <c r="H3" t="s">
        <v>13</v>
      </c>
      <c r="S3" t="s">
        <v>93</v>
      </c>
    </row>
    <row r="4" spans="1:21" x14ac:dyDescent="0.45">
      <c r="A4" t="s">
        <v>12</v>
      </c>
      <c r="B4">
        <v>33</v>
      </c>
      <c r="C4">
        <v>315</v>
      </c>
      <c r="D4">
        <v>45</v>
      </c>
      <c r="F4">
        <v>69</v>
      </c>
      <c r="G4">
        <v>1546</v>
      </c>
      <c r="H4">
        <v>125</v>
      </c>
      <c r="S4" t="s">
        <v>77</v>
      </c>
      <c r="T4" t="s">
        <v>79</v>
      </c>
    </row>
    <row r="5" spans="1:21" x14ac:dyDescent="0.45">
      <c r="A5" t="s">
        <v>9</v>
      </c>
      <c r="B5">
        <v>13</v>
      </c>
      <c r="C5">
        <v>96</v>
      </c>
      <c r="D5">
        <v>15</v>
      </c>
      <c r="F5">
        <v>47</v>
      </c>
      <c r="G5">
        <v>744</v>
      </c>
      <c r="H5">
        <v>90</v>
      </c>
      <c r="S5">
        <v>47</v>
      </c>
    </row>
    <row r="6" spans="1:21" x14ac:dyDescent="0.45">
      <c r="A6" t="s">
        <v>11</v>
      </c>
      <c r="B6">
        <v>180</v>
      </c>
      <c r="C6">
        <v>2445</v>
      </c>
      <c r="D6">
        <v>240</v>
      </c>
      <c r="F6">
        <v>49</v>
      </c>
      <c r="G6">
        <v>1082</v>
      </c>
      <c r="H6">
        <v>125</v>
      </c>
      <c r="K6" t="s">
        <v>35</v>
      </c>
      <c r="L6" t="s">
        <v>43</v>
      </c>
      <c r="O6" t="s">
        <v>47</v>
      </c>
      <c r="S6" t="s">
        <v>85</v>
      </c>
      <c r="T6" t="s">
        <v>89</v>
      </c>
    </row>
    <row r="7" spans="1:21" x14ac:dyDescent="0.45">
      <c r="A7" t="s">
        <v>15</v>
      </c>
      <c r="B7">
        <v>221</v>
      </c>
      <c r="C7">
        <v>3000</v>
      </c>
      <c r="D7">
        <v>280</v>
      </c>
      <c r="F7">
        <v>54</v>
      </c>
      <c r="G7">
        <v>1221</v>
      </c>
      <c r="H7">
        <v>130</v>
      </c>
      <c r="K7" t="s">
        <v>33</v>
      </c>
      <c r="L7" t="s">
        <v>32</v>
      </c>
      <c r="M7" t="s">
        <v>31</v>
      </c>
      <c r="O7" t="s">
        <v>30</v>
      </c>
      <c r="S7">
        <f>15*1000*(1/2)</f>
        <v>7500</v>
      </c>
      <c r="T7">
        <f>9.81</f>
        <v>9.81</v>
      </c>
    </row>
    <row r="8" spans="1:21" x14ac:dyDescent="0.45">
      <c r="A8" t="s">
        <v>17</v>
      </c>
      <c r="B8">
        <v>360</v>
      </c>
      <c r="C8">
        <v>3800</v>
      </c>
      <c r="D8">
        <v>560</v>
      </c>
      <c r="F8">
        <v>180</v>
      </c>
      <c r="G8">
        <v>5883</v>
      </c>
      <c r="H8">
        <v>200</v>
      </c>
      <c r="K8">
        <f>280/3.6</f>
        <v>77.777777777777771</v>
      </c>
      <c r="L8">
        <v>455</v>
      </c>
      <c r="M8">
        <v>8800</v>
      </c>
      <c r="N8" t="s">
        <v>29</v>
      </c>
      <c r="O8">
        <v>240</v>
      </c>
      <c r="S8" t="s">
        <v>86</v>
      </c>
    </row>
    <row r="9" spans="1:21" x14ac:dyDescent="0.45">
      <c r="A9" t="s">
        <v>16</v>
      </c>
      <c r="B9">
        <v>455</v>
      </c>
      <c r="C9">
        <v>8800</v>
      </c>
      <c r="D9">
        <v>200</v>
      </c>
      <c r="F9">
        <v>240</v>
      </c>
      <c r="G9">
        <v>9420</v>
      </c>
      <c r="H9">
        <v>280</v>
      </c>
      <c r="L9" t="s">
        <v>34</v>
      </c>
      <c r="M9" t="s">
        <v>45</v>
      </c>
      <c r="N9" t="s">
        <v>46</v>
      </c>
      <c r="S9">
        <f>96*1000</f>
        <v>96000</v>
      </c>
    </row>
    <row r="10" spans="1:21" x14ac:dyDescent="0.45">
      <c r="A10" t="s">
        <v>10</v>
      </c>
      <c r="B10">
        <v>420</v>
      </c>
      <c r="C10">
        <v>6450</v>
      </c>
      <c r="D10">
        <v>700</v>
      </c>
      <c r="F10">
        <v>240</v>
      </c>
      <c r="G10">
        <v>13679</v>
      </c>
      <c r="H10">
        <v>300</v>
      </c>
      <c r="K10">
        <f>0.5*L8*K8^2/M8</f>
        <v>156.39029180695846</v>
      </c>
      <c r="L10">
        <f>240/K10</f>
        <v>1.5346221125812964</v>
      </c>
      <c r="M10">
        <f>C9/D9</f>
        <v>44</v>
      </c>
      <c r="N10">
        <f>D9/B9</f>
        <v>0.43956043956043955</v>
      </c>
      <c r="S10" t="s">
        <v>87</v>
      </c>
      <c r="T10" t="s">
        <v>91</v>
      </c>
      <c r="U10">
        <f>S9/S13</f>
        <v>3840</v>
      </c>
    </row>
    <row r="11" spans="1:21" x14ac:dyDescent="0.45">
      <c r="K11">
        <f>K10*L10</f>
        <v>240</v>
      </c>
      <c r="S11">
        <f>13*1000</f>
        <v>13000</v>
      </c>
      <c r="T11" t="s">
        <v>83</v>
      </c>
      <c r="U11" t="b">
        <f>S7&gt;U10</f>
        <v>1</v>
      </c>
    </row>
    <row r="12" spans="1:21" x14ac:dyDescent="0.45">
      <c r="A12" t="s">
        <v>14</v>
      </c>
      <c r="S12" t="s">
        <v>88</v>
      </c>
      <c r="T12" t="s">
        <v>84</v>
      </c>
      <c r="U12">
        <f>S7-0.002*S11*T7</f>
        <v>7244.94</v>
      </c>
    </row>
    <row r="13" spans="1:21" x14ac:dyDescent="0.45">
      <c r="E13" t="s">
        <v>23</v>
      </c>
      <c r="S13">
        <f>90/3.6</f>
        <v>25</v>
      </c>
      <c r="T13" t="s">
        <v>90</v>
      </c>
    </row>
    <row r="14" spans="1:21" x14ac:dyDescent="0.45">
      <c r="E14" t="s">
        <v>24</v>
      </c>
    </row>
    <row r="15" spans="1:21" x14ac:dyDescent="0.45">
      <c r="A15" t="s">
        <v>18</v>
      </c>
      <c r="E15" t="s">
        <v>25</v>
      </c>
      <c r="S15" t="s">
        <v>92</v>
      </c>
    </row>
    <row r="16" spans="1:21" x14ac:dyDescent="0.45">
      <c r="A16" t="s">
        <v>19</v>
      </c>
      <c r="S16">
        <f>U12/S11</f>
        <v>0.5573030769230769</v>
      </c>
    </row>
    <row r="17" spans="1:21" x14ac:dyDescent="0.45">
      <c r="A17" t="s">
        <v>20</v>
      </c>
      <c r="S17" t="s">
        <v>80</v>
      </c>
    </row>
    <row r="18" spans="1:21" x14ac:dyDescent="0.45">
      <c r="A18" t="s">
        <v>21</v>
      </c>
      <c r="K18" t="s">
        <v>36</v>
      </c>
      <c r="S18" t="s">
        <v>81</v>
      </c>
      <c r="U18" t="s">
        <v>76</v>
      </c>
    </row>
    <row r="19" spans="1:21" x14ac:dyDescent="0.45">
      <c r="A19" t="s">
        <v>22</v>
      </c>
      <c r="K19" t="s">
        <v>33</v>
      </c>
      <c r="L19" t="s">
        <v>32</v>
      </c>
      <c r="M19" t="s">
        <v>37</v>
      </c>
      <c r="O19" t="s">
        <v>30</v>
      </c>
      <c r="S19" t="s">
        <v>82</v>
      </c>
    </row>
    <row r="20" spans="1:21" x14ac:dyDescent="0.45">
      <c r="K20">
        <f>H8/3.6</f>
        <v>55.555555555555557</v>
      </c>
      <c r="L20">
        <v>360</v>
      </c>
      <c r="M20">
        <v>3800</v>
      </c>
      <c r="N20" t="s">
        <v>29</v>
      </c>
      <c r="O20">
        <v>180</v>
      </c>
      <c r="S20">
        <f>S13/S16</f>
        <v>44.858894621625581</v>
      </c>
    </row>
    <row r="21" spans="1:21" x14ac:dyDescent="0.45">
      <c r="A21" t="s">
        <v>26</v>
      </c>
      <c r="L21" t="s">
        <v>34</v>
      </c>
      <c r="M21" t="s">
        <v>45</v>
      </c>
      <c r="N21" t="s">
        <v>46</v>
      </c>
    </row>
    <row r="22" spans="1:21" x14ac:dyDescent="0.45">
      <c r="A22" t="s">
        <v>27</v>
      </c>
      <c r="K22">
        <f>0.5*L20*K20^2/M20</f>
        <v>146.19883040935673</v>
      </c>
      <c r="L22">
        <f>O20/K22</f>
        <v>1.2311999999999999</v>
      </c>
      <c r="M22">
        <f>C8/D8</f>
        <v>6.7857142857142856</v>
      </c>
      <c r="N22">
        <f>D8/B8</f>
        <v>1.5555555555555556</v>
      </c>
    </row>
    <row r="23" spans="1:21" x14ac:dyDescent="0.45">
      <c r="S23" t="s">
        <v>95</v>
      </c>
      <c r="T23" t="s">
        <v>11</v>
      </c>
    </row>
    <row r="24" spans="1:21" x14ac:dyDescent="0.45">
      <c r="A24" t="s">
        <v>28</v>
      </c>
      <c r="G24" t="s">
        <v>41</v>
      </c>
      <c r="S24" t="s">
        <v>77</v>
      </c>
      <c r="T24" t="s">
        <v>79</v>
      </c>
    </row>
    <row r="25" spans="1:21" x14ac:dyDescent="0.45">
      <c r="A25">
        <f>(0.5*(B6*1000)*((125/3.6)^2))/(C6*1000)</f>
        <v>44.379118382185865</v>
      </c>
      <c r="G25" t="s">
        <v>42</v>
      </c>
      <c r="K25" t="s">
        <v>38</v>
      </c>
      <c r="L25" t="s">
        <v>9</v>
      </c>
      <c r="S25">
        <v>49</v>
      </c>
    </row>
    <row r="26" spans="1:21" x14ac:dyDescent="0.45">
      <c r="A26">
        <f>((0.5)*(B9)*(H9/3.6)^2)/(C9)</f>
        <v>156.39029180695846</v>
      </c>
      <c r="K26" t="s">
        <v>33</v>
      </c>
      <c r="L26" t="s">
        <v>32</v>
      </c>
      <c r="M26" t="s">
        <v>37</v>
      </c>
      <c r="O26" t="s">
        <v>30</v>
      </c>
      <c r="S26" t="s">
        <v>85</v>
      </c>
      <c r="T26" t="s">
        <v>89</v>
      </c>
    </row>
    <row r="27" spans="1:21" x14ac:dyDescent="0.45">
      <c r="K27">
        <f>H5/3.6</f>
        <v>25</v>
      </c>
      <c r="L27">
        <f>B5</f>
        <v>13</v>
      </c>
      <c r="M27">
        <f>C5</f>
        <v>96</v>
      </c>
      <c r="N27" t="s">
        <v>29</v>
      </c>
      <c r="O27">
        <f>F5</f>
        <v>47</v>
      </c>
      <c r="S27">
        <f>240*1000</f>
        <v>240000</v>
      </c>
      <c r="T27">
        <v>310.96561067404957</v>
      </c>
    </row>
    <row r="28" spans="1:21" x14ac:dyDescent="0.45">
      <c r="L28" t="s">
        <v>34</v>
      </c>
      <c r="M28" t="s">
        <v>45</v>
      </c>
      <c r="N28" t="s">
        <v>46</v>
      </c>
      <c r="S28" t="s">
        <v>86</v>
      </c>
    </row>
    <row r="29" spans="1:21" x14ac:dyDescent="0.45">
      <c r="K29">
        <f>0.5*L27*K27^2/M27</f>
        <v>42.317708333333336</v>
      </c>
      <c r="L29">
        <f>O27/K29</f>
        <v>1.1106461538461538</v>
      </c>
      <c r="M29">
        <f>C5/D5</f>
        <v>6.4</v>
      </c>
      <c r="N29">
        <f>D5/B5</f>
        <v>1.1538461538461537</v>
      </c>
      <c r="S29">
        <f>2445*1000</f>
        <v>2445000</v>
      </c>
    </row>
    <row r="30" spans="1:21" x14ac:dyDescent="0.45">
      <c r="A30" t="s">
        <v>48</v>
      </c>
      <c r="S30" t="s">
        <v>87</v>
      </c>
      <c r="T30" t="s">
        <v>91</v>
      </c>
      <c r="U30">
        <f>S29/S33</f>
        <v>70416</v>
      </c>
    </row>
    <row r="31" spans="1:21" x14ac:dyDescent="0.45">
      <c r="A31" t="s">
        <v>49</v>
      </c>
      <c r="D31" t="s">
        <v>51</v>
      </c>
      <c r="K31" t="s">
        <v>39</v>
      </c>
      <c r="L31" t="s">
        <v>40</v>
      </c>
      <c r="S31">
        <f>180*1000</f>
        <v>180000</v>
      </c>
      <c r="T31" t="s">
        <v>83</v>
      </c>
      <c r="U31" t="b">
        <f>S27&gt;U30</f>
        <v>1</v>
      </c>
    </row>
    <row r="32" spans="1:21" x14ac:dyDescent="0.45">
      <c r="A32" t="s">
        <v>50</v>
      </c>
      <c r="D32" t="s">
        <v>52</v>
      </c>
      <c r="K32" t="s">
        <v>33</v>
      </c>
      <c r="L32" t="s">
        <v>32</v>
      </c>
      <c r="M32" t="s">
        <v>37</v>
      </c>
      <c r="O32" t="s">
        <v>30</v>
      </c>
      <c r="S32" t="s">
        <v>88</v>
      </c>
      <c r="T32" t="s">
        <v>84</v>
      </c>
      <c r="U32">
        <f>S27-0.002*S31*T27</f>
        <v>128052.38015734215</v>
      </c>
    </row>
    <row r="33" spans="1:22" x14ac:dyDescent="0.45">
      <c r="A33" t="s">
        <v>53</v>
      </c>
      <c r="F33" t="s">
        <v>57</v>
      </c>
      <c r="K33">
        <f>H10/3.6</f>
        <v>83.333333333333329</v>
      </c>
      <c r="L33">
        <f>B10</f>
        <v>420</v>
      </c>
      <c r="M33">
        <f>C10</f>
        <v>6450</v>
      </c>
      <c r="N33" t="s">
        <v>29</v>
      </c>
      <c r="O33">
        <f>F10</f>
        <v>240</v>
      </c>
      <c r="S33">
        <f>125/3.6</f>
        <v>34.722222222222221</v>
      </c>
      <c r="T33" t="s">
        <v>90</v>
      </c>
    </row>
    <row r="34" spans="1:22" x14ac:dyDescent="0.45">
      <c r="D34" t="s">
        <v>54</v>
      </c>
      <c r="G34" t="s">
        <v>62</v>
      </c>
      <c r="L34" t="s">
        <v>34</v>
      </c>
      <c r="M34" t="s">
        <v>45</v>
      </c>
      <c r="N34" t="s">
        <v>46</v>
      </c>
    </row>
    <row r="35" spans="1:22" x14ac:dyDescent="0.45">
      <c r="C35" t="s">
        <v>58</v>
      </c>
      <c r="D35" t="s">
        <v>55</v>
      </c>
      <c r="F35" t="s">
        <v>60</v>
      </c>
      <c r="G35" t="s">
        <v>63</v>
      </c>
      <c r="K35">
        <f>0.5*L33*K33^2/M33</f>
        <v>226.09819121447023</v>
      </c>
      <c r="L35">
        <f>O33/K35</f>
        <v>1.0614857142857146</v>
      </c>
      <c r="M35">
        <f>C10/D10</f>
        <v>9.2142857142857135</v>
      </c>
      <c r="N35">
        <f>D10/B10</f>
        <v>1.6666666666666667</v>
      </c>
      <c r="S35" t="s">
        <v>92</v>
      </c>
      <c r="V35" t="s">
        <v>94</v>
      </c>
    </row>
    <row r="36" spans="1:22" x14ac:dyDescent="0.45">
      <c r="C36" t="s">
        <v>59</v>
      </c>
      <c r="F36" t="s">
        <v>61</v>
      </c>
      <c r="S36">
        <f>U32/S31</f>
        <v>0.71140211198523418</v>
      </c>
    </row>
    <row r="37" spans="1:22" x14ac:dyDescent="0.45">
      <c r="K37" t="s">
        <v>39</v>
      </c>
      <c r="L37" t="s">
        <v>15</v>
      </c>
      <c r="S37" t="s">
        <v>80</v>
      </c>
    </row>
    <row r="38" spans="1:22" x14ac:dyDescent="0.45">
      <c r="A38" t="s">
        <v>78</v>
      </c>
      <c r="F38" t="s">
        <v>64</v>
      </c>
      <c r="K38" t="s">
        <v>33</v>
      </c>
      <c r="L38" t="s">
        <v>32</v>
      </c>
      <c r="M38" t="s">
        <v>37</v>
      </c>
      <c r="O38" t="s">
        <v>30</v>
      </c>
      <c r="S38" t="s">
        <v>81</v>
      </c>
      <c r="U38" t="s">
        <v>76</v>
      </c>
    </row>
    <row r="39" spans="1:22" x14ac:dyDescent="0.45">
      <c r="A39" t="s">
        <v>77</v>
      </c>
      <c r="B39" t="s">
        <v>79</v>
      </c>
      <c r="F39">
        <f>K39/((D7/B7)-0.002*9.81)</f>
        <v>28.95030230484068</v>
      </c>
      <c r="K39">
        <f>H7/3.6</f>
        <v>36.111111111111107</v>
      </c>
      <c r="L39">
        <f>B7</f>
        <v>221</v>
      </c>
      <c r="M39">
        <f>C7</f>
        <v>3000</v>
      </c>
      <c r="N39" t="s">
        <v>29</v>
      </c>
      <c r="O39">
        <f>F7</f>
        <v>54</v>
      </c>
      <c r="S39" t="s">
        <v>82</v>
      </c>
    </row>
    <row r="40" spans="1:22" x14ac:dyDescent="0.45">
      <c r="A40">
        <v>54</v>
      </c>
      <c r="F40">
        <f>28*2</f>
        <v>56</v>
      </c>
      <c r="L40" t="s">
        <v>34</v>
      </c>
      <c r="M40" t="s">
        <v>45</v>
      </c>
      <c r="N40" t="s">
        <v>46</v>
      </c>
      <c r="O40" t="s">
        <v>56</v>
      </c>
      <c r="S40">
        <f>S33/S36</f>
        <v>48.808151729162866</v>
      </c>
    </row>
    <row r="41" spans="1:22" x14ac:dyDescent="0.45">
      <c r="A41" t="s">
        <v>85</v>
      </c>
      <c r="B41" t="s">
        <v>89</v>
      </c>
      <c r="K41">
        <f>0.5*L39*K39^2/M39</f>
        <v>48.031121399176946</v>
      </c>
      <c r="L41">
        <f>O39/K41</f>
        <v>1.1242710648210128</v>
      </c>
      <c r="M41">
        <f>C7/D7</f>
        <v>10.714285714285714</v>
      </c>
      <c r="N41">
        <f>D7/B7</f>
        <v>1.2669683257918551</v>
      </c>
      <c r="O41">
        <f>1/M41</f>
        <v>9.3333333333333338E-2</v>
      </c>
    </row>
    <row r="42" spans="1:22" x14ac:dyDescent="0.45">
      <c r="A42">
        <f>280*1000</f>
        <v>280000</v>
      </c>
      <c r="B42">
        <v>0</v>
      </c>
      <c r="E42" t="s">
        <v>65</v>
      </c>
      <c r="S42" t="s">
        <v>12</v>
      </c>
    </row>
    <row r="43" spans="1:22" x14ac:dyDescent="0.45">
      <c r="A43" t="s">
        <v>86</v>
      </c>
      <c r="E43" t="s">
        <v>66</v>
      </c>
      <c r="S43" t="s">
        <v>77</v>
      </c>
      <c r="T43" t="s">
        <v>79</v>
      </c>
    </row>
    <row r="44" spans="1:22" x14ac:dyDescent="0.45">
      <c r="A44">
        <f>3000*1000</f>
        <v>3000000</v>
      </c>
      <c r="E44" t="s">
        <v>67</v>
      </c>
      <c r="K44" t="s">
        <v>39</v>
      </c>
      <c r="L44" t="s">
        <v>44</v>
      </c>
      <c r="S44">
        <v>69</v>
      </c>
    </row>
    <row r="45" spans="1:22" x14ac:dyDescent="0.45">
      <c r="A45" t="s">
        <v>87</v>
      </c>
      <c r="B45" t="s">
        <v>91</v>
      </c>
      <c r="C45">
        <f>A44/A48</f>
        <v>83076.923076923093</v>
      </c>
      <c r="E45" t="s">
        <v>68</v>
      </c>
      <c r="K45" t="s">
        <v>33</v>
      </c>
      <c r="L45" t="s">
        <v>32</v>
      </c>
      <c r="M45" t="s">
        <v>37</v>
      </c>
      <c r="O45" t="s">
        <v>30</v>
      </c>
      <c r="S45" t="s">
        <v>85</v>
      </c>
      <c r="T45" t="s">
        <v>89</v>
      </c>
    </row>
    <row r="46" spans="1:22" x14ac:dyDescent="0.45">
      <c r="A46">
        <f>221*1000</f>
        <v>221000</v>
      </c>
      <c r="B46" t="s">
        <v>83</v>
      </c>
      <c r="C46" t="b">
        <f>A42&gt;C45</f>
        <v>1</v>
      </c>
      <c r="E46" t="s">
        <v>69</v>
      </c>
      <c r="K46">
        <f>H6/3.6</f>
        <v>34.722222222222221</v>
      </c>
      <c r="L46">
        <f>B6</f>
        <v>180</v>
      </c>
      <c r="M46">
        <f>C6</f>
        <v>2445</v>
      </c>
      <c r="N46" t="s">
        <v>29</v>
      </c>
      <c r="O46">
        <f>F6</f>
        <v>49</v>
      </c>
      <c r="S46">
        <f>45*1000*1/2</f>
        <v>22500</v>
      </c>
      <c r="T46">
        <v>9.81</v>
      </c>
    </row>
    <row r="47" spans="1:22" x14ac:dyDescent="0.45">
      <c r="A47" t="s">
        <v>88</v>
      </c>
      <c r="B47" t="s">
        <v>84</v>
      </c>
      <c r="C47">
        <f>A42-0.002*A46*B42</f>
        <v>280000</v>
      </c>
      <c r="G47">
        <f>0.002*10</f>
        <v>0.02</v>
      </c>
      <c r="L47" t="s">
        <v>34</v>
      </c>
      <c r="M47" t="s">
        <v>45</v>
      </c>
      <c r="N47" t="s">
        <v>46</v>
      </c>
      <c r="S47" t="s">
        <v>86</v>
      </c>
    </row>
    <row r="48" spans="1:22" x14ac:dyDescent="0.45">
      <c r="A48">
        <f>130/3.6</f>
        <v>36.111111111111107</v>
      </c>
      <c r="B48" t="s">
        <v>90</v>
      </c>
      <c r="E48" t="s">
        <v>70</v>
      </c>
      <c r="K48">
        <f>0.5*L46*K46^2/M46</f>
        <v>44.379118382185865</v>
      </c>
      <c r="L48">
        <f>O46/K48</f>
        <v>1.10412288</v>
      </c>
      <c r="M48">
        <f>C6/D6</f>
        <v>10.1875</v>
      </c>
      <c r="N48">
        <f>D6/B6</f>
        <v>1.3333333333333333</v>
      </c>
      <c r="S48">
        <f>315*1000</f>
        <v>315000</v>
      </c>
    </row>
    <row r="49" spans="1:21" x14ac:dyDescent="0.45">
      <c r="E49" t="s">
        <v>71</v>
      </c>
      <c r="S49" t="s">
        <v>87</v>
      </c>
      <c r="T49" t="s">
        <v>91</v>
      </c>
      <c r="U49">
        <f>S48/S52</f>
        <v>9072</v>
      </c>
    </row>
    <row r="50" spans="1:21" x14ac:dyDescent="0.45">
      <c r="A50" t="s">
        <v>92</v>
      </c>
      <c r="D50" t="s">
        <v>72</v>
      </c>
      <c r="K50" t="s">
        <v>38</v>
      </c>
      <c r="L50" t="str">
        <f>A5</f>
        <v>Railbus</v>
      </c>
      <c r="S50">
        <f>33*1000</f>
        <v>33000</v>
      </c>
      <c r="T50" t="s">
        <v>83</v>
      </c>
      <c r="U50" t="b">
        <f>S46&gt;U49</f>
        <v>1</v>
      </c>
    </row>
    <row r="51" spans="1:21" x14ac:dyDescent="0.45">
      <c r="A51">
        <f>C47/A46</f>
        <v>1.2669683257918551</v>
      </c>
      <c r="D51" t="s">
        <v>73</v>
      </c>
      <c r="K51" t="s">
        <v>33</v>
      </c>
      <c r="L51" t="s">
        <v>32</v>
      </c>
      <c r="M51" t="s">
        <v>37</v>
      </c>
      <c r="O51" t="s">
        <v>30</v>
      </c>
      <c r="S51" t="s">
        <v>88</v>
      </c>
      <c r="T51" t="s">
        <v>84</v>
      </c>
      <c r="U51">
        <f>S46-0.002*S50*T46</f>
        <v>21852.54</v>
      </c>
    </row>
    <row r="52" spans="1:21" x14ac:dyDescent="0.45">
      <c r="A52" t="s">
        <v>80</v>
      </c>
      <c r="D52" t="s">
        <v>74</v>
      </c>
      <c r="K52">
        <f>H5/3.6</f>
        <v>25</v>
      </c>
      <c r="L52">
        <f>B5</f>
        <v>13</v>
      </c>
      <c r="M52">
        <f>C5</f>
        <v>96</v>
      </c>
      <c r="N52" t="s">
        <v>29</v>
      </c>
      <c r="O52">
        <f>F5</f>
        <v>47</v>
      </c>
      <c r="S52">
        <f>125/3.6</f>
        <v>34.722222222222221</v>
      </c>
      <c r="T52" t="s">
        <v>90</v>
      </c>
    </row>
    <row r="53" spans="1:21" x14ac:dyDescent="0.45">
      <c r="A53" t="s">
        <v>81</v>
      </c>
      <c r="C53" t="s">
        <v>76</v>
      </c>
      <c r="D53" t="s">
        <v>75</v>
      </c>
      <c r="L53" t="s">
        <v>34</v>
      </c>
      <c r="M53" t="s">
        <v>45</v>
      </c>
      <c r="N53" t="s">
        <v>46</v>
      </c>
    </row>
    <row r="54" spans="1:21" x14ac:dyDescent="0.45">
      <c r="A54" t="s">
        <v>82</v>
      </c>
      <c r="K54">
        <f>0.5*L52*K52^2/M52</f>
        <v>42.317708333333336</v>
      </c>
      <c r="L54">
        <f>O52/K54</f>
        <v>1.1106461538461538</v>
      </c>
      <c r="M54">
        <f>C5/D5</f>
        <v>6.4</v>
      </c>
      <c r="N54">
        <f>D5/B5</f>
        <v>1.1538461538461537</v>
      </c>
      <c r="S54" t="s">
        <v>92</v>
      </c>
    </row>
    <row r="55" spans="1:21" x14ac:dyDescent="0.45">
      <c r="A55">
        <f>A48/A51</f>
        <v>28.501984126984127</v>
      </c>
      <c r="S55">
        <f>U51/S50</f>
        <v>0.6621981818181818</v>
      </c>
    </row>
    <row r="56" spans="1:21" x14ac:dyDescent="0.45">
      <c r="S56" t="s">
        <v>80</v>
      </c>
    </row>
    <row r="57" spans="1:21" x14ac:dyDescent="0.45">
      <c r="S57" t="s">
        <v>81</v>
      </c>
      <c r="U57" t="s">
        <v>76</v>
      </c>
    </row>
    <row r="58" spans="1:21" x14ac:dyDescent="0.45">
      <c r="S58" t="s">
        <v>82</v>
      </c>
    </row>
    <row r="59" spans="1:21" x14ac:dyDescent="0.45">
      <c r="S59">
        <f>S52/S55</f>
        <v>52.434789426461791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31D4A-9A58-4CBA-89C1-B3A183BAE283}">
  <dimension ref="A1:H12"/>
  <sheetViews>
    <sheetView workbookViewId="0">
      <selection activeCell="A4" sqref="A4"/>
    </sheetView>
  </sheetViews>
  <sheetFormatPr defaultRowHeight="14.25" x14ac:dyDescent="0.45"/>
  <sheetData>
    <row r="1" spans="1:8" x14ac:dyDescent="0.45">
      <c r="A1" t="s">
        <v>96</v>
      </c>
    </row>
    <row r="3" spans="1:8" x14ac:dyDescent="0.45">
      <c r="B3" t="s">
        <v>4</v>
      </c>
      <c r="C3" t="s">
        <v>5</v>
      </c>
      <c r="D3" t="s">
        <v>6</v>
      </c>
      <c r="F3" t="s">
        <v>7</v>
      </c>
      <c r="G3" t="s">
        <v>8</v>
      </c>
      <c r="H3" t="s">
        <v>13</v>
      </c>
    </row>
    <row r="4" spans="1:8" x14ac:dyDescent="0.45">
      <c r="A4" s="1">
        <v>640000000</v>
      </c>
      <c r="B4">
        <v>33</v>
      </c>
      <c r="C4">
        <v>315</v>
      </c>
      <c r="D4">
        <v>45</v>
      </c>
      <c r="F4">
        <v>69</v>
      </c>
      <c r="G4">
        <v>1546</v>
      </c>
      <c r="H4">
        <v>125</v>
      </c>
    </row>
    <row r="5" spans="1:8" x14ac:dyDescent="0.45">
      <c r="A5" t="s">
        <v>9</v>
      </c>
      <c r="B5">
        <v>13</v>
      </c>
      <c r="C5">
        <v>96</v>
      </c>
      <c r="D5">
        <v>15</v>
      </c>
      <c r="F5">
        <v>47</v>
      </c>
      <c r="G5">
        <v>744</v>
      </c>
      <c r="H5">
        <v>90</v>
      </c>
    </row>
    <row r="6" spans="1:8" x14ac:dyDescent="0.45">
      <c r="A6" t="s">
        <v>11</v>
      </c>
      <c r="B6">
        <v>180</v>
      </c>
      <c r="C6">
        <v>2445</v>
      </c>
      <c r="D6">
        <v>240</v>
      </c>
      <c r="F6">
        <v>49</v>
      </c>
      <c r="G6">
        <v>1082</v>
      </c>
      <c r="H6">
        <v>125</v>
      </c>
    </row>
    <row r="7" spans="1:8" x14ac:dyDescent="0.45">
      <c r="A7" t="s">
        <v>15</v>
      </c>
      <c r="B7">
        <v>221</v>
      </c>
      <c r="C7">
        <v>3000</v>
      </c>
      <c r="D7">
        <v>280</v>
      </c>
      <c r="F7">
        <v>54</v>
      </c>
      <c r="G7">
        <v>1221</v>
      </c>
      <c r="H7">
        <v>130</v>
      </c>
    </row>
    <row r="9" spans="1:8" x14ac:dyDescent="0.45">
      <c r="A9" t="s">
        <v>100</v>
      </c>
    </row>
    <row r="10" spans="1:8" x14ac:dyDescent="0.45">
      <c r="A10" t="s">
        <v>99</v>
      </c>
      <c r="E10" t="s">
        <v>97</v>
      </c>
      <c r="F10" t="s">
        <v>98</v>
      </c>
    </row>
    <row r="12" spans="1:8" x14ac:dyDescent="0.45">
      <c r="A12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Nassau, Samuel</dc:creator>
  <cp:lastModifiedBy>Nassau, Samuel</cp:lastModifiedBy>
  <dcterms:created xsi:type="dcterms:W3CDTF">2024-08-09T03:40:40Z</dcterms:created>
  <dcterms:modified xsi:type="dcterms:W3CDTF">2024-08-11T05:59:31Z</dcterms:modified>
</cp:coreProperties>
</file>