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7F38B11E-CD49-40E2-AAF4-30005941BF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ício" sheetId="2" r:id="rId1"/>
    <sheet name="Orçamento pessoal mensal" sheetId="1" r:id="rId2"/>
    <sheet name="Contracheque Firjan" sheetId="4" r:id="rId3"/>
    <sheet name="Planilh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30" i="1"/>
  <c r="E30" i="1" s="1"/>
  <c r="E34" i="1"/>
  <c r="E32" i="1"/>
  <c r="I14" i="1"/>
  <c r="I15" i="1"/>
  <c r="I16" i="1"/>
  <c r="I17" i="1"/>
  <c r="I18" i="1"/>
  <c r="I19" i="1"/>
  <c r="I20" i="1"/>
  <c r="I21" i="1"/>
  <c r="I22" i="1"/>
  <c r="I23" i="1"/>
  <c r="J34" i="1"/>
  <c r="J35" i="1"/>
  <c r="E31" i="1"/>
  <c r="J18" i="1"/>
  <c r="C8" i="1"/>
  <c r="C6" i="1"/>
  <c r="B7" i="4"/>
  <c r="B4" i="4" s="1"/>
  <c r="K31" i="4"/>
  <c r="B31" i="4"/>
  <c r="H9" i="4"/>
  <c r="H4" i="4"/>
  <c r="B9" i="4"/>
  <c r="E9" i="4"/>
  <c r="K9" i="4"/>
  <c r="K4" i="4"/>
  <c r="E4" i="4"/>
  <c r="E24" i="4" s="1"/>
  <c r="B1" i="3"/>
  <c r="J67" i="1"/>
  <c r="J68" i="1"/>
  <c r="J69" i="1"/>
  <c r="E66" i="1"/>
  <c r="E67" i="1"/>
  <c r="E68" i="1"/>
  <c r="E69" i="1"/>
  <c r="E70" i="1"/>
  <c r="E71" i="1"/>
  <c r="E57" i="1"/>
  <c r="E58" i="1"/>
  <c r="E59" i="1"/>
  <c r="E60" i="1"/>
  <c r="E33" i="1"/>
  <c r="E36" i="1"/>
  <c r="E15" i="1"/>
  <c r="E16" i="1"/>
  <c r="E17" i="1"/>
  <c r="E18" i="1"/>
  <c r="E19" i="1"/>
  <c r="E20" i="1"/>
  <c r="E21" i="1"/>
  <c r="E22" i="1"/>
  <c r="E23" i="1"/>
  <c r="J74" i="1"/>
  <c r="J66" i="1"/>
  <c r="J76" i="1" l="1"/>
  <c r="E35" i="1"/>
  <c r="B24" i="4"/>
  <c r="H24" i="4"/>
  <c r="K24" i="4"/>
  <c r="J70" i="1"/>
  <c r="E56" i="1"/>
  <c r="E61" i="1" l="1"/>
  <c r="E14" i="1"/>
  <c r="E24" i="1" l="1"/>
  <c r="C10" i="1"/>
  <c r="H4" i="1" s="1"/>
  <c r="J57" i="1" l="1"/>
  <c r="J58" i="1"/>
  <c r="J59" i="1"/>
  <c r="J50" i="1"/>
  <c r="J51" i="1"/>
  <c r="J52" i="1"/>
  <c r="J42" i="1"/>
  <c r="J43" i="1"/>
  <c r="J44" i="1"/>
  <c r="J45" i="1"/>
  <c r="J29" i="1"/>
  <c r="J30" i="1"/>
  <c r="J31" i="1"/>
  <c r="J32" i="1"/>
  <c r="J33" i="1"/>
  <c r="J36" i="1"/>
  <c r="J14" i="1"/>
  <c r="J15" i="1"/>
  <c r="J16" i="1"/>
  <c r="J17" i="1"/>
  <c r="J19" i="1"/>
  <c r="J20" i="1"/>
  <c r="J21" i="1"/>
  <c r="J22" i="1"/>
  <c r="J23" i="1"/>
  <c r="E65" i="1"/>
  <c r="E49" i="1"/>
  <c r="E50" i="1"/>
  <c r="E51" i="1"/>
  <c r="E41" i="1"/>
  <c r="E42" i="1"/>
  <c r="E43" i="1"/>
  <c r="E44" i="1"/>
  <c r="E28" i="1"/>
  <c r="E52" i="1" l="1"/>
  <c r="J78" i="1"/>
  <c r="E37" i="1"/>
  <c r="J53" i="1"/>
  <c r="J37" i="1"/>
  <c r="E45" i="1"/>
  <c r="J24" i="1"/>
  <c r="J60" i="1"/>
  <c r="H6" i="1"/>
  <c r="H8" i="1" s="1"/>
  <c r="J46" i="1"/>
  <c r="E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tc={DD1CEA57-A38D-42E4-9774-AEA31476BEC0}</author>
  </authors>
  <commentList>
    <comment ref="C8" authorId="0" shapeId="0" xr:uid="{DD1CEA57-A38D-42E4-9774-AEA31476BE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R$ 500 Aux Mensal + R$ 180 Faxina</t>
      </text>
    </comment>
  </commentList>
</comments>
</file>

<file path=xl/sharedStrings.xml><?xml version="1.0" encoding="utf-8"?>
<sst xmlns="http://schemas.openxmlformats.org/spreadsheetml/2006/main" count="265" uniqueCount="134">
  <si>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</si>
  <si>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</si>
  <si>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</si>
  <si>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</si>
  <si>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</si>
  <si>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</si>
  <si>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</si>
  <si>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Orçamento pessoal mensal</t>
  </si>
  <si>
    <t>Renda extra</t>
  </si>
  <si>
    <t>Renda mensal total</t>
  </si>
  <si>
    <t>Renda mensal real</t>
  </si>
  <si>
    <t>Moradia</t>
  </si>
  <si>
    <t>0</t>
  </si>
  <si>
    <t>Gás</t>
  </si>
  <si>
    <t>Outros</t>
  </si>
  <si>
    <t>Subtotal</t>
  </si>
  <si>
    <t>Transporte</t>
  </si>
  <si>
    <t>Pagamento do veículo</t>
  </si>
  <si>
    <t>Seguro</t>
  </si>
  <si>
    <t>Licenciamento</t>
  </si>
  <si>
    <t>Combustível</t>
  </si>
  <si>
    <t>Manutenção</t>
  </si>
  <si>
    <t>Casa</t>
  </si>
  <si>
    <t>Saúde</t>
  </si>
  <si>
    <t>Vida</t>
  </si>
  <si>
    <t>Comida</t>
  </si>
  <si>
    <t>Jantar fora</t>
  </si>
  <si>
    <t>Animais de estimação</t>
  </si>
  <si>
    <t>Médico</t>
  </si>
  <si>
    <t>Banho e tosa</t>
  </si>
  <si>
    <t>Brinquedos</t>
  </si>
  <si>
    <t>Cuidados pessoais</t>
  </si>
  <si>
    <t>Vestuário</t>
  </si>
  <si>
    <t>Academia</t>
  </si>
  <si>
    <t>Impostos ou taxas de organização</t>
  </si>
  <si>
    <t>Estimado
custo</t>
  </si>
  <si>
    <t>Estimado 
custo</t>
  </si>
  <si>
    <t>Real 
custo</t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</si>
  <si>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(Real menos previsto)</t>
    </r>
  </si>
  <si>
    <t>Diferença</t>
  </si>
  <si>
    <t>Entretenimento</t>
  </si>
  <si>
    <t>Shows</t>
  </si>
  <si>
    <t>Eventos esportivos</t>
  </si>
  <si>
    <t>Teatro ao vivo</t>
  </si>
  <si>
    <t>Empréstimos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</si>
  <si>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</si>
  <si>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</si>
  <si>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</si>
  <si>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</si>
  <si>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</si>
  <si>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</si>
  <si>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</si>
  <si>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</si>
  <si>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</si>
  <si>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</si>
  <si>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</si>
  <si>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</si>
  <si>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</si>
  <si>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</si>
  <si>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</si>
  <si>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</si>
  <si>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</si>
  <si>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</si>
  <si>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</si>
  <si>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</si>
  <si>
    <t>Renda CW</t>
  </si>
  <si>
    <t>Renda SENAI</t>
  </si>
  <si>
    <t>Renda FACO</t>
  </si>
  <si>
    <t>Renda Auxílio Parentes</t>
  </si>
  <si>
    <t>Depósito em Atraso Julho/23</t>
  </si>
  <si>
    <t>Depósito em Atraso Junho/23</t>
  </si>
  <si>
    <t>Depósito em Atraso Maio/23</t>
  </si>
  <si>
    <t>Depósito em Atraso Abril/23</t>
  </si>
  <si>
    <t>Depósito em Atraso Março/23</t>
  </si>
  <si>
    <t>Depósito em Atraso Fevereiro/23</t>
  </si>
  <si>
    <t>Depósito em Atraso Dezembro/22</t>
  </si>
  <si>
    <t>Depósito em Atraso Dezembro/23</t>
  </si>
  <si>
    <t>Depósito em Atraso Janeiro/24</t>
  </si>
  <si>
    <t>Pagamento em Folha Normal</t>
  </si>
  <si>
    <t>Proventos</t>
  </si>
  <si>
    <t>008-Salario Horista</t>
  </si>
  <si>
    <t>031-DSR Horista</t>
  </si>
  <si>
    <t>373-13 Salario Normal</t>
  </si>
  <si>
    <t>Descontos</t>
  </si>
  <si>
    <t>199-Previndus Mens Basico CD</t>
  </si>
  <si>
    <t>290-Alimentacao/Refeicao</t>
  </si>
  <si>
    <t>419-13 Salario Adiantamento Desc</t>
  </si>
  <si>
    <t>511-INSS Normal</t>
  </si>
  <si>
    <t>512-INSS sobre 13. Salario</t>
  </si>
  <si>
    <t>561-IRF (Normal)</t>
  </si>
  <si>
    <t>563-IRF (13. Salario)</t>
  </si>
  <si>
    <t>804-13. Salario Pago em Dezembro</t>
  </si>
  <si>
    <t>820-Vale Transporte Funcionario</t>
  </si>
  <si>
    <t>P03-Plano Saude-Custo Func - Func</t>
  </si>
  <si>
    <t>P04-Plano Saude- Custo Func - Dep</t>
  </si>
  <si>
    <t>Líquido</t>
  </si>
  <si>
    <t>Salário Contribuição INSS</t>
  </si>
  <si>
    <t>Base Cálculo FGTS</t>
  </si>
  <si>
    <t>FGTS do Mês</t>
  </si>
  <si>
    <t>Base Cálculo IRRF</t>
  </si>
  <si>
    <t>531-FGTS Normal Deposito</t>
  </si>
  <si>
    <t>532-FGTS 13o Deposito</t>
  </si>
  <si>
    <t>OD1-Pl Odonto Custo SOBERJ - Func</t>
  </si>
  <si>
    <t>P06-Plano Saude-Custo Emp - Total</t>
  </si>
  <si>
    <t>058-SOBERJ - Mensal</t>
  </si>
  <si>
    <t>Realizado em 25/01/24</t>
  </si>
  <si>
    <t>Realizado em 20/12/2023</t>
  </si>
  <si>
    <t>Realizado em 25/10/2023</t>
  </si>
  <si>
    <t>416-13. Salario Adiantamento Venc</t>
  </si>
  <si>
    <t>Benefício Dependente Def Física/Mental</t>
  </si>
  <si>
    <r>
      <t xml:space="preserve">Saldo real
</t>
    </r>
    <r>
      <rPr>
        <sz val="14"/>
        <color theme="1"/>
        <rFont val="Calibri"/>
        <family val="2"/>
        <scheme val="minor"/>
      </rPr>
      <t>(rendimentos)</t>
    </r>
  </si>
  <si>
    <r>
      <t xml:space="preserve">Gastos
</t>
    </r>
    <r>
      <rPr>
        <sz val="14"/>
        <color theme="1" tint="0.24994659260841701"/>
        <rFont val="Calibri"/>
        <family val="2"/>
        <scheme val="minor"/>
      </rPr>
      <t>(renda menos custo real)</t>
    </r>
  </si>
  <si>
    <t>Conta de luz (Venc. 16)</t>
  </si>
  <si>
    <t>Água e esgoto  (Venc. 10)</t>
  </si>
  <si>
    <t>IPTU  (Venc. 10)</t>
  </si>
  <si>
    <t>Condomínio/Prédio  (Venc. 25)</t>
  </si>
  <si>
    <t>Internet/Telefone  (Venc. 25)</t>
  </si>
  <si>
    <t>Celular (Venc. 15)</t>
  </si>
  <si>
    <t>Cinema</t>
  </si>
  <si>
    <t>Uber</t>
  </si>
  <si>
    <t>RioCard</t>
  </si>
  <si>
    <t>Streaming Discovery  (Venc. 8)</t>
  </si>
  <si>
    <t>Streaming Amazon Prime  (Venc. 7)</t>
  </si>
  <si>
    <t>TemBici</t>
  </si>
  <si>
    <t>Streaming Disney + Star  (Venc. 30)</t>
  </si>
  <si>
    <t>Streamings Nedina (HBO)  (Venc. 10)</t>
  </si>
  <si>
    <t>Streamings Nedina (Spotify)  (Venc. 10)</t>
  </si>
  <si>
    <t>Streamings Nedina (Youtube)  (Venc. 10)</t>
  </si>
  <si>
    <t>NuBank (5x - até jun/24)</t>
  </si>
  <si>
    <t>Cartão de crédito Nubank</t>
  </si>
  <si>
    <t>Negociação MP (10x até outubro)</t>
  </si>
  <si>
    <t>Supermercado (além ticket)</t>
  </si>
  <si>
    <t>Veterinário</t>
  </si>
  <si>
    <t>Farmácia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</si>
</sst>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&lt;=9999999]###\-####;\(###\)\ ###\-####"/>
    <numFmt numFmtId="165" formatCode="&quot;R$&quot;\ #,##0.00"/>
  </numFmts>
  <fonts count="43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rgb="FF2B3639"/>
      <name val="Arial"/>
      <family val="2"/>
    </font>
    <font>
      <sz val="12"/>
      <color rgb="FF333333"/>
      <name val="NunitoSans-Bold"/>
    </font>
    <font>
      <sz val="9"/>
      <color rgb="FF333333"/>
      <name val="NunitoSans"/>
      <family val="2"/>
    </font>
    <font>
      <b/>
      <sz val="12"/>
      <color rgb="FF212529"/>
      <name val="NunitoSans"/>
      <family val="2"/>
    </font>
    <font>
      <b/>
      <sz val="12"/>
      <color rgb="FF00B28E"/>
      <name val="NunitoSans"/>
      <family val="2"/>
    </font>
    <font>
      <sz val="11"/>
      <color rgb="FF212529"/>
      <name val="NunitoSans"/>
      <family val="2"/>
    </font>
    <font>
      <b/>
      <sz val="11"/>
      <color rgb="FF212529"/>
      <name val="NunitoSans"/>
      <family val="2"/>
    </font>
    <font>
      <b/>
      <sz val="12"/>
      <color rgb="FFD84141"/>
      <name val="NunitoSans"/>
      <family val="2"/>
    </font>
    <font>
      <b/>
      <sz val="12"/>
      <color rgb="FF333333"/>
      <name val="NunitoSans"/>
      <family val="2"/>
    </font>
    <font>
      <sz val="9"/>
      <color indexed="81"/>
      <name val="Segoe UI"/>
      <charset val="1"/>
    </font>
    <font>
      <sz val="12"/>
      <color theme="1" tint="0.34998626667073579"/>
      <name val="Calibri"/>
      <scheme val="minor"/>
    </font>
    <font>
      <sz val="10"/>
      <color rgb="FFFF0000"/>
      <name val="Calibri"/>
      <family val="2"/>
      <scheme val="minor"/>
    </font>
    <font>
      <b/>
      <sz val="20"/>
      <color rgb="FFFF0000"/>
      <name val="Calibri"/>
      <family val="2"/>
      <scheme val="major"/>
    </font>
    <font>
      <sz val="10"/>
      <color rgb="FFFF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20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0" fillId="0" borderId="0" xfId="2" applyFont="1" applyBorder="1" applyAlignment="1">
      <alignment vertical="center"/>
    </xf>
    <xf numFmtId="0" fontId="9" fillId="2" borderId="6" xfId="2" applyFont="1" applyFill="1" applyBorder="1" applyAlignment="1">
      <alignment horizontal="left" vertical="center" indent="1"/>
    </xf>
    <xf numFmtId="0" fontId="7" fillId="3" borderId="10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9" fillId="2" borderId="4" xfId="2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3" fillId="0" borderId="0" xfId="2" applyFont="1" applyFill="1" applyBorder="1" applyAlignment="1">
      <alignment horizontal="left" vertical="center" indent="11"/>
    </xf>
    <xf numFmtId="0" fontId="24" fillId="0" borderId="0" xfId="0" applyFont="1" applyAlignment="1">
      <alignment horizontal="left" vertical="center" indent="1"/>
    </xf>
    <xf numFmtId="0" fontId="24" fillId="2" borderId="0" xfId="2" applyFont="1" applyFill="1" applyBorder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/>
    </xf>
    <xf numFmtId="0" fontId="14" fillId="2" borderId="0" xfId="0" applyFont="1" applyFill="1" applyAlignment="1">
      <alignment horizontal="left" vertical="center" indent="1"/>
    </xf>
    <xf numFmtId="0" fontId="22" fillId="0" borderId="0" xfId="0" applyFont="1"/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8" fontId="9" fillId="2" borderId="7" xfId="0" applyNumberFormat="1" applyFont="1" applyFill="1" applyBorder="1" applyAlignment="1">
      <alignment horizontal="center" vertical="center"/>
    </xf>
    <xf numFmtId="8" fontId="10" fillId="3" borderId="11" xfId="0" applyNumberFormat="1" applyFont="1" applyFill="1" applyBorder="1" applyAlignment="1">
      <alignment horizontal="center" vertical="center"/>
    </xf>
    <xf numFmtId="8" fontId="9" fillId="2" borderId="5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5" fontId="6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vertical="center"/>
    </xf>
    <xf numFmtId="165" fontId="6" fillId="2" borderId="0" xfId="0" applyNumberFormat="1" applyFont="1" applyFill="1" applyAlignment="1">
      <alignment horizontal="left" vertical="center" indent="1"/>
    </xf>
    <xf numFmtId="165" fontId="9" fillId="2" borderId="0" xfId="0" applyNumberFormat="1" applyFont="1" applyFill="1" applyAlignment="1">
      <alignment horizontal="left" vertical="center"/>
    </xf>
    <xf numFmtId="165" fontId="6" fillId="0" borderId="0" xfId="0" applyNumberFormat="1" applyFont="1" applyAlignment="1">
      <alignment vertical="center"/>
    </xf>
    <xf numFmtId="165" fontId="14" fillId="2" borderId="0" xfId="0" applyNumberFormat="1" applyFont="1" applyFill="1" applyAlignment="1">
      <alignment vertical="center"/>
    </xf>
    <xf numFmtId="0" fontId="24" fillId="2" borderId="8" xfId="3" applyFont="1" applyFill="1" applyBorder="1" applyAlignment="1">
      <alignment horizontal="left" vertical="center" indent="1"/>
    </xf>
    <xf numFmtId="0" fontId="17" fillId="2" borderId="9" xfId="3" applyFont="1" applyFill="1" applyBorder="1" applyAlignment="1">
      <alignment horizontal="left" vertical="center" indent="1"/>
    </xf>
    <xf numFmtId="0" fontId="23" fillId="0" borderId="0" xfId="0" applyFont="1" applyAlignment="1">
      <alignment horizontal="left" vertical="center" indent="11"/>
    </xf>
    <xf numFmtId="0" fontId="6" fillId="0" borderId="0" xfId="0" applyFont="1" applyAlignment="1">
      <alignment horizontal="center"/>
    </xf>
    <xf numFmtId="0" fontId="21" fillId="6" borderId="0" xfId="2" applyFont="1" applyFill="1" applyBorder="1" applyAlignment="1">
      <alignment horizontal="left" vertical="center" wrapText="1" indent="1"/>
    </xf>
    <xf numFmtId="0" fontId="25" fillId="7" borderId="0" xfId="2" applyFont="1" applyFill="1" applyBorder="1" applyAlignment="1">
      <alignment horizontal="left" vertical="center" wrapText="1" indent="1"/>
    </xf>
    <xf numFmtId="0" fontId="21" fillId="8" borderId="0" xfId="2" applyFont="1" applyFill="1" applyBorder="1" applyAlignment="1">
      <alignment horizontal="left" vertical="center" wrapText="1" indent="1"/>
    </xf>
    <xf numFmtId="0" fontId="21" fillId="9" borderId="0" xfId="2" applyFont="1" applyFill="1" applyBorder="1" applyAlignment="1">
      <alignment horizontal="left" vertical="center" wrapText="1" indent="1"/>
    </xf>
    <xf numFmtId="8" fontId="26" fillId="7" borderId="0" xfId="0" applyNumberFormat="1" applyFont="1" applyFill="1" applyAlignment="1">
      <alignment horizontal="center" vertical="center"/>
    </xf>
    <xf numFmtId="8" fontId="15" fillId="8" borderId="0" xfId="0" applyNumberFormat="1" applyFont="1" applyFill="1" applyAlignment="1">
      <alignment horizontal="center" vertical="center"/>
    </xf>
    <xf numFmtId="8" fontId="7" fillId="9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21" fillId="4" borderId="0" xfId="2" applyFont="1" applyFill="1" applyBorder="1" applyAlignment="1">
      <alignment horizontal="left" vertical="center" wrapText="1" indent="1"/>
    </xf>
    <xf numFmtId="8" fontId="7" fillId="4" borderId="0" xfId="0" applyNumberFormat="1" applyFont="1" applyFill="1" applyAlignment="1">
      <alignment horizontal="center" vertical="center"/>
    </xf>
    <xf numFmtId="8" fontId="15" fillId="6" borderId="0" xfId="0" applyNumberFormat="1" applyFont="1" applyFill="1" applyAlignment="1">
      <alignment horizontal="center" vertical="center"/>
    </xf>
    <xf numFmtId="8" fontId="15" fillId="5" borderId="0" xfId="0" applyNumberFormat="1" applyFont="1" applyFill="1" applyAlignment="1">
      <alignment horizontal="center" vertical="center"/>
    </xf>
    <xf numFmtId="0" fontId="21" fillId="5" borderId="0" xfId="2" applyFont="1" applyFill="1" applyBorder="1" applyAlignment="1">
      <alignment horizontal="left" vertical="center" wrapText="1" indent="1"/>
    </xf>
    <xf numFmtId="0" fontId="24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44" fontId="0" fillId="0" borderId="0" xfId="6" applyFont="1"/>
    <xf numFmtId="17" fontId="2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4" fontId="0" fillId="0" borderId="0" xfId="0" applyNumberFormat="1"/>
    <xf numFmtId="4" fontId="33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 vertical="center" wrapText="1" indent="1"/>
    </xf>
    <xf numFmtId="0" fontId="34" fillId="0" borderId="0" xfId="0" applyFont="1" applyAlignment="1">
      <alignment vertical="center" wrapText="1"/>
    </xf>
    <xf numFmtId="4" fontId="35" fillId="0" borderId="0" xfId="0" applyNumberFormat="1" applyFont="1" applyAlignment="1">
      <alignment horizontal="right" vertical="center" wrapText="1"/>
    </xf>
    <xf numFmtId="0" fontId="35" fillId="0" borderId="0" xfId="0" applyFont="1" applyAlignment="1">
      <alignment horizontal="right" vertical="center" wrapText="1"/>
    </xf>
    <xf numFmtId="4" fontId="37" fillId="0" borderId="0" xfId="0" applyNumberFormat="1" applyFont="1" applyAlignment="1">
      <alignment horizontal="right" vertical="center" wrapText="1"/>
    </xf>
    <xf numFmtId="0" fontId="37" fillId="0" borderId="0" xfId="0" applyFont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0" fontId="0" fillId="10" borderId="0" xfId="0" applyFill="1"/>
    <xf numFmtId="0" fontId="39" fillId="0" borderId="0" xfId="0" applyFont="1" applyFill="1"/>
    <xf numFmtId="8" fontId="0" fillId="0" borderId="0" xfId="0" applyNumberFormat="1"/>
    <xf numFmtId="0" fontId="39" fillId="2" borderId="0" xfId="0" applyFont="1" applyFill="1" applyAlignment="1">
      <alignment horizontal="left" vertical="center" indent="1"/>
    </xf>
    <xf numFmtId="165" fontId="39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2" fillId="0" borderId="0" xfId="0" applyFont="1"/>
  </cellXfs>
  <cellStyles count="7">
    <cellStyle name="Data" xfId="5" xr:uid="{FE33F3B2-B201-45AD-A81E-81BCB12ED9D2}"/>
    <cellStyle name="Moeda" xfId="6" builtinId="4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Orçamento pessoal mensal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3:E24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37"/>
    <tableColumn id="2" xr3:uid="{00000000-0010-0000-0000-000002000000}" name="Estimado_x000a_custo" dataDxfId="155" totalsRowDxfId="36"/>
    <tableColumn id="3" xr3:uid="{00000000-0010-0000-0000-000003000000}" name="Real _x000a_custo" dataDxfId="154" totalsRowDxfId="35"/>
    <tableColumn id="4" xr3:uid="{00000000-0010-0000-0000-000004000000}" name="Diferença" totalsRowFunction="sum" dataDxfId="153" totalsRowDxfId="34">
      <calculatedColumnFormula>Moradia[[#This Row],[Estimado
custo]]-Moradia[[#This Row],[Real 
custo]]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55:E61" totalsRowCount="1" headerRowDxfId="71" dataDxfId="69" totalsRowDxfId="68" headerRowBorderDxfId="70" totalsRowBorderDxfId="67">
  <tableColumns count="4">
    <tableColumn id="1" xr3:uid="{00000000-0010-0000-0900-000001000000}" name="0" totalsRowLabel="Subtotal" dataDxfId="66" totalsRowDxfId="7"/>
    <tableColumn id="2" xr3:uid="{00000000-0010-0000-0900-000002000000}" name="Estimado _x000a_custo" dataDxfId="65" totalsRowDxfId="6"/>
    <tableColumn id="3" xr3:uid="{00000000-0010-0000-0900-000003000000}" name="Real _x000a_custo" dataDxfId="64" totalsRowDxfId="5"/>
    <tableColumn id="4" xr3:uid="{00000000-0010-0000-0900-000004000000}" name="Diferença" totalsRowFunction="sum" dataDxfId="63" totalsRowDxfId="4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65:J70" totalsRowCount="1" headerRowDxfId="62" dataDxfId="60" totalsRowDxfId="59" headerRowBorderDxfId="61" totalsRowBorderDxfId="58">
  <tableColumns count="4">
    <tableColumn id="1" xr3:uid="{00000000-0010-0000-0A00-000001000000}" name="ASSESSORIA JURÍDICA" totalsRowLabel="Subtotal" dataDxfId="57" totalsRowDxfId="56"/>
    <tableColumn id="2" xr3:uid="{00000000-0010-0000-0A00-000002000000}" name="Estimado _x000a_custo" dataDxfId="55" totalsRowDxfId="54"/>
    <tableColumn id="3" xr3:uid="{00000000-0010-0000-0A00-000003000000}" name="Real _x000a_custo" dataDxfId="53" totalsRowDxfId="52"/>
    <tableColumn id="4" xr3:uid="{00000000-0010-0000-0A00-000004000000}" name="Diferença" totalsRowFunction="sum" dataDxfId="51" totalsRowDxfId="50">
      <calculatedColumnFormula>Assessoria_jurídica[[#This Row],[Estimado 
custo]]-Assessoria_jurídica[[#This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64:E72" totalsRowCount="1" headerRowDxfId="49" dataDxfId="47" totalsRowDxfId="46" headerRowBorderDxfId="48" totalsRowBorderDxfId="45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44" totalsRowDxfId="3"/>
    <tableColumn id="2" xr3:uid="{00000000-0010-0000-0B00-000002000000}" name="Estimado _x000a_custo" dataDxfId="43" totalsRowDxfId="2"/>
    <tableColumn id="3" xr3:uid="{00000000-0010-0000-0B00-000003000000}" name="Real _x000a_custo" dataDxfId="42" totalsRowDxfId="1"/>
    <tableColumn id="4" xr3:uid="{00000000-0010-0000-0B00-000004000000}" name="Diferença" totalsRowFunction="sum" dataDxfId="41" totalsRowDxfId="0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3:J24" totalsRowCount="1" headerRowDxfId="152" dataDxfId="150" totalsRowDxfId="148" headerRowBorderDxfId="151" tableBorderDxfId="149" totalsRowBorderDxfId="147" headerRowCellStyle="Normal">
  <autoFilter ref="G13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6" totalsRowDxfId="27"/>
    <tableColumn id="2" xr3:uid="{00000000-0010-0000-0100-000002000000}" name="Estimado _x000a_custo" dataDxfId="145" totalsRowDxfId="26"/>
    <tableColumn id="3" xr3:uid="{00000000-0010-0000-0100-000003000000}" name="Real _x000a_custo" dataDxfId="38" totalsRowDxfId="25">
      <calculatedColumnFormula>Entretenimento[[#This Row],[Estimado 
custo]]</calculatedColumnFormula>
    </tableColumn>
    <tableColumn id="4" xr3:uid="{00000000-0010-0000-0100-000004000000}" name="Diferença" totalsRowFunction="sum" dataDxfId="144" totalsRowDxfId="24">
      <calculatedColumnFormula>Entretenimento[[#This Row],[Estimado 
custo]]-Entretenimento[[#This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8:J37" totalsRowCount="1" headerRowDxfId="143" dataDxfId="141" totalsRowDxfId="139" headerRowBorderDxfId="142" tableBorderDxfId="140" totalsRowBorderDxfId="138">
  <autoFilter ref="G28:J36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37" totalsRowDxfId="23"/>
    <tableColumn id="2" xr3:uid="{00000000-0010-0000-0200-000002000000}" name="Estimado _x000a_custo" dataDxfId="136" totalsRowDxfId="22"/>
    <tableColumn id="3" xr3:uid="{00000000-0010-0000-0200-000003000000}" name="Real _x000a_custo" dataDxfId="135" totalsRowDxfId="21"/>
    <tableColumn id="4" xr3:uid="{00000000-0010-0000-0200-000004000000}" name="Diferença" totalsRowFunction="sum" dataDxfId="134" totalsRowDxfId="20">
      <calculatedColumnFormula>Empréstimos[[#This Row],[Estimado 
custo]]-Empréstimos[[#This Row],[Real 
custo]]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7:E37" totalsRowCount="1" headerRowDxfId="133" dataDxfId="131" totalsRowDxfId="129" headerRowBorderDxfId="132" tableBorderDxfId="130" totalsRowBorderDxfId="128">
  <autoFilter ref="B27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40" totalsRowDxfId="31"/>
    <tableColumn id="2" xr3:uid="{00000000-0010-0000-0300-000002000000}" name="Estimado _x000a_custo" dataDxfId="33" totalsRowDxfId="30">
      <calculatedColumnFormula>36.9*2</calculatedColumnFormula>
    </tableColumn>
    <tableColumn id="3" xr3:uid="{00000000-0010-0000-0300-000003000000}" name="Real _x000a_custo" dataDxfId="32" totalsRowDxfId="29">
      <calculatedColumnFormula>Transporte[[#This Row],[Estimado 
custo]]</calculatedColumnFormula>
    </tableColumn>
    <tableColumn id="4" xr3:uid="{00000000-0010-0000-0300-000004000000}" name="Diferença" totalsRowFunction="sum" dataDxfId="39" totalsRowDxfId="28">
      <calculatedColumnFormula>Transporte[[#This Row],[Estimado 
custo]]-Transporte[[#This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40:E45" totalsRowCount="1" headerRowDxfId="127" dataDxfId="125" totalsRowDxfId="123" headerRowBorderDxfId="126" tableBorderDxfId="124" totalsRowBorderDxfId="122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21" totalsRowDxfId="120"/>
    <tableColumn id="2" xr3:uid="{00000000-0010-0000-0400-000002000000}" name="Estimado_x000a_custo" dataDxfId="119" totalsRowDxfId="118"/>
    <tableColumn id="3" xr3:uid="{00000000-0010-0000-0400-000003000000}" name="Real _x000a_custo" dataDxfId="117" totalsRowDxfId="116"/>
    <tableColumn id="4" xr3:uid="{00000000-0010-0000-0400-000004000000}" name="Diferença" totalsRowFunction="sum" dataDxfId="115" totalsRowDxfId="114">
      <calculatedColumnFormula>Seguro[[#This Row],[Estimado
custo]]-Seguro[[#This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41:J46" totalsRowCount="1" headerRowDxfId="113" dataDxfId="111" totalsRowDxfId="109" headerRowBorderDxfId="112" tableBorderDxfId="110" totalsRowBorderDxfId="108">
  <autoFilter ref="G41:J45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107" totalsRowDxfId="106"/>
    <tableColumn id="2" xr3:uid="{00000000-0010-0000-0500-000002000000}" name="Estimado _x000a_custo" dataDxfId="105" totalsRowDxfId="104"/>
    <tableColumn id="3" xr3:uid="{00000000-0010-0000-0500-000003000000}" name="Real _x000a_custo" dataDxfId="103" totalsRowDxfId="102"/>
    <tableColumn id="4" xr3:uid="{00000000-0010-0000-0500-000004000000}" name="Diferença" totalsRowFunction="sum" dataDxfId="101" totalsRowDxfId="100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9:J53" totalsRowCount="1" headerRowDxfId="99" dataDxfId="97" totalsRowDxfId="96" headerRowBorderDxfId="98" totalsRowBorderDxfId="95">
  <autoFilter ref="G49:J52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15" totalsRowDxfId="14"/>
    <tableColumn id="2" xr3:uid="{00000000-0010-0000-0600-000002000000}" name="Estimado _x000a_custo" dataDxfId="13" totalsRowDxfId="12"/>
    <tableColumn id="3" xr3:uid="{00000000-0010-0000-0600-000003000000}" name="Real _x000a_custo" dataDxfId="11" totalsRowDxfId="10"/>
    <tableColumn id="4" xr3:uid="{00000000-0010-0000-0600-000004000000}" name="Diferença" totalsRowFunction="sum" dataDxfId="9" totalsRowDxfId="8">
      <calculatedColumnFormula>Poupança[[#This Row],[Estimado 
custo]]-Poupança[[#This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48:E52" totalsRowCount="1" headerRowDxfId="94" dataDxfId="92" totalsRowDxfId="90" headerRowBorderDxfId="93" tableBorderDxfId="91" totalsRowBorderDxfId="89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88" totalsRowDxfId="19"/>
    <tableColumn id="2" xr3:uid="{00000000-0010-0000-0700-000002000000}" name="Estimado _x000a_custo" dataDxfId="87" totalsRowDxfId="18"/>
    <tableColumn id="3" xr3:uid="{00000000-0010-0000-0700-000003000000}" name="Real _x000a_custo" dataDxfId="86" totalsRowDxfId="17"/>
    <tableColumn id="4" xr3:uid="{00000000-0010-0000-0700-000004000000}" name="Diferença" totalsRowFunction="sum" dataDxfId="85" totalsRowDxfId="16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6:J60" totalsRowCount="1" headerRowDxfId="84" dataDxfId="82" totalsRowDxfId="81" headerRowBorderDxfId="83" totalsRowBorderDxfId="80">
  <autoFilter ref="G56:J5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79" totalsRowDxfId="78"/>
    <tableColumn id="2" xr3:uid="{00000000-0010-0000-0800-000002000000}" name="Estimado _x000a_custo" dataDxfId="77" totalsRowDxfId="76"/>
    <tableColumn id="3" xr3:uid="{00000000-0010-0000-0800-000003000000}" name="Real _x000a_custo" dataDxfId="75" totalsRowDxfId="74"/>
    <tableColumn id="4" xr3:uid="{00000000-0010-0000-0800-000004000000}" name="Diferença" totalsRowFunction="sum" dataDxfId="73" totalsRowDxfId="72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1-12T22:11:37.98" personId="{00000000-0000-0000-0000-000000000000}" id="{DD1CEA57-A38D-42E4-9774-AEA31476BEC0}">
    <text>R$ 500 Aux Mensal + R$ 180 Faxina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microsoft.com/office/2017/10/relationships/threadedComment" Target="../threadedComments/threadedComment1.xml"/><Relationship Id="rId2" Type="http://schemas.openxmlformats.org/officeDocument/2006/relationships/drawing" Target="../drawings/drawing2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/>
    <row r="2" spans="2:2" s="17" customFormat="1" ht="94.9" customHeight="1">
      <c r="B2" s="18" t="s">
        <v>0</v>
      </c>
    </row>
    <row r="3" spans="2:2" ht="48.6" customHeight="1">
      <c r="B3" s="5" t="s">
        <v>1</v>
      </c>
    </row>
    <row r="4" spans="2:2" ht="30" customHeight="1">
      <c r="B4" s="4" t="s">
        <v>2</v>
      </c>
    </row>
    <row r="5" spans="2:2" ht="30" customHeight="1">
      <c r="B5" s="4" t="s">
        <v>3</v>
      </c>
    </row>
    <row r="6" spans="2:2" ht="34.9" customHeight="1">
      <c r="B6" s="6" t="s">
        <v>4</v>
      </c>
    </row>
    <row r="7" spans="2:2" ht="47.25">
      <c r="B7" s="4" t="s">
        <v>5</v>
      </c>
    </row>
    <row r="8" spans="2:2" ht="10.15" customHeight="1">
      <c r="B8" s="4"/>
    </row>
    <row r="9" spans="2:2" ht="31.5">
      <c r="B9" s="4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79"/>
  <sheetViews>
    <sheetView showGridLines="0" tabSelected="1" zoomScaleNormal="100" zoomScaleSheetLayoutView="40" workbookViewId="0">
      <selection activeCell="A2" sqref="A2"/>
    </sheetView>
  </sheetViews>
  <sheetFormatPr defaultColWidth="8.85546875" defaultRowHeight="12.75"/>
  <cols>
    <col min="1" max="1" width="31.7109375" style="105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>
      <c r="A1" s="103"/>
    </row>
    <row r="2" spans="1:10" s="1" customFormat="1" ht="94.9" customHeight="1">
      <c r="A2" s="104"/>
      <c r="B2" s="63" t="s">
        <v>7</v>
      </c>
      <c r="C2" s="63"/>
      <c r="D2" s="63"/>
      <c r="E2" s="63"/>
      <c r="F2" s="63"/>
      <c r="G2" s="63"/>
      <c r="H2" s="63"/>
      <c r="I2" s="9"/>
      <c r="J2" s="9"/>
    </row>
    <row r="3" spans="1:10" ht="15" customHeight="1"/>
    <row r="4" spans="1:10" ht="30" customHeight="1">
      <c r="B4" s="61" t="s">
        <v>10</v>
      </c>
      <c r="C4" s="62"/>
      <c r="D4" s="10"/>
      <c r="E4" s="66" t="s">
        <v>110</v>
      </c>
      <c r="F4" s="66"/>
      <c r="G4" s="66"/>
      <c r="H4" s="69">
        <f>C10</f>
        <v>7917.3150000000005</v>
      </c>
    </row>
    <row r="5" spans="1:10" ht="30" customHeight="1">
      <c r="B5" s="12" t="s">
        <v>65</v>
      </c>
      <c r="C5" s="43">
        <v>4315</v>
      </c>
      <c r="E5" s="66"/>
      <c r="F5" s="66"/>
      <c r="G5" s="66"/>
      <c r="H5" s="69"/>
      <c r="I5" s="11"/>
    </row>
    <row r="6" spans="1:10" ht="30" customHeight="1">
      <c r="B6" s="12" t="s">
        <v>66</v>
      </c>
      <c r="C6" s="43">
        <f>'Contracheque Firjan'!B24</f>
        <v>2185.1900000000005</v>
      </c>
      <c r="E6" s="67" t="s">
        <v>111</v>
      </c>
      <c r="F6" s="67"/>
      <c r="G6" s="67"/>
      <c r="H6" s="70">
        <f>C10-J76</f>
        <v>4327.7049999999999</v>
      </c>
      <c r="I6" s="11"/>
    </row>
    <row r="7" spans="1:10" ht="30" customHeight="1">
      <c r="B7" s="12" t="s">
        <v>67</v>
      </c>
      <c r="C7" s="43">
        <v>680</v>
      </c>
      <c r="E7" s="67"/>
      <c r="F7" s="67"/>
      <c r="G7" s="67"/>
      <c r="H7" s="70"/>
      <c r="I7" s="11"/>
    </row>
    <row r="8" spans="1:10" ht="30" customHeight="1">
      <c r="B8" s="12" t="s">
        <v>68</v>
      </c>
      <c r="C8" s="43">
        <f>500+180+((D16-250)/2)</f>
        <v>737.125</v>
      </c>
      <c r="D8" s="100"/>
      <c r="E8" s="68" t="s">
        <v>38</v>
      </c>
      <c r="F8" s="68"/>
      <c r="G8" s="68"/>
      <c r="H8" s="71">
        <f>H4-H6</f>
        <v>3589.6100000000006</v>
      </c>
      <c r="I8" s="11"/>
    </row>
    <row r="9" spans="1:10" ht="30" customHeight="1">
      <c r="B9" s="15" t="s">
        <v>8</v>
      </c>
      <c r="C9" s="45"/>
      <c r="D9" s="10"/>
      <c r="E9" s="68"/>
      <c r="F9" s="68"/>
      <c r="G9" s="68"/>
      <c r="H9" s="71"/>
      <c r="I9" s="14"/>
    </row>
    <row r="10" spans="1:10" ht="30" customHeight="1">
      <c r="B10" s="13" t="s">
        <v>9</v>
      </c>
      <c r="C10" s="44">
        <f>SUM(C5:C9)</f>
        <v>7917.3150000000005</v>
      </c>
      <c r="I10" s="11"/>
    </row>
    <row r="11" spans="1:10" ht="30" customHeight="1">
      <c r="I11" s="11"/>
    </row>
    <row r="12" spans="1:10" s="2" customFormat="1" ht="30" customHeight="1">
      <c r="A12" s="106"/>
      <c r="B12" s="20" t="s">
        <v>11</v>
      </c>
      <c r="C12" s="7"/>
      <c r="D12" s="8"/>
      <c r="E12" s="8"/>
      <c r="G12" s="19" t="s">
        <v>40</v>
      </c>
      <c r="H12" s="7"/>
      <c r="I12" s="7"/>
      <c r="J12" s="7"/>
    </row>
    <row r="13" spans="1:10" ht="48" customHeight="1">
      <c r="B13" s="21" t="s">
        <v>12</v>
      </c>
      <c r="C13" s="22" t="s">
        <v>35</v>
      </c>
      <c r="D13" s="22" t="s">
        <v>37</v>
      </c>
      <c r="E13" s="23" t="s">
        <v>39</v>
      </c>
      <c r="F13" s="3"/>
      <c r="G13" s="24" t="s">
        <v>12</v>
      </c>
      <c r="H13" s="25" t="s">
        <v>36</v>
      </c>
      <c r="I13" s="25" t="s">
        <v>37</v>
      </c>
      <c r="J13" s="26" t="s">
        <v>39</v>
      </c>
    </row>
    <row r="14" spans="1:10" ht="30" customHeight="1">
      <c r="B14" s="27" t="s">
        <v>114</v>
      </c>
      <c r="C14" s="46">
        <v>281.5</v>
      </c>
      <c r="D14" s="46">
        <v>281.5</v>
      </c>
      <c r="E14" s="46">
        <f>Moradia[[#This Row],[Estimado
custo]]-Moradia[[#This Row],[Real 
custo]]</f>
        <v>0</v>
      </c>
      <c r="F14" s="3"/>
      <c r="G14" s="28" t="s">
        <v>122</v>
      </c>
      <c r="H14" s="47">
        <v>14.9</v>
      </c>
      <c r="I14" s="47">
        <f>Entretenimento[[#This Row],[Estimado 
custo]]</f>
        <v>14.9</v>
      </c>
      <c r="J14" s="47">
        <f>Entretenimento[[#This Row],[Estimado 
custo]]-Entretenimento[[#This Row],[Real 
custo]]</f>
        <v>0</v>
      </c>
    </row>
    <row r="15" spans="1:10" ht="30" customHeight="1">
      <c r="B15" s="27" t="s">
        <v>113</v>
      </c>
      <c r="C15" s="46">
        <v>149.9</v>
      </c>
      <c r="D15" s="46">
        <v>149.9</v>
      </c>
      <c r="E15" s="46">
        <f>Moradia[[#This Row],[Estimado
custo]]-Moradia[[#This Row],[Real 
custo]]</f>
        <v>0</v>
      </c>
      <c r="F15" s="3"/>
      <c r="G15" s="28" t="s">
        <v>121</v>
      </c>
      <c r="H15" s="47">
        <v>21.9</v>
      </c>
      <c r="I15" s="47">
        <f>Entretenimento[[#This Row],[Estimado 
custo]]</f>
        <v>21.9</v>
      </c>
      <c r="J15" s="47">
        <f>Entretenimento[[#This Row],[Estimado 
custo]]-Entretenimento[[#This Row],[Real 
custo]]</f>
        <v>0</v>
      </c>
    </row>
    <row r="16" spans="1:10" ht="30" customHeight="1">
      <c r="B16" s="27" t="s">
        <v>112</v>
      </c>
      <c r="C16" s="46">
        <v>380</v>
      </c>
      <c r="D16" s="46">
        <v>364.25</v>
      </c>
      <c r="E16" s="46">
        <f>Moradia[[#This Row],[Estimado
custo]]-Moradia[[#This Row],[Real 
custo]]</f>
        <v>15.75</v>
      </c>
      <c r="F16" s="3"/>
      <c r="G16" s="28" t="s">
        <v>124</v>
      </c>
      <c r="H16" s="47"/>
      <c r="I16" s="47">
        <f>Entretenimento[[#This Row],[Estimado 
custo]]</f>
        <v>0</v>
      </c>
      <c r="J16" s="47">
        <f>Entretenimento[[#This Row],[Estimado 
custo]]-Entretenimento[[#This Row],[Real 
custo]]</f>
        <v>0</v>
      </c>
    </row>
    <row r="17" spans="1:10" ht="30" customHeight="1">
      <c r="B17" s="27" t="s">
        <v>13</v>
      </c>
      <c r="C17" s="46">
        <v>125</v>
      </c>
      <c r="D17" s="46">
        <v>0</v>
      </c>
      <c r="E17" s="46">
        <f>Moradia[[#This Row],[Estimado
custo]]-Moradia[[#This Row],[Real 
custo]]</f>
        <v>125</v>
      </c>
      <c r="F17" s="3"/>
      <c r="G17" s="28" t="s">
        <v>125</v>
      </c>
      <c r="H17" s="47"/>
      <c r="I17" s="47">
        <f>Entretenimento[[#This Row],[Estimado 
custo]]</f>
        <v>0</v>
      </c>
      <c r="J17" s="47">
        <f>Entretenimento[[#This Row],[Estimado 
custo]]-Entretenimento[[#This Row],[Real 
custo]]</f>
        <v>0</v>
      </c>
    </row>
    <row r="18" spans="1:10" ht="30" customHeight="1">
      <c r="B18" s="27" t="s">
        <v>115</v>
      </c>
      <c r="C18" s="46">
        <v>225</v>
      </c>
      <c r="D18" s="46">
        <v>225</v>
      </c>
      <c r="E18" s="46">
        <f>Moradia[[#This Row],[Estimado
custo]]-Moradia[[#This Row],[Real 
custo]]</f>
        <v>0</v>
      </c>
      <c r="F18" s="3"/>
      <c r="G18" s="28" t="s">
        <v>126</v>
      </c>
      <c r="H18" s="102"/>
      <c r="I18" s="102">
        <f>Entretenimento[[#This Row],[Estimado 
custo]]</f>
        <v>0</v>
      </c>
      <c r="J18" s="102">
        <f>Entretenimento[[#This Row],[Estimado 
custo]]-Entretenimento[[#This Row],[Real 
custo]]</f>
        <v>0</v>
      </c>
    </row>
    <row r="19" spans="1:10" ht="30" customHeight="1">
      <c r="B19" s="27" t="s">
        <v>116</v>
      </c>
      <c r="C19" s="46">
        <v>115</v>
      </c>
      <c r="D19" s="46">
        <v>109.71</v>
      </c>
      <c r="E19" s="46">
        <f>Moradia[[#This Row],[Estimado
custo]]-Moradia[[#This Row],[Real 
custo]]</f>
        <v>5.2900000000000063</v>
      </c>
      <c r="F19" s="3"/>
      <c r="G19" s="28" t="s">
        <v>127</v>
      </c>
      <c r="H19" s="47"/>
      <c r="I19" s="47">
        <f>Entretenimento[[#This Row],[Estimado 
custo]]</f>
        <v>0</v>
      </c>
      <c r="J19" s="47">
        <f>Entretenimento[[#This Row],[Estimado 
custo]]-Entretenimento[[#This Row],[Real 
custo]]</f>
        <v>0</v>
      </c>
    </row>
    <row r="20" spans="1:10" ht="30" customHeight="1">
      <c r="B20" s="27" t="s">
        <v>117</v>
      </c>
      <c r="C20" s="46">
        <v>49.9</v>
      </c>
      <c r="D20" s="46">
        <v>42.28</v>
      </c>
      <c r="E20" s="46">
        <f>Moradia[[#This Row],[Estimado
custo]]-Moradia[[#This Row],[Real 
custo]]</f>
        <v>7.6199999999999974</v>
      </c>
      <c r="F20" s="3"/>
      <c r="G20" s="28" t="s">
        <v>118</v>
      </c>
      <c r="H20" s="47"/>
      <c r="I20" s="47">
        <f>Entretenimento[[#This Row],[Estimado 
custo]]</f>
        <v>0</v>
      </c>
      <c r="J20" s="47">
        <f>Entretenimento[[#This Row],[Estimado 
custo]]-Entretenimento[[#This Row],[Real 
custo]]</f>
        <v>0</v>
      </c>
    </row>
    <row r="21" spans="1:10" ht="30" customHeight="1">
      <c r="B21" s="99"/>
      <c r="C21" s="46"/>
      <c r="D21" s="46"/>
      <c r="E21" s="46">
        <f>Moradia[[#This Row],[Estimado
custo]]-Moradia[[#This Row],[Real 
custo]]</f>
        <v>0</v>
      </c>
      <c r="F21" s="3"/>
      <c r="G21" s="28" t="s">
        <v>41</v>
      </c>
      <c r="H21" s="47"/>
      <c r="I21" s="47">
        <f>Entretenimento[[#This Row],[Estimado 
custo]]</f>
        <v>0</v>
      </c>
      <c r="J21" s="47">
        <f>Entretenimento[[#This Row],[Estimado 
custo]]-Entretenimento[[#This Row],[Real 
custo]]</f>
        <v>0</v>
      </c>
    </row>
    <row r="22" spans="1:10" ht="30" customHeight="1">
      <c r="B22" s="27"/>
      <c r="C22" s="46">
        <v>0</v>
      </c>
      <c r="D22" s="46">
        <v>0</v>
      </c>
      <c r="E22" s="46">
        <f>Moradia[[#This Row],[Estimado
custo]]-Moradia[[#This Row],[Real 
custo]]</f>
        <v>0</v>
      </c>
      <c r="F22" s="3"/>
      <c r="G22" s="28" t="s">
        <v>42</v>
      </c>
      <c r="H22" s="47"/>
      <c r="I22" s="47">
        <f>Entretenimento[[#This Row],[Estimado 
custo]]</f>
        <v>0</v>
      </c>
      <c r="J22" s="47">
        <f>Entretenimento[[#This Row],[Estimado 
custo]]-Entretenimento[[#This Row],[Real 
custo]]</f>
        <v>0</v>
      </c>
    </row>
    <row r="23" spans="1:10" ht="30" customHeight="1">
      <c r="B23" s="27"/>
      <c r="C23" s="46">
        <v>0</v>
      </c>
      <c r="D23" s="46">
        <v>0</v>
      </c>
      <c r="E23" s="46">
        <f>Moradia[[#This Row],[Estimado
custo]]-Moradia[[#This Row],[Real 
custo]]</f>
        <v>0</v>
      </c>
      <c r="F23" s="3"/>
      <c r="G23" s="28" t="s">
        <v>43</v>
      </c>
      <c r="H23" s="47"/>
      <c r="I23" s="47">
        <f>Entretenimento[[#This Row],[Estimado 
custo]]</f>
        <v>0</v>
      </c>
      <c r="J23" s="47">
        <f>Entretenimento[[#This Row],[Estimado 
custo]]-Entretenimento[[#This Row],[Real 
custo]]</f>
        <v>0</v>
      </c>
    </row>
    <row r="24" spans="1:10" ht="30" customHeight="1">
      <c r="B24" s="50" t="s">
        <v>15</v>
      </c>
      <c r="C24" s="54"/>
      <c r="D24" s="54"/>
      <c r="E24" s="46">
        <f>SUBTOTAL(109,Moradia[Diferença])</f>
        <v>153.66000000000003</v>
      </c>
      <c r="F24" s="3"/>
      <c r="G24" s="29" t="s">
        <v>15</v>
      </c>
      <c r="H24" s="48"/>
      <c r="I24" s="48"/>
      <c r="J24" s="49">
        <f>SUBTOTAL(109,Entretenimento[Diferença])</f>
        <v>0</v>
      </c>
    </row>
    <row r="25" spans="1:10" ht="37.9" customHeight="1">
      <c r="B25" s="31"/>
      <c r="C25" s="55"/>
      <c r="D25" s="55"/>
      <c r="E25" s="55"/>
      <c r="F25" s="3"/>
      <c r="G25" s="30"/>
      <c r="H25" s="30"/>
      <c r="I25" s="30"/>
      <c r="J25" s="30"/>
    </row>
    <row r="26" spans="1:10" s="2" customFormat="1" ht="30" customHeight="1">
      <c r="A26" s="107"/>
      <c r="B26" s="72" t="s">
        <v>16</v>
      </c>
      <c r="C26" s="73"/>
      <c r="D26" s="73"/>
      <c r="E26" s="73"/>
      <c r="F26" s="32"/>
      <c r="G26" s="30"/>
      <c r="H26" s="30"/>
      <c r="I26" s="30"/>
      <c r="J26" s="30"/>
    </row>
    <row r="27" spans="1:10" ht="48" customHeight="1">
      <c r="B27" s="33" t="s">
        <v>12</v>
      </c>
      <c r="C27" s="25" t="s">
        <v>36</v>
      </c>
      <c r="D27" s="25" t="s">
        <v>37</v>
      </c>
      <c r="E27" s="26" t="s">
        <v>39</v>
      </c>
      <c r="F27" s="3"/>
      <c r="G27" s="74" t="s">
        <v>44</v>
      </c>
      <c r="H27" s="74"/>
      <c r="I27" s="74"/>
      <c r="J27" s="74"/>
    </row>
    <row r="28" spans="1:10" ht="30" customHeight="1">
      <c r="B28" s="28" t="s">
        <v>119</v>
      </c>
      <c r="C28" s="47">
        <v>100</v>
      </c>
      <c r="D28" s="47"/>
      <c r="E28" s="47">
        <f>Transporte[[#This Row],[Estimado 
custo]]-Transporte[[#This Row],[Real 
custo]]</f>
        <v>100</v>
      </c>
      <c r="F28" s="3"/>
      <c r="G28" s="34" t="s">
        <v>12</v>
      </c>
      <c r="H28" s="25" t="s">
        <v>36</v>
      </c>
      <c r="I28" s="25" t="s">
        <v>37</v>
      </c>
      <c r="J28" s="26" t="s">
        <v>39</v>
      </c>
    </row>
    <row r="29" spans="1:10" ht="30" customHeight="1">
      <c r="B29" s="28" t="s">
        <v>120</v>
      </c>
      <c r="C29" s="47"/>
      <c r="D29" s="47"/>
      <c r="E29" s="47">
        <f>Transporte[[#This Row],[Estimado 
custo]]-Transporte[[#This Row],[Real 
custo]]</f>
        <v>0</v>
      </c>
      <c r="F29" s="3"/>
      <c r="G29" s="28" t="s">
        <v>128</v>
      </c>
      <c r="H29" s="47">
        <v>1375.16</v>
      </c>
      <c r="I29" s="47">
        <v>1375.16</v>
      </c>
      <c r="J29" s="47">
        <f>Empréstimos[[#This Row],[Estimado 
custo]]-Empréstimos[[#This Row],[Real 
custo]]</f>
        <v>0</v>
      </c>
    </row>
    <row r="30" spans="1:10" ht="30" customHeight="1">
      <c r="B30" s="28" t="s">
        <v>123</v>
      </c>
      <c r="C30" s="47">
        <v>36.9</v>
      </c>
      <c r="D30" s="47">
        <f>Transporte[[#This Row],[Estimado 
custo]]</f>
        <v>36.9</v>
      </c>
      <c r="E30" s="47">
        <f>Transporte[[#This Row],[Estimado 
custo]]-Transporte[[#This Row],[Real 
custo]]</f>
        <v>0</v>
      </c>
      <c r="F30" s="3"/>
      <c r="G30" s="28" t="s">
        <v>129</v>
      </c>
      <c r="H30" s="47">
        <v>550</v>
      </c>
      <c r="I30" s="47">
        <v>519.32000000000005</v>
      </c>
      <c r="J30" s="47">
        <f>Empréstimos[[#This Row],[Estimado 
custo]]-Empréstimos[[#This Row],[Real 
custo]]</f>
        <v>30.67999999999995</v>
      </c>
    </row>
    <row r="31" spans="1:10" ht="30" customHeight="1">
      <c r="B31" s="28"/>
      <c r="C31" s="47"/>
      <c r="D31" s="47"/>
      <c r="E31" s="47">
        <f>Transporte[[#This Row],[Estimado 
custo]]-Transporte[[#This Row],[Real 
custo]]</f>
        <v>0</v>
      </c>
      <c r="F31" s="3"/>
      <c r="G31" s="28" t="s">
        <v>130</v>
      </c>
      <c r="H31" s="47">
        <v>111.99</v>
      </c>
      <c r="I31" s="47">
        <v>111.99</v>
      </c>
      <c r="J31" s="47">
        <f>Empréstimos[[#This Row],[Estimado 
custo]]-Empréstimos[[#This Row],[Real 
custo]]</f>
        <v>0</v>
      </c>
    </row>
    <row r="32" spans="1:10" ht="30" customHeight="1">
      <c r="B32" s="28" t="s">
        <v>17</v>
      </c>
      <c r="C32" s="47"/>
      <c r="D32" s="47"/>
      <c r="E32" s="47">
        <f>Transporte[[#This Row],[Estimado 
custo]]-Transporte[[#This Row],[Real 
custo]]</f>
        <v>0</v>
      </c>
      <c r="F32" s="3"/>
      <c r="G32" s="28" t="s">
        <v>45</v>
      </c>
      <c r="H32" s="47"/>
      <c r="I32" s="47"/>
      <c r="J32" s="47">
        <f>Empréstimos[[#This Row],[Estimado 
custo]]-Empréstimos[[#This Row],[Real 
custo]]</f>
        <v>0</v>
      </c>
    </row>
    <row r="33" spans="1:10" ht="30" customHeight="1">
      <c r="B33" s="28" t="s">
        <v>18</v>
      </c>
      <c r="C33" s="47"/>
      <c r="D33" s="47"/>
      <c r="E33" s="47">
        <f>Transporte[[#This Row],[Estimado 
custo]]-Transporte[[#This Row],[Real 
custo]]</f>
        <v>0</v>
      </c>
      <c r="F33" s="3"/>
      <c r="G33" s="28" t="s">
        <v>45</v>
      </c>
      <c r="H33" s="47"/>
      <c r="I33" s="47"/>
      <c r="J33" s="47">
        <f>Empréstimos[[#This Row],[Estimado 
custo]]-Empréstimos[[#This Row],[Real 
custo]]</f>
        <v>0</v>
      </c>
    </row>
    <row r="34" spans="1:10" ht="30" customHeight="1">
      <c r="B34" s="28" t="s">
        <v>19</v>
      </c>
      <c r="C34" s="47"/>
      <c r="D34" s="47"/>
      <c r="E34" s="47">
        <f>Transporte[[#This Row],[Estimado 
custo]]-Transporte[[#This Row],[Real 
custo]]</f>
        <v>0</v>
      </c>
      <c r="F34" s="3"/>
      <c r="G34" s="101"/>
      <c r="H34" s="102"/>
      <c r="I34" s="102"/>
      <c r="J34" s="102">
        <f>Empréstimos[[#This Row],[Estimado 
custo]]-Empréstimos[[#This Row],[Real 
custo]]</f>
        <v>0</v>
      </c>
    </row>
    <row r="35" spans="1:10" ht="30" customHeight="1">
      <c r="B35" s="28" t="s">
        <v>20</v>
      </c>
      <c r="C35" s="47"/>
      <c r="D35" s="47"/>
      <c r="E35" s="47">
        <f>Transporte[[#This Row],[Estimado 
custo]]-Transporte[[#This Row],[Real 
custo]]</f>
        <v>0</v>
      </c>
      <c r="F35" s="3"/>
      <c r="G35" s="101"/>
      <c r="H35" s="102"/>
      <c r="I35" s="102"/>
      <c r="J35" s="102">
        <f>Empréstimos[[#This Row],[Estimado 
custo]]-Empréstimos[[#This Row],[Real 
custo]]</f>
        <v>0</v>
      </c>
    </row>
    <row r="36" spans="1:10" ht="37.9" customHeight="1">
      <c r="B36" s="28" t="s">
        <v>21</v>
      </c>
      <c r="C36" s="47"/>
      <c r="D36" s="47"/>
      <c r="E36" s="47">
        <f>Transporte[[#This Row],[Estimado 
custo]]-Transporte[[#This Row],[Real 
custo]]</f>
        <v>0</v>
      </c>
      <c r="F36" s="3"/>
      <c r="G36" s="28" t="s">
        <v>14</v>
      </c>
      <c r="H36" s="47"/>
      <c r="I36" s="47"/>
      <c r="J36" s="47">
        <f>Empréstimos[[#This Row],[Estimado 
custo]]-Empréstimos[[#This Row],[Real 
custo]]</f>
        <v>0</v>
      </c>
    </row>
    <row r="37" spans="1:10" s="2" customFormat="1" ht="30" customHeight="1">
      <c r="A37" s="107"/>
      <c r="B37" s="29" t="s">
        <v>15</v>
      </c>
      <c r="C37" s="51"/>
      <c r="D37" s="51"/>
      <c r="E37" s="49">
        <f>SUBTOTAL(109,Transporte[Diferença])</f>
        <v>100</v>
      </c>
      <c r="F37" s="32"/>
      <c r="G37" s="29" t="s">
        <v>15</v>
      </c>
      <c r="H37" s="51"/>
      <c r="I37" s="51"/>
      <c r="J37" s="49">
        <f>SUBTOTAL(109,Empréstimos[Diferença])</f>
        <v>30.67999999999995</v>
      </c>
    </row>
    <row r="38" spans="1:10" ht="48" customHeight="1">
      <c r="B38" s="35"/>
      <c r="C38" s="56"/>
      <c r="D38" s="56"/>
      <c r="E38" s="55"/>
      <c r="F38" s="3"/>
      <c r="G38" s="31"/>
      <c r="H38" s="57"/>
      <c r="I38" s="57"/>
      <c r="J38" s="57"/>
    </row>
    <row r="39" spans="1:10" ht="30" customHeight="1">
      <c r="B39" s="74" t="s">
        <v>18</v>
      </c>
      <c r="C39" s="75"/>
      <c r="D39" s="75"/>
      <c r="E39" s="75"/>
      <c r="F39" s="3"/>
      <c r="G39" s="64"/>
      <c r="H39" s="64"/>
      <c r="I39" s="64"/>
      <c r="J39" s="64"/>
    </row>
    <row r="40" spans="1:10" ht="30" customHeight="1">
      <c r="B40" s="34" t="s">
        <v>12</v>
      </c>
      <c r="C40" s="25" t="s">
        <v>35</v>
      </c>
      <c r="D40" s="25" t="s">
        <v>37</v>
      </c>
      <c r="E40" s="26" t="s">
        <v>39</v>
      </c>
      <c r="F40" s="3"/>
      <c r="G40" s="74" t="s">
        <v>46</v>
      </c>
      <c r="H40" s="75"/>
      <c r="I40" s="75"/>
      <c r="J40" s="75"/>
    </row>
    <row r="41" spans="1:10" ht="30" customHeight="1">
      <c r="B41" s="28" t="s">
        <v>22</v>
      </c>
      <c r="C41" s="47"/>
      <c r="D41" s="47"/>
      <c r="E41" s="47">
        <f>Seguro[[#This Row],[Estimado
custo]]-Seguro[[#This Row],[Real 
custo]]</f>
        <v>0</v>
      </c>
      <c r="F41" s="3"/>
      <c r="G41" s="24" t="s">
        <v>12</v>
      </c>
      <c r="H41" s="25" t="s">
        <v>36</v>
      </c>
      <c r="I41" s="25" t="s">
        <v>37</v>
      </c>
      <c r="J41" s="26" t="s">
        <v>39</v>
      </c>
    </row>
    <row r="42" spans="1:10" ht="30" customHeight="1">
      <c r="B42" s="28" t="s">
        <v>23</v>
      </c>
      <c r="C42" s="47"/>
      <c r="D42" s="47"/>
      <c r="E42" s="47">
        <f>Seguro[[#This Row],[Estimado
custo]]-Seguro[[#This Row],[Real 
custo]]</f>
        <v>0</v>
      </c>
      <c r="F42" s="3"/>
      <c r="G42" s="28" t="s">
        <v>47</v>
      </c>
      <c r="H42" s="47"/>
      <c r="I42" s="47"/>
      <c r="J42" s="47">
        <f>Impostos[[#This Row],[Estimado 
custo]]-Impostos[[#This Row],[Real 
custo]]</f>
        <v>0</v>
      </c>
    </row>
    <row r="43" spans="1:10" ht="30" customHeight="1">
      <c r="B43" s="28" t="s">
        <v>24</v>
      </c>
      <c r="C43" s="47"/>
      <c r="D43" s="47"/>
      <c r="E43" s="47">
        <f>Seguro[[#This Row],[Estimado
custo]]-Seguro[[#This Row],[Real 
custo]]</f>
        <v>0</v>
      </c>
      <c r="F43" s="3"/>
      <c r="G43" s="28" t="s">
        <v>48</v>
      </c>
      <c r="H43" s="47"/>
      <c r="I43" s="47"/>
      <c r="J43" s="47">
        <f>Impostos[[#This Row],[Estimado 
custo]]-Impostos[[#This Row],[Real 
custo]]</f>
        <v>0</v>
      </c>
    </row>
    <row r="44" spans="1:10" ht="37.9" customHeight="1">
      <c r="B44" s="28" t="s">
        <v>14</v>
      </c>
      <c r="C44" s="47"/>
      <c r="D44" s="47"/>
      <c r="E44" s="47">
        <f>Seguro[[#This Row],[Estimado
custo]]-Seguro[[#This Row],[Real 
custo]]</f>
        <v>0</v>
      </c>
      <c r="F44" s="3"/>
      <c r="G44" s="28" t="s">
        <v>49</v>
      </c>
      <c r="H44" s="47"/>
      <c r="I44" s="47"/>
      <c r="J44" s="47">
        <f>Impostos[[#This Row],[Estimado 
custo]]-Impostos[[#This Row],[Real 
custo]]</f>
        <v>0</v>
      </c>
    </row>
    <row r="45" spans="1:10" s="2" customFormat="1" ht="30" customHeight="1">
      <c r="A45" s="107"/>
      <c r="B45" s="29" t="s">
        <v>15</v>
      </c>
      <c r="C45" s="52"/>
      <c r="D45" s="52"/>
      <c r="E45" s="49">
        <f>SUBTOTAL(109,Seguro[Diferença])</f>
        <v>0</v>
      </c>
      <c r="F45" s="32"/>
      <c r="G45" s="28" t="s">
        <v>14</v>
      </c>
      <c r="H45" s="47"/>
      <c r="I45" s="47"/>
      <c r="J45" s="47">
        <f>Impostos[[#This Row],[Estimado 
custo]]-Impostos[[#This Row],[Real 
custo]]</f>
        <v>0</v>
      </c>
    </row>
    <row r="46" spans="1:10" ht="49.9" customHeight="1">
      <c r="B46" s="36"/>
      <c r="C46" s="58"/>
      <c r="D46" s="58"/>
      <c r="E46" s="47"/>
      <c r="F46" s="3"/>
      <c r="G46" s="29" t="s">
        <v>15</v>
      </c>
      <c r="H46" s="51"/>
      <c r="I46" s="51"/>
      <c r="J46" s="49">
        <f>SUBTOTAL(109,Impostos[Diferença])</f>
        <v>0</v>
      </c>
    </row>
    <row r="47" spans="1:10" ht="30" customHeight="1">
      <c r="B47" s="72" t="s">
        <v>25</v>
      </c>
      <c r="C47" s="73"/>
      <c r="D47" s="73"/>
      <c r="E47" s="73"/>
      <c r="F47" s="3"/>
      <c r="G47" s="30"/>
      <c r="H47" s="30"/>
      <c r="I47" s="30"/>
      <c r="J47" s="30"/>
    </row>
    <row r="48" spans="1:10" ht="30" customHeight="1">
      <c r="B48" s="37" t="s">
        <v>12</v>
      </c>
      <c r="C48" s="25" t="s">
        <v>36</v>
      </c>
      <c r="D48" s="25" t="s">
        <v>37</v>
      </c>
      <c r="E48" s="26" t="s">
        <v>39</v>
      </c>
      <c r="F48" s="3"/>
      <c r="G48" s="74" t="s">
        <v>50</v>
      </c>
      <c r="H48" s="75"/>
      <c r="I48" s="75"/>
      <c r="J48" s="75"/>
    </row>
    <row r="49" spans="1:10" ht="30" customHeight="1">
      <c r="B49" s="28" t="s">
        <v>131</v>
      </c>
      <c r="C49" s="47">
        <v>250</v>
      </c>
      <c r="D49" s="47">
        <v>300</v>
      </c>
      <c r="E49" s="47">
        <f>Alimentação[[#This Row],[Estimado 
custo]]-Alimentação[[#This Row],[Real 
custo]]</f>
        <v>-50</v>
      </c>
      <c r="F49" s="3"/>
      <c r="G49" s="24" t="s">
        <v>12</v>
      </c>
      <c r="H49" s="25" t="s">
        <v>36</v>
      </c>
      <c r="I49" s="25" t="s">
        <v>37</v>
      </c>
      <c r="J49" s="26" t="s">
        <v>39</v>
      </c>
    </row>
    <row r="50" spans="1:10" ht="30" customHeight="1">
      <c r="B50" s="28" t="s">
        <v>26</v>
      </c>
      <c r="C50" s="47"/>
      <c r="D50" s="47"/>
      <c r="E50" s="47">
        <f>Alimentação[[#This Row],[Estimado 
custo]]-Alimentação[[#This Row],[Real 
custo]]</f>
        <v>0</v>
      </c>
      <c r="F50" s="3"/>
      <c r="G50" s="28" t="s">
        <v>51</v>
      </c>
      <c r="H50" s="47"/>
      <c r="I50" s="47"/>
      <c r="J50" s="47">
        <f>Poupança[[#This Row],[Estimado 
custo]]-Poupança[[#This Row],[Real 
custo]]</f>
        <v>0</v>
      </c>
    </row>
    <row r="51" spans="1:10" ht="37.9" customHeight="1">
      <c r="B51" s="28" t="s">
        <v>14</v>
      </c>
      <c r="C51" s="47"/>
      <c r="D51" s="47"/>
      <c r="E51" s="47">
        <f>Alimentação[[#This Row],[Estimado 
custo]]-Alimentação[[#This Row],[Real 
custo]]</f>
        <v>0</v>
      </c>
      <c r="F51" s="3"/>
      <c r="G51" s="28" t="s">
        <v>52</v>
      </c>
      <c r="H51" s="47">
        <v>500</v>
      </c>
      <c r="I51" s="47"/>
      <c r="J51" s="47">
        <f>Poupança[[#This Row],[Estimado 
custo]]-Poupança[[#This Row],[Real 
custo]]</f>
        <v>500</v>
      </c>
    </row>
    <row r="52" spans="1:10" s="2" customFormat="1" ht="30" customHeight="1">
      <c r="A52" s="107"/>
      <c r="B52" s="29" t="s">
        <v>15</v>
      </c>
      <c r="C52" s="52"/>
      <c r="D52" s="52"/>
      <c r="E52" s="49">
        <f>SUBTOTAL(109,Alimentação[Diferença])</f>
        <v>-50</v>
      </c>
      <c r="F52" s="32"/>
      <c r="G52" s="28" t="s">
        <v>14</v>
      </c>
      <c r="H52" s="47"/>
      <c r="I52" s="47"/>
      <c r="J52" s="47">
        <f>Poupança[[#This Row],[Estimado 
custo]]-Poupança[[#This Row],[Real 
custo]]</f>
        <v>0</v>
      </c>
    </row>
    <row r="53" spans="1:10" ht="48" customHeight="1">
      <c r="B53" s="38"/>
      <c r="C53" s="57"/>
      <c r="D53" s="57"/>
      <c r="E53" s="57"/>
      <c r="F53" s="3"/>
      <c r="G53" s="29" t="s">
        <v>15</v>
      </c>
      <c r="H53" s="51"/>
      <c r="I53" s="51"/>
      <c r="J53" s="49">
        <f>SUBTOTAL(109,Poupança[Diferença])</f>
        <v>500</v>
      </c>
    </row>
    <row r="54" spans="1:10" ht="30" customHeight="1">
      <c r="B54" s="72" t="s">
        <v>27</v>
      </c>
      <c r="C54" s="73"/>
      <c r="D54" s="73"/>
      <c r="E54" s="73"/>
      <c r="F54" s="3"/>
      <c r="G54" s="39"/>
      <c r="H54" s="59"/>
      <c r="I54" s="59"/>
      <c r="J54" s="59"/>
    </row>
    <row r="55" spans="1:10" ht="30" customHeight="1">
      <c r="B55" s="40" t="s">
        <v>12</v>
      </c>
      <c r="C55" s="25" t="s">
        <v>36</v>
      </c>
      <c r="D55" s="25" t="s">
        <v>37</v>
      </c>
      <c r="E55" s="26" t="s">
        <v>39</v>
      </c>
      <c r="F55" s="3"/>
      <c r="G55" s="74" t="s">
        <v>53</v>
      </c>
      <c r="H55" s="75"/>
      <c r="I55" s="75"/>
      <c r="J55" s="75"/>
    </row>
    <row r="56" spans="1:10" ht="30" customHeight="1">
      <c r="B56" s="28" t="s">
        <v>25</v>
      </c>
      <c r="C56" s="47"/>
      <c r="D56" s="47"/>
      <c r="E56" s="47">
        <f>Animais_de_estimação[[#This Row],[Estimado 
custo]]-Animais_de_estimação[[#This Row],[Real 
custo]]</f>
        <v>0</v>
      </c>
      <c r="F56" s="3"/>
      <c r="G56" s="34" t="s">
        <v>12</v>
      </c>
      <c r="H56" s="25" t="s">
        <v>36</v>
      </c>
      <c r="I56" s="25" t="s">
        <v>37</v>
      </c>
      <c r="J56" s="26" t="s">
        <v>39</v>
      </c>
    </row>
    <row r="57" spans="1:10" ht="30" customHeight="1">
      <c r="B57" s="28" t="s">
        <v>132</v>
      </c>
      <c r="C57" s="47"/>
      <c r="D57" s="47"/>
      <c r="E57" s="47">
        <f>Animais_de_estimação[[#This Row],[Estimado 
custo]]-Animais_de_estimação[[#This Row],[Real 
custo]]</f>
        <v>0</v>
      </c>
      <c r="F57" s="3"/>
      <c r="G57" s="28" t="s">
        <v>54</v>
      </c>
      <c r="H57" s="47"/>
      <c r="I57" s="47"/>
      <c r="J57" s="47">
        <f>Presentes[[#This Row],[Estimado 
custo]]-Presentes[[#This Row],[Real 
custo]]</f>
        <v>0</v>
      </c>
    </row>
    <row r="58" spans="1:10" ht="30" customHeight="1">
      <c r="B58" s="28" t="s">
        <v>29</v>
      </c>
      <c r="C58" s="47"/>
      <c r="D58" s="47"/>
      <c r="E58" s="47">
        <f>Animais_de_estimação[[#This Row],[Estimado 
custo]]-Animais_de_estimação[[#This Row],[Real 
custo]]</f>
        <v>0</v>
      </c>
      <c r="F58" s="3"/>
      <c r="G58" s="28" t="s">
        <v>55</v>
      </c>
      <c r="H58" s="47"/>
      <c r="I58" s="47"/>
      <c r="J58" s="47">
        <f>Presentes[[#This Row],[Estimado 
custo]]-Presentes[[#This Row],[Real 
custo]]</f>
        <v>0</v>
      </c>
    </row>
    <row r="59" spans="1:10" ht="30" customHeight="1">
      <c r="B59" s="28" t="s">
        <v>30</v>
      </c>
      <c r="C59" s="47"/>
      <c r="D59" s="47"/>
      <c r="E59" s="47">
        <f>Animais_de_estimação[[#This Row],[Estimado 
custo]]-Animais_de_estimação[[#This Row],[Real 
custo]]</f>
        <v>0</v>
      </c>
      <c r="F59" s="3"/>
      <c r="G59" s="28" t="s">
        <v>56</v>
      </c>
      <c r="H59" s="47"/>
      <c r="I59" s="47"/>
      <c r="J59" s="47">
        <f>Presentes[[#This Row],[Estimado 
custo]]-Presentes[[#This Row],[Real 
custo]]</f>
        <v>0</v>
      </c>
    </row>
    <row r="60" spans="1:10" ht="37.9" customHeight="1">
      <c r="B60" s="28" t="s">
        <v>14</v>
      </c>
      <c r="C60" s="47"/>
      <c r="D60" s="47"/>
      <c r="E60" s="47">
        <f>Animais_de_estimação[[#This Row],[Estimado 
custo]]-Animais_de_estimação[[#This Row],[Real 
custo]]</f>
        <v>0</v>
      </c>
      <c r="F60" s="3"/>
      <c r="G60" s="29" t="s">
        <v>15</v>
      </c>
      <c r="H60" s="52"/>
      <c r="I60" s="52"/>
      <c r="J60" s="49">
        <f>SUBTOTAL(109,Presentes[Diferença])</f>
        <v>0</v>
      </c>
    </row>
    <row r="61" spans="1:10" s="2" customFormat="1" ht="30" customHeight="1">
      <c r="A61" s="107"/>
      <c r="B61" s="29" t="s">
        <v>15</v>
      </c>
      <c r="C61" s="53"/>
      <c r="D61" s="53"/>
      <c r="E61" s="53">
        <f>SUBTOTAL(109,Animais_de_estimação[Diferença])</f>
        <v>0</v>
      </c>
      <c r="F61" s="32"/>
      <c r="G61" s="31"/>
      <c r="H61" s="56"/>
      <c r="I61" s="56"/>
      <c r="J61" s="55"/>
    </row>
    <row r="62" spans="1:10" ht="48" customHeight="1">
      <c r="B62" s="35"/>
      <c r="C62" s="60"/>
      <c r="D62" s="60"/>
      <c r="E62" s="60"/>
      <c r="F62" s="3"/>
      <c r="G62" s="31"/>
      <c r="H62" s="56"/>
      <c r="I62" s="56"/>
      <c r="J62" s="55"/>
    </row>
    <row r="63" spans="1:10" ht="30" customHeight="1">
      <c r="B63" s="81" t="s">
        <v>31</v>
      </c>
      <c r="C63" s="82"/>
      <c r="D63" s="82"/>
      <c r="E63" s="82"/>
      <c r="F63" s="3"/>
      <c r="G63" s="41"/>
      <c r="H63" s="56"/>
      <c r="I63" s="56"/>
      <c r="J63" s="56"/>
    </row>
    <row r="64" spans="1:10" ht="30" customHeight="1">
      <c r="B64" s="24" t="s">
        <v>12</v>
      </c>
      <c r="C64" s="25" t="s">
        <v>36</v>
      </c>
      <c r="D64" s="25" t="s">
        <v>37</v>
      </c>
      <c r="E64" s="26" t="s">
        <v>39</v>
      </c>
      <c r="F64" s="3"/>
      <c r="G64" s="72" t="s">
        <v>57</v>
      </c>
      <c r="H64" s="73"/>
      <c r="I64" s="73"/>
      <c r="J64" s="73"/>
    </row>
    <row r="65" spans="2:10" ht="30" customHeight="1">
      <c r="B65" s="28" t="s">
        <v>28</v>
      </c>
      <c r="C65" s="47"/>
      <c r="D65" s="47"/>
      <c r="E65" s="47">
        <f>CuidadosPessoais[[#This Row],[Estimado 
custo]]-CuidadosPessoais[[#This Row],[Real 
custo]]</f>
        <v>0</v>
      </c>
      <c r="F65" s="3"/>
      <c r="G65" s="42" t="s">
        <v>58</v>
      </c>
      <c r="H65" s="25" t="s">
        <v>36</v>
      </c>
      <c r="I65" s="25" t="s">
        <v>37</v>
      </c>
      <c r="J65" s="26" t="s">
        <v>39</v>
      </c>
    </row>
    <row r="66" spans="2:10" ht="30" customHeight="1">
      <c r="B66" s="28" t="s">
        <v>133</v>
      </c>
      <c r="C66" s="47"/>
      <c r="D66" s="47"/>
      <c r="E66" s="47">
        <f>CuidadosPessoais[[#This Row],[Estimado 
custo]]-CuidadosPessoais[[#This Row],[Real 
custo]]</f>
        <v>0</v>
      </c>
      <c r="F66" s="3"/>
      <c r="G66" s="28" t="s">
        <v>59</v>
      </c>
      <c r="H66" s="47"/>
      <c r="I66" s="47"/>
      <c r="J66" s="47">
        <f>Assessoria_jurídica[[#This Row],[Estimado 
custo]]-Assessoria_jurídica[[#This Row],[Real 
custo]]</f>
        <v>0</v>
      </c>
    </row>
    <row r="67" spans="2:10" ht="30" customHeight="1">
      <c r="B67" s="28" t="s">
        <v>32</v>
      </c>
      <c r="C67" s="47"/>
      <c r="D67" s="47"/>
      <c r="E67" s="47">
        <f>CuidadosPessoais[[#This Row],[Estimado 
custo]]-CuidadosPessoais[[#This Row],[Real 
custo]]</f>
        <v>0</v>
      </c>
      <c r="F67" s="3"/>
      <c r="G67" s="28" t="s">
        <v>60</v>
      </c>
      <c r="H67" s="47"/>
      <c r="I67" s="47"/>
      <c r="J67" s="47">
        <f>Assessoria_jurídica[[#This Row],[Estimado 
custo]]-Assessoria_jurídica[[#This Row],[Real 
custo]]</f>
        <v>0</v>
      </c>
    </row>
    <row r="68" spans="2:10" ht="30" customHeight="1">
      <c r="B68" s="28" t="s">
        <v>33</v>
      </c>
      <c r="C68" s="47"/>
      <c r="D68" s="47"/>
      <c r="E68" s="47">
        <f>CuidadosPessoais[[#This Row],[Estimado 
custo]]-CuidadosPessoais[[#This Row],[Real 
custo]]</f>
        <v>0</v>
      </c>
      <c r="F68" s="3"/>
      <c r="G68" s="28" t="s">
        <v>61</v>
      </c>
      <c r="H68" s="47"/>
      <c r="I68" s="47"/>
      <c r="J68" s="47">
        <f>Assessoria_jurídica[[#This Row],[Estimado 
custo]]-Assessoria_jurídica[[#This Row],[Real 
custo]]</f>
        <v>0</v>
      </c>
    </row>
    <row r="69" spans="2:10" ht="30" customHeight="1">
      <c r="B69" s="28"/>
      <c r="C69" s="47"/>
      <c r="D69" s="47"/>
      <c r="E69" s="47">
        <f>CuidadosPessoais[[#This Row],[Estimado 
custo]]-CuidadosPessoais[[#This Row],[Real 
custo]]</f>
        <v>0</v>
      </c>
      <c r="F69" s="3"/>
      <c r="G69" s="28" t="s">
        <v>14</v>
      </c>
      <c r="H69" s="47"/>
      <c r="I69" s="47"/>
      <c r="J69" s="47">
        <f>Assessoria_jurídica[[#This Row],[Estimado 
custo]]-Assessoria_jurídica[[#This Row],[Real 
custo]]</f>
        <v>0</v>
      </c>
    </row>
    <row r="70" spans="2:10" ht="30" customHeight="1">
      <c r="B70" s="28" t="s">
        <v>34</v>
      </c>
      <c r="C70" s="47"/>
      <c r="D70" s="47"/>
      <c r="E70" s="47">
        <f>CuidadosPessoais[[#This Row],[Estimado 
custo]]-CuidadosPessoais[[#This Row],[Real 
custo]]</f>
        <v>0</v>
      </c>
      <c r="F70" s="3"/>
      <c r="G70" s="29" t="s">
        <v>15</v>
      </c>
      <c r="H70" s="52"/>
      <c r="I70" s="52"/>
      <c r="J70" s="49">
        <f>SUBTOTAL(109,Assessoria_jurídica[Diferença])</f>
        <v>0</v>
      </c>
    </row>
    <row r="71" spans="2:10" ht="30" customHeight="1">
      <c r="B71" s="28" t="s">
        <v>14</v>
      </c>
      <c r="C71" s="47"/>
      <c r="D71" s="47"/>
      <c r="E71" s="47">
        <f>CuidadosPessoais[[#This Row],[Estimado 
custo]]-CuidadosPessoais[[#This Row],[Real 
custo]]</f>
        <v>0</v>
      </c>
      <c r="F71" s="3"/>
      <c r="G71" s="30"/>
      <c r="H71" s="30"/>
      <c r="I71" s="30"/>
      <c r="J71" s="30"/>
    </row>
    <row r="72" spans="2:10" ht="30" customHeight="1">
      <c r="B72" s="29" t="s">
        <v>15</v>
      </c>
      <c r="C72" s="52"/>
      <c r="D72" s="52"/>
      <c r="E72" s="49">
        <f>SUBTOTAL(109,CuidadosPessoais[Diferença])</f>
        <v>0</v>
      </c>
      <c r="F72" s="3"/>
      <c r="G72" s="30"/>
      <c r="H72" s="30"/>
      <c r="I72" s="30"/>
      <c r="J72" s="30"/>
    </row>
    <row r="73" spans="2:10" ht="30" customHeight="1">
      <c r="B73" s="16"/>
      <c r="C73" s="16"/>
      <c r="D73" s="16"/>
      <c r="E73" s="16"/>
      <c r="F73" s="3"/>
      <c r="G73" s="30"/>
      <c r="H73" s="30"/>
      <c r="I73" s="30"/>
      <c r="J73" s="30"/>
    </row>
    <row r="74" spans="2:10" ht="30" customHeight="1">
      <c r="F74" s="3"/>
      <c r="G74" s="65" t="s">
        <v>62</v>
      </c>
      <c r="H74" s="65"/>
      <c r="I74" s="65"/>
      <c r="J74" s="78">
        <f>SUBTOTAL(109,Moradia[Estimado
custo],Transporte[Estimado 
custo],Seguro[Estimado
custo],Alimentação[Estimado 
custo],Animais_de_estimação[Estimado 
custo],CuidadosPessoais[Estimado 
custo],Entretenimento[Estimado 
custo],Empréstimos[Estimado 
custo],Impostos[Estimado 
custo],Poupança[Estimado 
custo],Presentes[Estimado 
custo],Assessoria_jurídica[Estimado 
custo])</f>
        <v>4287.1500000000005</v>
      </c>
    </row>
    <row r="75" spans="2:10" ht="24.95" customHeight="1">
      <c r="F75" s="3"/>
      <c r="G75" s="65"/>
      <c r="H75" s="65"/>
      <c r="I75" s="65"/>
      <c r="J75" s="78"/>
    </row>
    <row r="76" spans="2:10" ht="24.95" customHeight="1">
      <c r="F76" s="3"/>
      <c r="G76" s="80" t="s">
        <v>63</v>
      </c>
      <c r="H76" s="80"/>
      <c r="I76" s="80"/>
      <c r="J76" s="79">
        <f>SUBTOTAL(109,Moradia[Real 
custo],Transporte[Real 
custo],Seguro[Real 
custo],Alimentação[Real 
custo],Entretenimento[Real 
custo],CuidadosPessoais[Real 
custo],Entretenimento[Real 
custo],Empréstimos[Real 
custo],Impostos[Real 
custo],Poupança[Real 
custo],Presentes[Real 
custo],Animais_de_estimação[Real 
custo])</f>
        <v>3589.61</v>
      </c>
    </row>
    <row r="77" spans="2:10" ht="24.95" customHeight="1">
      <c r="F77" s="3"/>
      <c r="G77" s="80"/>
      <c r="H77" s="80"/>
      <c r="I77" s="80"/>
      <c r="J77" s="79"/>
    </row>
    <row r="78" spans="2:10" ht="24.95" customHeight="1">
      <c r="F78" s="3"/>
      <c r="G78" s="76" t="s">
        <v>64</v>
      </c>
      <c r="H78" s="76"/>
      <c r="I78" s="76"/>
      <c r="J78" s="77">
        <f>J74-J76</f>
        <v>697.54000000000042</v>
      </c>
    </row>
    <row r="79" spans="2:10" ht="24.95" customHeight="1">
      <c r="F79" s="3"/>
      <c r="G79" s="76"/>
      <c r="H79" s="76"/>
      <c r="I79" s="76"/>
      <c r="J79" s="77"/>
    </row>
  </sheetData>
  <mergeCells count="24">
    <mergeCell ref="G48:J48"/>
    <mergeCell ref="B54:E54"/>
    <mergeCell ref="G55:J55"/>
    <mergeCell ref="B63:E63"/>
    <mergeCell ref="G64:J64"/>
    <mergeCell ref="G78:I79"/>
    <mergeCell ref="J78:J79"/>
    <mergeCell ref="J74:J75"/>
    <mergeCell ref="J76:J77"/>
    <mergeCell ref="G76:I77"/>
    <mergeCell ref="B2:H2"/>
    <mergeCell ref="G39:J39"/>
    <mergeCell ref="G74:I75"/>
    <mergeCell ref="E4:G5"/>
    <mergeCell ref="E6:G7"/>
    <mergeCell ref="E8:G9"/>
    <mergeCell ref="H4:H5"/>
    <mergeCell ref="H6:H7"/>
    <mergeCell ref="H8:H9"/>
    <mergeCell ref="B26:E26"/>
    <mergeCell ref="B39:E39"/>
    <mergeCell ref="G27:J27"/>
    <mergeCell ref="G40:J40"/>
    <mergeCell ref="B47:E47"/>
  </mergeCells>
  <dataValidations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3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7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38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6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2" xr:uid="{4D40684C-D56F-4273-B2CC-5C8947747B1A}"/>
    <dataValidation allowBlank="1" showInputMessage="1" showErrorMessage="1" prompt="O Custo Total Previsto é calculado automaticamente na célula J73, o Custo Total Real em J75 e a Diferença Total em J77." sqref="A71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3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2" max="16383" man="1"/>
  </rowBreaks>
  <ignoredErrors>
    <ignoredError sqref="J19:J23 E28 J36 J42:J45 E41:E44 E49:E51 J50:J52 J57:J59 J75 E65 J77 J14:J17 J29:J33" emptyCellReference="1"/>
  </ignoredErrors>
  <drawing r:id="rId2"/>
  <legacyDrawing r:id="rId3"/>
  <tableParts count="1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D02F-41CE-4248-91C8-B2328DAD0FF5}">
  <dimension ref="A1:L68"/>
  <sheetViews>
    <sheetView zoomScale="145" zoomScaleNormal="145" workbookViewId="0">
      <selection activeCell="B24" sqref="B24"/>
    </sheetView>
  </sheetViews>
  <sheetFormatPr defaultRowHeight="12.75"/>
  <cols>
    <col min="1" max="1" width="38.7109375" customWidth="1"/>
    <col min="2" max="2" width="9.7109375" customWidth="1"/>
    <col min="3" max="3" width="0.7109375" style="98" customWidth="1"/>
    <col min="4" max="4" width="38.7109375" customWidth="1"/>
    <col min="5" max="5" width="9.7109375" customWidth="1"/>
    <col min="6" max="6" width="0.7109375" style="98" customWidth="1"/>
    <col min="7" max="7" width="38.7109375" customWidth="1"/>
    <col min="8" max="8" width="9.7109375" customWidth="1"/>
    <col min="9" max="9" width="0.7109375" style="98" customWidth="1"/>
    <col min="10" max="10" width="38.7109375" customWidth="1"/>
    <col min="11" max="11" width="9.7109375" customWidth="1"/>
  </cols>
  <sheetData>
    <row r="1" spans="1:12" ht="33">
      <c r="A1" s="84">
        <v>45292</v>
      </c>
      <c r="D1" s="84">
        <v>45261</v>
      </c>
      <c r="G1" s="84">
        <v>45231</v>
      </c>
      <c r="J1" s="84">
        <v>45200</v>
      </c>
    </row>
    <row r="2" spans="1:12" ht="15" customHeight="1">
      <c r="A2" s="86" t="s">
        <v>78</v>
      </c>
      <c r="D2" s="86" t="s">
        <v>78</v>
      </c>
      <c r="G2" s="86" t="s">
        <v>78</v>
      </c>
      <c r="J2" s="86" t="s">
        <v>78</v>
      </c>
    </row>
    <row r="3" spans="1:12" ht="15" customHeight="1">
      <c r="A3" s="87" t="s">
        <v>105</v>
      </c>
      <c r="D3" s="87" t="s">
        <v>106</v>
      </c>
      <c r="G3" s="87" t="s">
        <v>107</v>
      </c>
      <c r="J3" s="87" t="s">
        <v>107</v>
      </c>
    </row>
    <row r="4" spans="1:12" ht="15" customHeight="1">
      <c r="A4" s="88" t="s">
        <v>79</v>
      </c>
      <c r="B4" s="90">
        <f>SUM(B5:B7)</f>
        <v>2937.5000000000005</v>
      </c>
      <c r="D4" s="88" t="s">
        <v>79</v>
      </c>
      <c r="E4" s="90">
        <f>SUM(E5:E7)</f>
        <v>3362.8</v>
      </c>
      <c r="G4" s="88" t="s">
        <v>79</v>
      </c>
      <c r="H4" s="90">
        <f>SUM(H5:H7)</f>
        <v>2942.4500000000003</v>
      </c>
      <c r="J4" s="88" t="s">
        <v>79</v>
      </c>
      <c r="K4" s="90">
        <f>SUM(K5:K7)</f>
        <v>2522.1000000000004</v>
      </c>
      <c r="L4" s="89"/>
    </row>
    <row r="5" spans="1:12" ht="15" customHeight="1">
      <c r="A5" s="92" t="s">
        <v>80</v>
      </c>
      <c r="B5" s="93">
        <v>2161.8000000000002</v>
      </c>
      <c r="D5" s="92" t="s">
        <v>80</v>
      </c>
      <c r="E5" s="93">
        <v>2161.8000000000002</v>
      </c>
      <c r="G5" s="92" t="s">
        <v>80</v>
      </c>
      <c r="H5" s="93">
        <v>2161.8000000000002</v>
      </c>
      <c r="J5" s="92" t="s">
        <v>80</v>
      </c>
      <c r="K5" s="93">
        <v>2161.8000000000002</v>
      </c>
    </row>
    <row r="6" spans="1:12" ht="15" customHeight="1">
      <c r="A6" s="92" t="s">
        <v>81</v>
      </c>
      <c r="B6" s="94">
        <v>360.3</v>
      </c>
      <c r="D6" s="92" t="s">
        <v>81</v>
      </c>
      <c r="E6" s="94">
        <v>360.3</v>
      </c>
      <c r="G6" s="92" t="s">
        <v>81</v>
      </c>
      <c r="H6" s="94">
        <v>360.3</v>
      </c>
      <c r="J6" s="92" t="s">
        <v>81</v>
      </c>
      <c r="K6" s="94">
        <v>360.3</v>
      </c>
    </row>
    <row r="7" spans="1:12" ht="15" customHeight="1">
      <c r="A7" s="92" t="s">
        <v>109</v>
      </c>
      <c r="B7" s="94">
        <f xml:space="preserve"> 830.8/40*20</f>
        <v>415.4</v>
      </c>
      <c r="D7" s="92" t="s">
        <v>82</v>
      </c>
      <c r="E7" s="94">
        <v>840.7</v>
      </c>
      <c r="G7" s="92" t="s">
        <v>108</v>
      </c>
      <c r="H7" s="94">
        <v>420.35</v>
      </c>
    </row>
    <row r="8" spans="1:12" s="98" customFormat="1" ht="3.75" customHeight="1"/>
    <row r="9" spans="1:12" ht="15" customHeight="1">
      <c r="A9" s="88" t="s">
        <v>83</v>
      </c>
      <c r="B9" s="97">
        <f>SUM(B10:B23)</f>
        <v>-752.31000000000017</v>
      </c>
      <c r="D9" s="88" t="s">
        <v>83</v>
      </c>
      <c r="E9" s="97">
        <f>SUM(E10:E23)</f>
        <v>-1560.58</v>
      </c>
      <c r="G9" s="88" t="s">
        <v>83</v>
      </c>
      <c r="H9" s="97">
        <f>SUM(H10:H23)</f>
        <v>-687.07000000000016</v>
      </c>
      <c r="J9" s="88" t="s">
        <v>83</v>
      </c>
      <c r="K9" s="97">
        <f>SUM(K10:K23)</f>
        <v>-647.5200000000001</v>
      </c>
    </row>
    <row r="10" spans="1:12" ht="15" customHeight="1">
      <c r="A10" s="92" t="s">
        <v>104</v>
      </c>
      <c r="B10" s="94">
        <v>-32.43</v>
      </c>
      <c r="D10" s="85"/>
      <c r="G10" s="92" t="s">
        <v>104</v>
      </c>
      <c r="H10" s="94">
        <v>-32.43</v>
      </c>
      <c r="J10" s="92" t="s">
        <v>104</v>
      </c>
      <c r="K10" s="94">
        <v>-32.43</v>
      </c>
    </row>
    <row r="11" spans="1:12" ht="15" customHeight="1">
      <c r="A11" s="92" t="s">
        <v>84</v>
      </c>
      <c r="B11" s="94">
        <v>-25.22</v>
      </c>
      <c r="D11" s="92" t="s">
        <v>84</v>
      </c>
      <c r="E11" s="94">
        <v>-25.22</v>
      </c>
      <c r="G11" s="92" t="s">
        <v>84</v>
      </c>
      <c r="H11" s="94">
        <v>-25.22</v>
      </c>
      <c r="J11" s="92" t="s">
        <v>84</v>
      </c>
      <c r="K11" s="94">
        <v>-25.22</v>
      </c>
    </row>
    <row r="12" spans="1:12" ht="15" customHeight="1">
      <c r="A12" s="92" t="s">
        <v>85</v>
      </c>
      <c r="B12" s="94">
        <v>-44.77</v>
      </c>
      <c r="D12" s="92" t="s">
        <v>85</v>
      </c>
      <c r="E12" s="94">
        <v>-44.77</v>
      </c>
      <c r="G12" s="92" t="s">
        <v>85</v>
      </c>
      <c r="H12" s="94">
        <v>-44.77</v>
      </c>
      <c r="J12" s="92" t="s">
        <v>85</v>
      </c>
      <c r="K12" s="94">
        <v>-44.77</v>
      </c>
    </row>
    <row r="13" spans="1:12" ht="15" customHeight="1">
      <c r="A13" s="92"/>
      <c r="B13" s="94"/>
      <c r="D13" s="92" t="s">
        <v>86</v>
      </c>
      <c r="E13" s="94">
        <v>-420.35</v>
      </c>
    </row>
    <row r="14" spans="1:12" ht="15" customHeight="1">
      <c r="A14" s="92" t="s">
        <v>87</v>
      </c>
      <c r="B14" s="94">
        <v>-207.18</v>
      </c>
      <c r="D14" s="92" t="s">
        <v>87</v>
      </c>
      <c r="E14" s="94">
        <v>-207.18</v>
      </c>
      <c r="G14" s="92" t="s">
        <v>87</v>
      </c>
      <c r="H14" s="94">
        <v>-207.18</v>
      </c>
      <c r="J14" s="92" t="s">
        <v>87</v>
      </c>
      <c r="K14" s="94">
        <v>-207.18</v>
      </c>
    </row>
    <row r="15" spans="1:12" ht="15" customHeight="1">
      <c r="A15" s="92"/>
      <c r="B15" s="94"/>
      <c r="D15" s="92" t="s">
        <v>88</v>
      </c>
      <c r="E15" s="94">
        <v>-63.05</v>
      </c>
    </row>
    <row r="16" spans="1:12" ht="15" customHeight="1">
      <c r="A16" s="92" t="s">
        <v>89</v>
      </c>
      <c r="B16" s="94">
        <v>0</v>
      </c>
      <c r="D16" s="92" t="s">
        <v>89</v>
      </c>
      <c r="E16" s="94">
        <v>0</v>
      </c>
      <c r="G16" s="92" t="s">
        <v>89</v>
      </c>
      <c r="H16" s="94">
        <v>0</v>
      </c>
      <c r="J16" s="92" t="s">
        <v>89</v>
      </c>
      <c r="K16" s="94">
        <v>0</v>
      </c>
    </row>
    <row r="17" spans="1:11" ht="15" customHeight="1">
      <c r="A17" s="92"/>
      <c r="B17" s="94"/>
      <c r="D17" s="92" t="s">
        <v>90</v>
      </c>
      <c r="E17" s="94">
        <v>0</v>
      </c>
    </row>
    <row r="18" spans="1:11" ht="15" customHeight="1">
      <c r="A18" s="92" t="s">
        <v>92</v>
      </c>
      <c r="B18" s="94">
        <v>-129.71</v>
      </c>
      <c r="D18" s="92" t="s">
        <v>92</v>
      </c>
      <c r="E18" s="94">
        <v>-129.71</v>
      </c>
      <c r="G18" s="92" t="s">
        <v>92</v>
      </c>
      <c r="H18" s="94">
        <v>-129.71</v>
      </c>
      <c r="J18" s="92" t="s">
        <v>92</v>
      </c>
      <c r="K18" s="94">
        <v>-129.71</v>
      </c>
    </row>
    <row r="19" spans="1:11" ht="15" customHeight="1">
      <c r="A19" s="92" t="s">
        <v>93</v>
      </c>
      <c r="B19" s="94">
        <v>-159.81</v>
      </c>
      <c r="D19" s="92" t="s">
        <v>93</v>
      </c>
      <c r="E19" s="94">
        <v>-159.81</v>
      </c>
      <c r="G19" s="92" t="s">
        <v>93</v>
      </c>
      <c r="H19" s="94">
        <v>-159.81</v>
      </c>
      <c r="J19" s="92" t="s">
        <v>93</v>
      </c>
      <c r="K19" s="94">
        <v>-134.30000000000001</v>
      </c>
    </row>
    <row r="20" spans="1:11" ht="15" customHeight="1">
      <c r="A20" s="92" t="s">
        <v>94</v>
      </c>
      <c r="B20" s="94">
        <v>-153.19</v>
      </c>
      <c r="D20" s="92" t="s">
        <v>94</v>
      </c>
      <c r="E20" s="94">
        <v>-153.19</v>
      </c>
      <c r="G20" s="92" t="s">
        <v>94</v>
      </c>
      <c r="H20" s="94">
        <v>-87.95</v>
      </c>
      <c r="J20" s="92" t="s">
        <v>94</v>
      </c>
      <c r="K20" s="94">
        <v>-73.91</v>
      </c>
    </row>
    <row r="21" spans="1:11" ht="15" customHeight="1">
      <c r="G21" s="85"/>
      <c r="J21" s="85"/>
    </row>
    <row r="22" spans="1:11" ht="15" customHeight="1">
      <c r="A22" s="92"/>
      <c r="B22" s="94"/>
      <c r="D22" s="92" t="s">
        <v>91</v>
      </c>
      <c r="E22" s="94">
        <v>-357.3</v>
      </c>
    </row>
    <row r="23" spans="1:11" s="98" customFormat="1" ht="3.75" customHeight="1"/>
    <row r="24" spans="1:11" ht="15" customHeight="1">
      <c r="A24" s="88" t="s">
        <v>95</v>
      </c>
      <c r="B24" s="90">
        <f>B4+B9</f>
        <v>2185.1900000000005</v>
      </c>
      <c r="D24" s="88" t="s">
        <v>95</v>
      </c>
      <c r="E24" s="90">
        <f>E4+E9</f>
        <v>1802.2200000000003</v>
      </c>
      <c r="G24" s="88" t="s">
        <v>95</v>
      </c>
      <c r="H24" s="90">
        <f>H4+H9</f>
        <v>2255.38</v>
      </c>
      <c r="J24" s="88" t="s">
        <v>95</v>
      </c>
      <c r="K24" s="90">
        <f>K4+K9</f>
        <v>1874.5800000000004</v>
      </c>
    </row>
    <row r="25" spans="1:11" ht="15" customHeight="1"/>
    <row r="26" spans="1:11" ht="15" customHeight="1">
      <c r="A26" s="88" t="s">
        <v>96</v>
      </c>
      <c r="B26" s="95">
        <v>2522.1</v>
      </c>
      <c r="D26" s="88" t="s">
        <v>96</v>
      </c>
      <c r="E26" s="95">
        <v>2522.1</v>
      </c>
      <c r="G26" s="88" t="s">
        <v>96</v>
      </c>
      <c r="H26" s="95">
        <v>2522.1</v>
      </c>
      <c r="J26" s="88" t="s">
        <v>96</v>
      </c>
      <c r="K26" s="95">
        <v>2522.1</v>
      </c>
    </row>
    <row r="27" spans="1:11" ht="15" customHeight="1">
      <c r="A27" s="88" t="s">
        <v>97</v>
      </c>
      <c r="B27" s="95">
        <v>2942.45</v>
      </c>
      <c r="D27" s="88" t="s">
        <v>97</v>
      </c>
      <c r="E27" s="95">
        <v>2942.45</v>
      </c>
      <c r="G27" s="88" t="s">
        <v>97</v>
      </c>
      <c r="H27" s="95">
        <v>2942.45</v>
      </c>
      <c r="J27" s="88" t="s">
        <v>97</v>
      </c>
      <c r="K27" s="95">
        <v>2522.1</v>
      </c>
    </row>
    <row r="28" spans="1:11" ht="15" customHeight="1">
      <c r="A28" s="88" t="s">
        <v>98</v>
      </c>
      <c r="B28" s="96">
        <v>235.38</v>
      </c>
      <c r="D28" s="88" t="s">
        <v>98</v>
      </c>
      <c r="E28" s="96">
        <v>235.38</v>
      </c>
      <c r="G28" s="88" t="s">
        <v>98</v>
      </c>
      <c r="H28" s="96">
        <v>235.38</v>
      </c>
      <c r="J28" s="88" t="s">
        <v>98</v>
      </c>
      <c r="K28" s="96">
        <v>201.76</v>
      </c>
    </row>
    <row r="29" spans="1:11" ht="15" customHeight="1">
      <c r="A29" s="88" t="s">
        <v>99</v>
      </c>
      <c r="B29" s="95">
        <v>1935.74</v>
      </c>
      <c r="D29" s="88" t="s">
        <v>99</v>
      </c>
      <c r="E29" s="95">
        <v>1935.74</v>
      </c>
      <c r="G29" s="88" t="s">
        <v>99</v>
      </c>
      <c r="H29" s="95">
        <v>1935.74</v>
      </c>
      <c r="J29" s="88" t="s">
        <v>99</v>
      </c>
      <c r="K29" s="95">
        <v>1935.74</v>
      </c>
    </row>
    <row r="30" spans="1:11" ht="15" customHeight="1"/>
    <row r="31" spans="1:11" ht="15" customHeight="1">
      <c r="A31" s="88" t="s">
        <v>14</v>
      </c>
      <c r="B31" s="95">
        <f>SUM(B32:B35)</f>
        <v>1985.02</v>
      </c>
      <c r="D31" s="88" t="s">
        <v>14</v>
      </c>
      <c r="E31" s="95">
        <v>2018.64</v>
      </c>
      <c r="G31" s="88" t="s">
        <v>14</v>
      </c>
      <c r="H31" s="95">
        <v>1390.93</v>
      </c>
      <c r="J31" s="88" t="s">
        <v>14</v>
      </c>
      <c r="K31" s="95">
        <f>SUM(K32:K35)</f>
        <v>1390.9299999999998</v>
      </c>
    </row>
    <row r="32" spans="1:11" ht="15" customHeight="1">
      <c r="A32" s="92" t="s">
        <v>100</v>
      </c>
      <c r="B32" s="94">
        <v>201.76</v>
      </c>
      <c r="D32" s="92" t="s">
        <v>100</v>
      </c>
      <c r="E32" s="94">
        <v>201.76</v>
      </c>
      <c r="G32" s="92" t="s">
        <v>100</v>
      </c>
      <c r="H32" s="94">
        <v>201.76</v>
      </c>
      <c r="J32" s="92" t="s">
        <v>100</v>
      </c>
      <c r="K32" s="94">
        <v>201.76</v>
      </c>
    </row>
    <row r="33" spans="1:11" ht="15" customHeight="1">
      <c r="A33" s="92"/>
      <c r="B33" s="94"/>
      <c r="D33" s="92" t="s">
        <v>101</v>
      </c>
      <c r="E33" s="94">
        <v>33.619999999999997</v>
      </c>
      <c r="G33" s="92" t="s">
        <v>101</v>
      </c>
      <c r="H33" s="94">
        <v>33.619999999999997</v>
      </c>
    </row>
    <row r="34" spans="1:11" ht="15" customHeight="1">
      <c r="A34" s="92" t="s">
        <v>102</v>
      </c>
      <c r="B34" s="94">
        <v>9.6199999999999992</v>
      </c>
      <c r="D34" s="92" t="s">
        <v>102</v>
      </c>
      <c r="E34" s="94">
        <v>9.6199999999999992</v>
      </c>
      <c r="G34" s="92" t="s">
        <v>102</v>
      </c>
      <c r="H34" s="94">
        <v>9.36</v>
      </c>
      <c r="J34" s="92" t="s">
        <v>102</v>
      </c>
      <c r="K34" s="94">
        <v>9.36</v>
      </c>
    </row>
    <row r="35" spans="1:11" ht="15" customHeight="1">
      <c r="A35" s="92" t="s">
        <v>103</v>
      </c>
      <c r="B35" s="93">
        <v>1773.64</v>
      </c>
      <c r="D35" s="92" t="s">
        <v>103</v>
      </c>
      <c r="E35" s="93">
        <v>1773.64</v>
      </c>
      <c r="G35" s="92" t="s">
        <v>103</v>
      </c>
      <c r="H35" s="93">
        <v>1404</v>
      </c>
      <c r="J35" s="92" t="s">
        <v>103</v>
      </c>
      <c r="K35" s="93">
        <v>1179.81</v>
      </c>
    </row>
    <row r="36" spans="1:11" ht="15" customHeight="1"/>
    <row r="37" spans="1:11" ht="15" customHeight="1">
      <c r="A37" s="91"/>
      <c r="D37" s="91"/>
    </row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  <row r="43" spans="1:11" ht="15" customHeight="1"/>
    <row r="44" spans="1:11" ht="15" customHeight="1"/>
    <row r="45" spans="1:11" ht="15" customHeight="1"/>
    <row r="46" spans="1:11" ht="15" customHeight="1"/>
    <row r="47" spans="1:11" ht="15" customHeight="1"/>
    <row r="48" spans="1:11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728A-BBAC-4579-BDAF-B85D67C1AF6A}">
  <dimension ref="A1:B12"/>
  <sheetViews>
    <sheetView zoomScale="190" zoomScaleNormal="190" workbookViewId="0">
      <selection activeCell="B8" sqref="B8"/>
    </sheetView>
  </sheetViews>
  <sheetFormatPr defaultRowHeight="12.75"/>
  <cols>
    <col min="1" max="1" width="27.42578125" customWidth="1"/>
    <col min="2" max="2" width="11.140625" style="83" customWidth="1"/>
  </cols>
  <sheetData>
    <row r="1" spans="1:2">
      <c r="B1" s="83">
        <f>SUM(B2:B12)</f>
        <v>2154.6099999999997</v>
      </c>
    </row>
    <row r="2" spans="1:2">
      <c r="A2" t="s">
        <v>69</v>
      </c>
      <c r="B2" s="83">
        <v>260.04000000000002</v>
      </c>
    </row>
    <row r="3" spans="1:2">
      <c r="A3" t="s">
        <v>70</v>
      </c>
      <c r="B3" s="83">
        <v>446.77</v>
      </c>
    </row>
    <row r="4" spans="1:2">
      <c r="A4" t="s">
        <v>71</v>
      </c>
      <c r="B4" s="83">
        <v>360.01</v>
      </c>
    </row>
    <row r="5" spans="1:2">
      <c r="A5" t="s">
        <v>72</v>
      </c>
      <c r="B5" s="83">
        <v>240</v>
      </c>
    </row>
    <row r="6" spans="1:2">
      <c r="A6" t="s">
        <v>73</v>
      </c>
      <c r="B6" s="83">
        <v>240.01</v>
      </c>
    </row>
    <row r="7" spans="1:2">
      <c r="A7" t="s">
        <v>74</v>
      </c>
      <c r="B7" s="83">
        <v>240.01</v>
      </c>
    </row>
    <row r="8" spans="1:2">
      <c r="A8" t="s">
        <v>75</v>
      </c>
      <c r="B8" s="83">
        <v>367.77</v>
      </c>
    </row>
    <row r="11" spans="1:2">
      <c r="A11" t="s">
        <v>76</v>
      </c>
    </row>
    <row r="12" spans="1:2">
      <c r="A12" t="s">
        <v>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Orçamento pessoal mensal</vt:lpstr>
      <vt:lpstr>Contracheque Firjan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2024-01-12T22:39:08Z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5c88f678-0b6e-4995-8ab3-bcc8062be905_Enabled">
    <vt:lpwstr>true</vt:lpwstr>
  </property>
  <property fmtid="{D5CDD505-2E9C-101B-9397-08002B2CF9AE}" pid="4" name="MSIP_Label_5c88f678-0b6e-4995-8ab3-bcc8062be905_SetDate">
    <vt:lpwstr>2024-01-12T22:39:02Z</vt:lpwstr>
  </property>
  <property fmtid="{D5CDD505-2E9C-101B-9397-08002B2CF9AE}" pid="5" name="MSIP_Label_5c88f678-0b6e-4995-8ab3-bcc8062be905_Method">
    <vt:lpwstr>Standard</vt:lpwstr>
  </property>
  <property fmtid="{D5CDD505-2E9C-101B-9397-08002B2CF9AE}" pid="6" name="MSIP_Label_5c88f678-0b6e-4995-8ab3-bcc8062be905_Name">
    <vt:lpwstr>Ostensivo</vt:lpwstr>
  </property>
  <property fmtid="{D5CDD505-2E9C-101B-9397-08002B2CF9AE}" pid="7" name="MSIP_Label_5c88f678-0b6e-4995-8ab3-bcc8062be905_SiteId">
    <vt:lpwstr>d0c698d4-e4ea-4ee9-a79d-f2d7a78399c8</vt:lpwstr>
  </property>
  <property fmtid="{D5CDD505-2E9C-101B-9397-08002B2CF9AE}" pid="8" name="MSIP_Label_5c88f678-0b6e-4995-8ab3-bcc8062be905_ActionId">
    <vt:lpwstr>e045ec3c-ea52-4995-b5e8-7065d7ff7975</vt:lpwstr>
  </property>
  <property fmtid="{D5CDD505-2E9C-101B-9397-08002B2CF9AE}" pid="9" name="MSIP_Label_5c88f678-0b6e-4995-8ab3-bcc8062be905_ContentBits">
    <vt:lpwstr>0</vt:lpwstr>
  </property>
</Properties>
</file>