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/>
  <xr:revisionPtr revIDLastSave="0" documentId="8_{6B2B13E0-A7AC-48CC-8911-D0BDFDE9288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SHBOARD" sheetId="5" r:id="rId1"/>
    <sheet name="VENDAS" sheetId="7" r:id="rId2"/>
    <sheet name="Receitas (Vendas)" sheetId="2" r:id="rId3"/>
    <sheet name="Custo de vendas" sheetId="3" r:id="rId4"/>
    <sheet name="Despesas" sheetId="4" r:id="rId5"/>
  </sheets>
  <definedNames>
    <definedName name="AnoInícioAF">'Receitas (Vendas)'!$G$2</definedName>
    <definedName name="InícioMêsAF">'Receitas (Vendas)'!$F$2</definedName>
    <definedName name="Nome_Empresa">'Receitas (Vendas)'!$B$1</definedName>
    <definedName name="NúmMêsAF">IF(InícioMêsAF="JAN",1,IF(InícioMêsAF="FEV",2,IF(InícioMêsAF="MAR",3,IF(InícioMêsAF="ABR",4,IF(InícioMêsAF="MAI",5,IF(InícioMêsAF="JUN",6,IF(InícioMêsAF="JUL",7,IF(InícioMêsAF="AGO",8,IF(InícioMêsAF="SET",9,IF(InícioMêsAF="OUT",10,IF(InícioMêsAF="NOV",11,12)))))))))))</definedName>
    <definedName name="Título_Período_Projeção">'Receitas (Vendas)'!$B$2</definedName>
    <definedName name="Título_Planilha">'Receitas (Vendas)'!$B$3</definedName>
    <definedName name="Título1">Receita[[#Headers],[RECEITAS (VENDAS)]]</definedName>
    <definedName name="Título2">CustodeVendas[[#Headers],[CUSTO DE VENDAS]]</definedName>
    <definedName name="Título3">tblDespesas[[#Headers],[DESPESAS]]</definedName>
    <definedName name="_xlnm.Print_Titles" localSheetId="3">'Custo de vendas'!$5:$6</definedName>
    <definedName name="_xlnm.Print_Titles" localSheetId="4">Despesas!$5:$6</definedName>
    <definedName name="_xlnm.Print_Titles" localSheetId="2">'Receitas (Vendas)'!$5:$6</definedName>
  </definedNames>
  <calcPr calcId="191029"/>
  <pivotCaches>
    <pivotCache cacheId="1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7" i="3" l="1"/>
  <c r="P28" i="4" l="1"/>
  <c r="P27" i="4"/>
  <c r="P26" i="4"/>
  <c r="P25" i="4"/>
  <c r="P16" i="4"/>
  <c r="D31" i="4" l="1"/>
  <c r="E31" i="4"/>
  <c r="T7" i="4" s="1"/>
  <c r="F31" i="4"/>
  <c r="G31" i="4"/>
  <c r="H31" i="4"/>
  <c r="I31" i="4"/>
  <c r="J31" i="4"/>
  <c r="K31" i="4"/>
  <c r="L31" i="4"/>
  <c r="M31" i="4"/>
  <c r="N31" i="4"/>
  <c r="O31" i="4"/>
  <c r="R31" i="4"/>
  <c r="AC28" i="4" l="1"/>
  <c r="AC27" i="4"/>
  <c r="AB28" i="4"/>
  <c r="AB27" i="4"/>
  <c r="AA28" i="4"/>
  <c r="AA27" i="4"/>
  <c r="AD28" i="4"/>
  <c r="AD27" i="4"/>
  <c r="Z28" i="4"/>
  <c r="Z27" i="4"/>
  <c r="Y28" i="4"/>
  <c r="Y27" i="4"/>
  <c r="X28" i="4"/>
  <c r="X27" i="4"/>
  <c r="W28" i="4"/>
  <c r="W27" i="4"/>
  <c r="U27" i="4"/>
  <c r="U28" i="4"/>
  <c r="S28" i="4"/>
  <c r="S27" i="4"/>
  <c r="V28" i="4"/>
  <c r="V27" i="4"/>
  <c r="T28" i="4"/>
  <c r="T27" i="4"/>
  <c r="S26" i="4"/>
  <c r="S25" i="4"/>
  <c r="AC25" i="4"/>
  <c r="AC26" i="4"/>
  <c r="AB25" i="4"/>
  <c r="AB26" i="4"/>
  <c r="AA26" i="4"/>
  <c r="AA25" i="4"/>
  <c r="T26" i="4"/>
  <c r="T25" i="4"/>
  <c r="AD26" i="4"/>
  <c r="AD25" i="4"/>
  <c r="Z26" i="4"/>
  <c r="Z25" i="4"/>
  <c r="Y26" i="4"/>
  <c r="Y25" i="4"/>
  <c r="X25" i="4"/>
  <c r="X26" i="4"/>
  <c r="W26" i="4"/>
  <c r="W25" i="4"/>
  <c r="V26" i="4"/>
  <c r="V25" i="4"/>
  <c r="U25" i="4"/>
  <c r="U26" i="4"/>
  <c r="T16" i="4"/>
  <c r="AD16" i="4"/>
  <c r="AC16" i="4"/>
  <c r="AA16" i="4"/>
  <c r="Z16" i="4"/>
  <c r="AB16" i="4"/>
  <c r="Y16" i="4"/>
  <c r="X16" i="4"/>
  <c r="W16" i="4"/>
  <c r="V16" i="4"/>
  <c r="U16" i="4"/>
  <c r="S16" i="4"/>
  <c r="AC10" i="4"/>
  <c r="AC23" i="4"/>
  <c r="AC11" i="4"/>
  <c r="AC24" i="4"/>
  <c r="AC12" i="4"/>
  <c r="AC29" i="4"/>
  <c r="AC13" i="4"/>
  <c r="AC30" i="4"/>
  <c r="AC14" i="4"/>
  <c r="AC22" i="4"/>
  <c r="AC8" i="4"/>
  <c r="AC18" i="4"/>
  <c r="AC7" i="4"/>
  <c r="AC21" i="4"/>
  <c r="AC9" i="4"/>
  <c r="AC15" i="4"/>
  <c r="AC20" i="4"/>
  <c r="AC17" i="4"/>
  <c r="AC19" i="4"/>
  <c r="AB15" i="4"/>
  <c r="AB17" i="4"/>
  <c r="AB18" i="4"/>
  <c r="AB19" i="4"/>
  <c r="AB7" i="4"/>
  <c r="AB20" i="4"/>
  <c r="AB29" i="4"/>
  <c r="AB21" i="4"/>
  <c r="AB23" i="4"/>
  <c r="AB8" i="4"/>
  <c r="AB30" i="4"/>
  <c r="AB11" i="4"/>
  <c r="AB9" i="4"/>
  <c r="AB10" i="4"/>
  <c r="AB12" i="4"/>
  <c r="AB13" i="4"/>
  <c r="AB14" i="4"/>
  <c r="AB22" i="4"/>
  <c r="AB24" i="4"/>
  <c r="AA8" i="4"/>
  <c r="AA21" i="4"/>
  <c r="AA9" i="4"/>
  <c r="AA22" i="4"/>
  <c r="AA10" i="4"/>
  <c r="AA23" i="4"/>
  <c r="AA11" i="4"/>
  <c r="AA24" i="4"/>
  <c r="AA12" i="4"/>
  <c r="AA29" i="4"/>
  <c r="AA7" i="4"/>
  <c r="AA14" i="4"/>
  <c r="AA30" i="4"/>
  <c r="AA13" i="4"/>
  <c r="AA15" i="4"/>
  <c r="AA17" i="4"/>
  <c r="AA18" i="4"/>
  <c r="AA19" i="4"/>
  <c r="AA20" i="4"/>
  <c r="Z13" i="4"/>
  <c r="Z30" i="4"/>
  <c r="Z14" i="4"/>
  <c r="Z15" i="4"/>
  <c r="Z17" i="4"/>
  <c r="Z18" i="4"/>
  <c r="Z8" i="4"/>
  <c r="Z9" i="4"/>
  <c r="Z24" i="4"/>
  <c r="Z29" i="4"/>
  <c r="Z10" i="4"/>
  <c r="Z11" i="4"/>
  <c r="Z12" i="4"/>
  <c r="Z22" i="4"/>
  <c r="Z19" i="4"/>
  <c r="Z20" i="4"/>
  <c r="Z21" i="4"/>
  <c r="Z7" i="4"/>
  <c r="Z23" i="4"/>
  <c r="Y19" i="4"/>
  <c r="Y7" i="4"/>
  <c r="Y20" i="4"/>
  <c r="Y8" i="4"/>
  <c r="Y21" i="4"/>
  <c r="Y9" i="4"/>
  <c r="Y22" i="4"/>
  <c r="Y10" i="4"/>
  <c r="Y23" i="4"/>
  <c r="Y11" i="4"/>
  <c r="Y15" i="4"/>
  <c r="Y12" i="4"/>
  <c r="Y13" i="4"/>
  <c r="Y14" i="4"/>
  <c r="Y17" i="4"/>
  <c r="Y18" i="4"/>
  <c r="Y29" i="4"/>
  <c r="Y24" i="4"/>
  <c r="Y30" i="4"/>
  <c r="X11" i="4"/>
  <c r="X24" i="4"/>
  <c r="X12" i="4"/>
  <c r="X29" i="4"/>
  <c r="X13" i="4"/>
  <c r="X30" i="4"/>
  <c r="X14" i="4"/>
  <c r="X15" i="4"/>
  <c r="X9" i="4"/>
  <c r="X8" i="4"/>
  <c r="X10" i="4"/>
  <c r="X23" i="4"/>
  <c r="X17" i="4"/>
  <c r="X19" i="4"/>
  <c r="X18" i="4"/>
  <c r="X20" i="4"/>
  <c r="X21" i="4"/>
  <c r="X22" i="4"/>
  <c r="X7" i="4"/>
  <c r="W17" i="4"/>
  <c r="W18" i="4"/>
  <c r="W19" i="4"/>
  <c r="W7" i="4"/>
  <c r="W20" i="4"/>
  <c r="W8" i="4"/>
  <c r="W21" i="4"/>
  <c r="W12" i="4"/>
  <c r="W13" i="4"/>
  <c r="W22" i="4"/>
  <c r="W14" i="4"/>
  <c r="W15" i="4"/>
  <c r="W11" i="4"/>
  <c r="W10" i="4"/>
  <c r="W23" i="4"/>
  <c r="W30" i="4"/>
  <c r="W24" i="4"/>
  <c r="W29" i="4"/>
  <c r="W9" i="4"/>
  <c r="V9" i="4"/>
  <c r="V22" i="4"/>
  <c r="V10" i="4"/>
  <c r="V23" i="4"/>
  <c r="V11" i="4"/>
  <c r="V24" i="4"/>
  <c r="V12" i="4"/>
  <c r="V29" i="4"/>
  <c r="V14" i="4"/>
  <c r="V18" i="4"/>
  <c r="V15" i="4"/>
  <c r="V17" i="4"/>
  <c r="V19" i="4"/>
  <c r="V20" i="4"/>
  <c r="V8" i="4"/>
  <c r="V21" i="4"/>
  <c r="V13" i="4"/>
  <c r="V30" i="4"/>
  <c r="V7" i="4"/>
  <c r="U14" i="4"/>
  <c r="U15" i="4"/>
  <c r="U17" i="4"/>
  <c r="U18" i="4"/>
  <c r="U11" i="4"/>
  <c r="U20" i="4"/>
  <c r="U12" i="4"/>
  <c r="U24" i="4"/>
  <c r="U29" i="4"/>
  <c r="U30" i="4"/>
  <c r="U13" i="4"/>
  <c r="U19" i="4"/>
  <c r="U21" i="4"/>
  <c r="U7" i="4"/>
  <c r="U22" i="4"/>
  <c r="U23" i="4"/>
  <c r="U10" i="4"/>
  <c r="U8" i="4"/>
  <c r="U9" i="4"/>
  <c r="T20" i="4"/>
  <c r="T8" i="4"/>
  <c r="T21" i="4"/>
  <c r="T9" i="4"/>
  <c r="T22" i="4"/>
  <c r="T10" i="4"/>
  <c r="T23" i="4"/>
  <c r="T12" i="4"/>
  <c r="T13" i="4"/>
  <c r="T15" i="4"/>
  <c r="T18" i="4"/>
  <c r="T11" i="4"/>
  <c r="T14" i="4"/>
  <c r="T17" i="4"/>
  <c r="T29" i="4"/>
  <c r="T30" i="4"/>
  <c r="T19" i="4"/>
  <c r="T24" i="4"/>
  <c r="S12" i="4"/>
  <c r="S29" i="4"/>
  <c r="S13" i="4"/>
  <c r="S30" i="4"/>
  <c r="S14" i="4"/>
  <c r="S15" i="4"/>
  <c r="S9" i="4"/>
  <c r="S10" i="4"/>
  <c r="S11" i="4"/>
  <c r="S17" i="4"/>
  <c r="S7" i="4"/>
  <c r="S18" i="4"/>
  <c r="S19" i="4"/>
  <c r="S20" i="4"/>
  <c r="S21" i="4"/>
  <c r="S22" i="4"/>
  <c r="S23" i="4"/>
  <c r="S24" i="4"/>
  <c r="S8" i="4"/>
  <c r="AD7" i="4"/>
  <c r="AD8" i="4"/>
  <c r="AD9" i="4"/>
  <c r="AD10" i="4"/>
  <c r="AD11" i="4"/>
  <c r="AD12" i="4"/>
  <c r="AD13" i="4"/>
  <c r="AD14" i="4"/>
  <c r="AD15" i="4"/>
  <c r="AD17" i="4"/>
  <c r="AD18" i="4"/>
  <c r="AD20" i="4"/>
  <c r="AD21" i="4"/>
  <c r="AD22" i="4"/>
  <c r="AD19" i="4"/>
  <c r="AD24" i="4"/>
  <c r="AD29" i="4"/>
  <c r="AD30" i="4"/>
  <c r="AD23" i="4"/>
  <c r="Q14" i="3"/>
  <c r="D14" i="2"/>
  <c r="R9" i="2" s="1"/>
  <c r="E14" i="2"/>
  <c r="F14" i="2"/>
  <c r="G14" i="2"/>
  <c r="H14" i="2"/>
  <c r="V11" i="2" s="1"/>
  <c r="I14" i="2"/>
  <c r="J14" i="2"/>
  <c r="K14" i="2"/>
  <c r="L14" i="2"/>
  <c r="Z8" i="2" s="1"/>
  <c r="M14" i="2"/>
  <c r="N14" i="2"/>
  <c r="O14" i="2"/>
  <c r="AC7" i="2" s="1"/>
  <c r="P7" i="2"/>
  <c r="P8" i="2"/>
  <c r="P9" i="2"/>
  <c r="P10" i="2"/>
  <c r="P11" i="2"/>
  <c r="P12" i="2"/>
  <c r="P13" i="2"/>
  <c r="Q14" i="2"/>
  <c r="R7" i="2"/>
  <c r="U7" i="2"/>
  <c r="V7" i="2"/>
  <c r="V13" i="2"/>
  <c r="Y9" i="2"/>
  <c r="Y12" i="2"/>
  <c r="B1" i="4"/>
  <c r="B2" i="4"/>
  <c r="B2" i="3"/>
  <c r="B1" i="3"/>
  <c r="G2" i="2"/>
  <c r="B3" i="3"/>
  <c r="B3" i="4"/>
  <c r="F2" i="4"/>
  <c r="F2" i="3"/>
  <c r="P30" i="4"/>
  <c r="P29" i="4"/>
  <c r="P24" i="4"/>
  <c r="P23" i="4"/>
  <c r="P22" i="4"/>
  <c r="P21" i="4"/>
  <c r="P20" i="4"/>
  <c r="P19" i="4"/>
  <c r="P18" i="4"/>
  <c r="P17" i="4"/>
  <c r="P15" i="4"/>
  <c r="P14" i="4"/>
  <c r="P13" i="4"/>
  <c r="P12" i="4"/>
  <c r="P11" i="4"/>
  <c r="P10" i="4"/>
  <c r="P9" i="4"/>
  <c r="P8" i="4"/>
  <c r="P7" i="4"/>
  <c r="O14" i="3"/>
  <c r="AC7" i="3" s="1"/>
  <c r="N14" i="3"/>
  <c r="AB10" i="3" s="1"/>
  <c r="M14" i="3"/>
  <c r="AA13" i="3" s="1"/>
  <c r="L14" i="3"/>
  <c r="Z9" i="3" s="1"/>
  <c r="K14" i="3"/>
  <c r="Y11" i="3" s="1"/>
  <c r="J14" i="3"/>
  <c r="X10" i="3" s="1"/>
  <c r="I14" i="3"/>
  <c r="W13" i="3" s="1"/>
  <c r="H14" i="3"/>
  <c r="V8" i="3" s="1"/>
  <c r="G14" i="3"/>
  <c r="U7" i="3" s="1"/>
  <c r="F14" i="3"/>
  <c r="T7" i="3" s="1"/>
  <c r="E14" i="3"/>
  <c r="S9" i="3" s="1"/>
  <c r="D14" i="3"/>
  <c r="R12" i="3" s="1"/>
  <c r="P7" i="3"/>
  <c r="P12" i="3"/>
  <c r="P13" i="3"/>
  <c r="P10" i="3"/>
  <c r="P11" i="3"/>
  <c r="P9" i="3"/>
  <c r="P8" i="3"/>
  <c r="Y10" i="3"/>
  <c r="V7" i="3"/>
  <c r="W9" i="3"/>
  <c r="W8" i="3"/>
  <c r="Y12" i="3"/>
  <c r="AC12" i="3"/>
  <c r="O16" i="3"/>
  <c r="O33" i="4" s="1"/>
  <c r="Z12" i="3" l="1"/>
  <c r="X7" i="3"/>
  <c r="X12" i="3"/>
  <c r="X13" i="3"/>
  <c r="AC8" i="3"/>
  <c r="X9" i="3"/>
  <c r="Y31" i="4"/>
  <c r="R10" i="3"/>
  <c r="S13" i="3"/>
  <c r="Z13" i="3"/>
  <c r="Z14" i="3" s="1"/>
  <c r="Z7" i="3"/>
  <c r="R11" i="2"/>
  <c r="R11" i="3"/>
  <c r="R8" i="3"/>
  <c r="R13" i="3"/>
  <c r="R9" i="3"/>
  <c r="W12" i="3"/>
  <c r="AC12" i="2"/>
  <c r="V10" i="3"/>
  <c r="V11" i="3"/>
  <c r="V14" i="3" s="1"/>
  <c r="V12" i="3"/>
  <c r="V9" i="3"/>
  <c r="V13" i="3"/>
  <c r="D16" i="3"/>
  <c r="D33" i="4" s="1"/>
  <c r="Z10" i="2"/>
  <c r="Z10" i="3"/>
  <c r="Z8" i="3"/>
  <c r="Z11" i="3"/>
  <c r="AB13" i="3"/>
  <c r="AA31" i="4"/>
  <c r="AD31" i="4"/>
  <c r="P31" i="4"/>
  <c r="O5" i="4" a="1"/>
  <c r="O5" i="4" s="1"/>
  <c r="AD5" i="4" s="1"/>
  <c r="N5" i="4" a="1"/>
  <c r="N5" i="4" s="1"/>
  <c r="AC5" i="4" s="1"/>
  <c r="M5" i="4" a="1"/>
  <c r="M5" i="4" s="1"/>
  <c r="AB5" i="4" s="1"/>
  <c r="L5" i="4" a="1"/>
  <c r="L5" i="4" s="1"/>
  <c r="AA5" i="4" s="1"/>
  <c r="K5" i="4" a="1"/>
  <c r="K5" i="4" s="1"/>
  <c r="Z5" i="4" s="1"/>
  <c r="J5" i="4" a="1"/>
  <c r="J5" i="4" s="1"/>
  <c r="Y5" i="4" s="1"/>
  <c r="I5" i="4" a="1"/>
  <c r="I5" i="4" s="1"/>
  <c r="X5" i="4" s="1"/>
  <c r="H5" i="4" a="1"/>
  <c r="H5" i="4" s="1"/>
  <c r="W5" i="4" s="1"/>
  <c r="G5" i="4" a="1"/>
  <c r="G5" i="4" s="1"/>
  <c r="V5" i="4" s="1"/>
  <c r="F5" i="4" a="1"/>
  <c r="F5" i="4" s="1"/>
  <c r="U5" i="4" s="1"/>
  <c r="E5" i="4" a="1"/>
  <c r="E5" i="4" s="1"/>
  <c r="T5" i="4" s="1"/>
  <c r="D5" i="4" a="1"/>
  <c r="D5" i="4" s="1"/>
  <c r="S5" i="4" s="1"/>
  <c r="O5" i="2" a="1"/>
  <c r="O5" i="2" s="1"/>
  <c r="AC5" i="2" s="1"/>
  <c r="N5" i="2" a="1"/>
  <c r="N5" i="2" s="1"/>
  <c r="AB5" i="2" s="1"/>
  <c r="M5" i="2" a="1"/>
  <c r="M5" i="2" s="1"/>
  <c r="AA5" i="2" s="1"/>
  <c r="L5" i="2" a="1"/>
  <c r="L5" i="2" s="1"/>
  <c r="Z5" i="2" s="1"/>
  <c r="K5" i="2" a="1"/>
  <c r="K5" i="2" s="1"/>
  <c r="Y5" i="2" s="1"/>
  <c r="J5" i="2" a="1"/>
  <c r="J5" i="2" s="1"/>
  <c r="X5" i="2" s="1"/>
  <c r="I5" i="2" a="1"/>
  <c r="I5" i="2" s="1"/>
  <c r="W5" i="2" s="1"/>
  <c r="H5" i="2" a="1"/>
  <c r="H5" i="2" s="1"/>
  <c r="V5" i="2" s="1"/>
  <c r="G5" i="2" a="1"/>
  <c r="G5" i="2" s="1"/>
  <c r="U5" i="2" s="1"/>
  <c r="F5" i="2" a="1"/>
  <c r="F5" i="2" s="1"/>
  <c r="T5" i="2" s="1"/>
  <c r="E5" i="2" a="1"/>
  <c r="E5" i="2" s="1"/>
  <c r="S5" i="2" s="1"/>
  <c r="D5" i="2" a="1"/>
  <c r="D5" i="2" s="1"/>
  <c r="R5" i="2" s="1"/>
  <c r="N5" i="3" a="1"/>
  <c r="N5" i="3" s="1"/>
  <c r="AB5" i="3" s="1"/>
  <c r="M5" i="3" a="1"/>
  <c r="M5" i="3" s="1"/>
  <c r="AA5" i="3" s="1"/>
  <c r="L5" i="3" a="1"/>
  <c r="L5" i="3" s="1"/>
  <c r="Z5" i="3" s="1"/>
  <c r="K5" i="3" a="1"/>
  <c r="K5" i="3" s="1"/>
  <c r="Y5" i="3" s="1"/>
  <c r="J5" i="3" a="1"/>
  <c r="J5" i="3" s="1"/>
  <c r="X5" i="3" s="1"/>
  <c r="I5" i="3" a="1"/>
  <c r="I5" i="3" s="1"/>
  <c r="W5" i="3" s="1"/>
  <c r="H5" i="3" a="1"/>
  <c r="H5" i="3" s="1"/>
  <c r="V5" i="3" s="1"/>
  <c r="G5" i="3" a="1"/>
  <c r="G5" i="3" s="1"/>
  <c r="U5" i="3" s="1"/>
  <c r="F5" i="3" a="1"/>
  <c r="F5" i="3" s="1"/>
  <c r="T5" i="3" s="1"/>
  <c r="E5" i="3" a="1"/>
  <c r="E5" i="3" s="1"/>
  <c r="S5" i="3" s="1"/>
  <c r="O5" i="3" a="1"/>
  <c r="O5" i="3" s="1"/>
  <c r="AC5" i="3" s="1"/>
  <c r="D5" i="3" a="1"/>
  <c r="D5" i="3" s="1"/>
  <c r="R5" i="3" s="1"/>
  <c r="AC11" i="3"/>
  <c r="AC13" i="3"/>
  <c r="AC9" i="3"/>
  <c r="AC10" i="3"/>
  <c r="AC14" i="3" s="1"/>
  <c r="V31" i="4"/>
  <c r="W7" i="3"/>
  <c r="W10" i="3"/>
  <c r="L16" i="3"/>
  <c r="L33" i="4" s="1"/>
  <c r="W11" i="3"/>
  <c r="T31" i="4"/>
  <c r="X31" i="4"/>
  <c r="U8" i="3"/>
  <c r="U14" i="3" s="1"/>
  <c r="S31" i="4"/>
  <c r="G16" i="3"/>
  <c r="G33" i="4" s="1"/>
  <c r="U11" i="3"/>
  <c r="X11" i="3"/>
  <c r="W31" i="4"/>
  <c r="R14" i="3"/>
  <c r="U12" i="3"/>
  <c r="U9" i="3"/>
  <c r="U13" i="3"/>
  <c r="U10" i="3"/>
  <c r="AA7" i="3"/>
  <c r="T12" i="3"/>
  <c r="AC8" i="2"/>
  <c r="Y13" i="2"/>
  <c r="U10" i="2"/>
  <c r="T11" i="3"/>
  <c r="Y13" i="3"/>
  <c r="T9" i="3"/>
  <c r="AA11" i="3"/>
  <c r="AA10" i="3"/>
  <c r="Y7" i="3"/>
  <c r="T10" i="3"/>
  <c r="AA8" i="3"/>
  <c r="AC11" i="2"/>
  <c r="Y8" i="2"/>
  <c r="U11" i="2"/>
  <c r="Y9" i="3"/>
  <c r="AA9" i="3"/>
  <c r="K16" i="3"/>
  <c r="K33" i="4" s="1"/>
  <c r="T13" i="3"/>
  <c r="T8" i="3"/>
  <c r="AA12" i="3"/>
  <c r="Y8" i="3"/>
  <c r="P14" i="3"/>
  <c r="AD8" i="3" s="1"/>
  <c r="AC10" i="2"/>
  <c r="Y11" i="2"/>
  <c r="Y7" i="2"/>
  <c r="U13" i="2"/>
  <c r="U9" i="2"/>
  <c r="AA12" i="2"/>
  <c r="AC13" i="2"/>
  <c r="AC9" i="2"/>
  <c r="Y10" i="2"/>
  <c r="U12" i="2"/>
  <c r="U8" i="2"/>
  <c r="Z7" i="2"/>
  <c r="V8" i="2"/>
  <c r="X11" i="2"/>
  <c r="S12" i="3"/>
  <c r="S11" i="3"/>
  <c r="AB12" i="3"/>
  <c r="AB9" i="3"/>
  <c r="AB7" i="3"/>
  <c r="S8" i="3"/>
  <c r="AB11" i="3"/>
  <c r="S10" i="3"/>
  <c r="AB8" i="3"/>
  <c r="X8" i="3"/>
  <c r="X14" i="3" s="1"/>
  <c r="S7" i="3"/>
  <c r="Z12" i="2"/>
  <c r="V9" i="2"/>
  <c r="AB10" i="2"/>
  <c r="AA9" i="2"/>
  <c r="W11" i="2"/>
  <c r="S9" i="2"/>
  <c r="S12" i="2"/>
  <c r="M16" i="3"/>
  <c r="M33" i="4" s="1"/>
  <c r="R13" i="2"/>
  <c r="J16" i="3"/>
  <c r="J33" i="4" s="1"/>
  <c r="X13" i="2"/>
  <c r="P14" i="2"/>
  <c r="E16" i="3"/>
  <c r="E33" i="4" s="1"/>
  <c r="I16" i="3"/>
  <c r="I33" i="4" s="1"/>
  <c r="G2" i="4"/>
  <c r="T9" i="2"/>
  <c r="AA8" i="2"/>
  <c r="W10" i="2"/>
  <c r="S8" i="2"/>
  <c r="R10" i="2"/>
  <c r="N16" i="3"/>
  <c r="N33" i="4" s="1"/>
  <c r="AA13" i="2"/>
  <c r="W7" i="2"/>
  <c r="S13" i="2"/>
  <c r="T7" i="2"/>
  <c r="AB8" i="2"/>
  <c r="AB11" i="2"/>
  <c r="AB13" i="2"/>
  <c r="Z13" i="2"/>
  <c r="Z9" i="2"/>
  <c r="V10" i="2"/>
  <c r="R12" i="2"/>
  <c r="R8" i="2"/>
  <c r="AB7" i="2"/>
  <c r="AB9" i="2"/>
  <c r="AB12" i="2"/>
  <c r="H16" i="3"/>
  <c r="H33" i="4" s="1"/>
  <c r="Z11" i="2"/>
  <c r="V12" i="2"/>
  <c r="F16" i="3"/>
  <c r="X8" i="2"/>
  <c r="X9" i="2"/>
  <c r="X12" i="2"/>
  <c r="T12" i="2"/>
  <c r="T10" i="2"/>
  <c r="X7" i="2"/>
  <c r="AA11" i="2"/>
  <c r="AA7" i="2"/>
  <c r="W13" i="2"/>
  <c r="W9" i="2"/>
  <c r="S11" i="2"/>
  <c r="S7" i="2"/>
  <c r="T11" i="2"/>
  <c r="T13" i="2"/>
  <c r="X10" i="2"/>
  <c r="AA10" i="2"/>
  <c r="W12" i="2"/>
  <c r="W8" i="2"/>
  <c r="T8" i="2"/>
  <c r="S10" i="2"/>
  <c r="G2" i="3"/>
  <c r="W14" i="3" l="1"/>
  <c r="AE27" i="4"/>
  <c r="AE28" i="4"/>
  <c r="AE25" i="4"/>
  <c r="AE26" i="4"/>
  <c r="AE16" i="4"/>
  <c r="AE7" i="4"/>
  <c r="AE24" i="4"/>
  <c r="AE20" i="4"/>
  <c r="AE15" i="4"/>
  <c r="AE11" i="4"/>
  <c r="AE8" i="4"/>
  <c r="AE23" i="4"/>
  <c r="AE19" i="4"/>
  <c r="AE14" i="4"/>
  <c r="AE10" i="4"/>
  <c r="AE30" i="4"/>
  <c r="AE22" i="4"/>
  <c r="AE18" i="4"/>
  <c r="AE13" i="4"/>
  <c r="AE9" i="4"/>
  <c r="AE29" i="4"/>
  <c r="AE21" i="4"/>
  <c r="AE17" i="4"/>
  <c r="AE12" i="4"/>
  <c r="Z31" i="4"/>
  <c r="AB31" i="4"/>
  <c r="U31" i="4"/>
  <c r="AC31" i="4"/>
  <c r="AD10" i="3"/>
  <c r="AD13" i="3"/>
  <c r="AA14" i="3"/>
  <c r="AD7" i="3"/>
  <c r="Y14" i="2"/>
  <c r="T14" i="3"/>
  <c r="AD7" i="2"/>
  <c r="U14" i="2"/>
  <c r="AD12" i="3"/>
  <c r="AD11" i="3"/>
  <c r="AC14" i="2"/>
  <c r="Y14" i="3"/>
  <c r="AD9" i="3"/>
  <c r="AD12" i="2"/>
  <c r="AD11" i="2"/>
  <c r="AB14" i="3"/>
  <c r="S14" i="3"/>
  <c r="AD13" i="2"/>
  <c r="P16" i="3"/>
  <c r="T16" i="3" s="1"/>
  <c r="AD10" i="2"/>
  <c r="Z14" i="2"/>
  <c r="AD9" i="2"/>
  <c r="AD8" i="2"/>
  <c r="V14" i="2"/>
  <c r="W14" i="2"/>
  <c r="R14" i="2"/>
  <c r="AB14" i="2"/>
  <c r="T14" i="2"/>
  <c r="S14" i="2"/>
  <c r="AA14" i="2"/>
  <c r="X14" i="2"/>
  <c r="F33" i="4"/>
  <c r="AD14" i="3" l="1"/>
  <c r="AE31" i="4"/>
  <c r="S16" i="3"/>
  <c r="U16" i="3"/>
  <c r="AD14" i="2"/>
  <c r="AB16" i="3"/>
  <c r="AC16" i="3"/>
  <c r="Y16" i="3"/>
  <c r="AA16" i="3"/>
  <c r="V16" i="3"/>
  <c r="W16" i="3"/>
  <c r="R16" i="3"/>
  <c r="AD16" i="3"/>
  <c r="X16" i="3"/>
  <c r="Z16" i="3"/>
  <c r="P33" i="4"/>
  <c r="U33" i="4" s="1"/>
  <c r="T33" i="4" l="1"/>
  <c r="AC33" i="4"/>
  <c r="AE33" i="4"/>
  <c r="S33" i="4"/>
  <c r="AD33" i="4"/>
  <c r="AB33" i="4"/>
  <c r="X33" i="4"/>
  <c r="V33" i="4"/>
  <c r="AA33" i="4"/>
  <c r="W33" i="4"/>
  <c r="Z33" i="4"/>
  <c r="Y3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<sst xmlns="http://schemas.openxmlformats.org/spreadsheetml/2006/main" count="184" uniqueCount="88">
  <si>
    <t>Doze meses</t>
  </si>
  <si>
    <t>Projeção de Lucros e Perdas</t>
  </si>
  <si>
    <t>RECEITAS (VENDAS)</t>
  </si>
  <si>
    <t>TOTAL DE VENDAS</t>
  </si>
  <si>
    <t>TENDÊNCIA</t>
  </si>
  <si>
    <t>Jan</t>
  </si>
  <si>
    <t>Início do Ano Fiscal:</t>
  </si>
  <si>
    <t>Fev</t>
  </si>
  <si>
    <t>JAN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</si>
  <si>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</si>
  <si>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</si>
  <si>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</si>
  <si>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</si>
  <si>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</si>
  <si>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</si>
  <si>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</si>
  <si>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</si>
  <si>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</si>
  <si>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</si>
  <si>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ANUALMENTE</t>
  </si>
  <si>
    <t>Anualmente</t>
  </si>
  <si>
    <t>ÍND %</t>
  </si>
  <si>
    <t>Índice %</t>
  </si>
  <si>
    <t>Jan %</t>
  </si>
  <si>
    <t>Fev %</t>
  </si>
  <si>
    <t>Mar %</t>
  </si>
  <si>
    <t>Abr %</t>
  </si>
  <si>
    <t>Mai %</t>
  </si>
  <si>
    <t>Jun %</t>
  </si>
  <si>
    <t>Jul %</t>
  </si>
  <si>
    <t>Ago %</t>
  </si>
  <si>
    <t>Set %</t>
  </si>
  <si>
    <t>Out %</t>
  </si>
  <si>
    <t>Nov %</t>
  </si>
  <si>
    <t>Dez %</t>
  </si>
  <si>
    <t>ANO %</t>
  </si>
  <si>
    <t>Ano %</t>
  </si>
  <si>
    <t>CUSTO DE VENDAS</t>
  </si>
  <si>
    <t>CUSTO TOTAL DE VENDAS</t>
  </si>
  <si>
    <t>Lucro Bruto</t>
  </si>
  <si>
    <t>Ano Fiscal:</t>
  </si>
  <si>
    <t>DESPESAS</t>
  </si>
  <si>
    <t xml:space="preserve">Despesas com salário </t>
  </si>
  <si>
    <t xml:space="preserve">Descontos na folha de pagamento </t>
  </si>
  <si>
    <t>Serviços externos</t>
  </si>
  <si>
    <t>Suprimentos (escritório e operações)</t>
  </si>
  <si>
    <t>Reparos e manutenção</t>
  </si>
  <si>
    <t>Publicidade</t>
  </si>
  <si>
    <t>Carro, viagens e entregas</t>
  </si>
  <si>
    <t>Contabilidade e jurídico</t>
  </si>
  <si>
    <t>Aluguel</t>
  </si>
  <si>
    <t>Seguro</t>
  </si>
  <si>
    <t>Impostos (imóveis, etc.)</t>
  </si>
  <si>
    <t>Juros</t>
  </si>
  <si>
    <t>Depreciação</t>
  </si>
  <si>
    <t>Diversos (não especificado)</t>
  </si>
  <si>
    <t>DESPESAS TOTAIS</t>
  </si>
  <si>
    <t>Lucro Líquido</t>
  </si>
  <si>
    <t xml:space="preserve"> </t>
  </si>
  <si>
    <t>Pérolas do Rio</t>
  </si>
  <si>
    <t>Maquinário</t>
  </si>
  <si>
    <t>Insumos para Jóias</t>
  </si>
  <si>
    <t>Energia Elétrica</t>
  </si>
  <si>
    <t>Telefone/Internet</t>
  </si>
  <si>
    <t>Banho de Ouro</t>
  </si>
  <si>
    <t>Banho de Prata</t>
  </si>
  <si>
    <t>Gemas</t>
  </si>
  <si>
    <t>Embalagens</t>
  </si>
  <si>
    <t>Marketing</t>
  </si>
  <si>
    <t>Ferramentas</t>
  </si>
  <si>
    <t>Coluna1</t>
  </si>
  <si>
    <t>Anéis</t>
  </si>
  <si>
    <t>Brincos</t>
  </si>
  <si>
    <t>Tornozeleira</t>
  </si>
  <si>
    <t>Choker</t>
  </si>
  <si>
    <t>Cordões Masculinos</t>
  </si>
  <si>
    <t>Colares Femininos</t>
  </si>
  <si>
    <t>Tiaras</t>
  </si>
  <si>
    <t>Produto</t>
  </si>
  <si>
    <t>Panfleteiro</t>
  </si>
  <si>
    <t>Embalagem Presente</t>
  </si>
  <si>
    <t>Embalagem Produto</t>
  </si>
  <si>
    <t>Propaganda</t>
  </si>
  <si>
    <t>Flanela</t>
  </si>
  <si>
    <t>Limpeza das peças</t>
  </si>
  <si>
    <t>LOGO DA EMPRESA</t>
  </si>
  <si>
    <t>Peça '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</si>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</sst>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  <numFmt numFmtId="166" formatCode=";;;"/>
    <numFmt numFmtId="167" formatCode="[$-416]mmm\-yy;@"/>
  </numFmts>
  <fonts count="45" x14ac:knownFonts="1"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b/>
      <sz val="12"/>
      <color theme="0"/>
      <name val="Cambria"/>
      <family val="2"/>
      <scheme val="minor"/>
    </font>
    <font>
      <b/>
      <sz val="12"/>
      <color theme="8"/>
      <name val="Calibri"/>
      <family val="1"/>
      <scheme val="major"/>
    </font>
    <font>
      <sz val="10"/>
      <color theme="1"/>
      <name val="Cambria"/>
      <family val="2"/>
      <scheme val="minor"/>
    </font>
    <font>
      <b/>
      <sz val="26"/>
      <color theme="3"/>
      <name val="Cambria"/>
      <family val="2"/>
      <scheme val="minor"/>
    </font>
    <font>
      <b/>
      <sz val="22"/>
      <color theme="3"/>
      <name val="Cambria"/>
      <family val="2"/>
      <scheme val="minor"/>
    </font>
    <font>
      <b/>
      <sz val="12"/>
      <color theme="3"/>
      <name val="Cambria"/>
      <family val="2"/>
      <scheme val="minor"/>
    </font>
    <font>
      <b/>
      <i/>
      <sz val="22"/>
      <color theme="7"/>
      <name val="Calibri"/>
      <family val="1"/>
      <scheme val="major"/>
    </font>
    <font>
      <b/>
      <sz val="11"/>
      <color theme="8"/>
      <name val="Cambria"/>
      <family val="2"/>
      <scheme val="minor"/>
    </font>
    <font>
      <b/>
      <sz val="11"/>
      <color theme="0"/>
      <name val="Cambria"/>
      <family val="2"/>
      <scheme val="minor"/>
    </font>
    <font>
      <sz val="11"/>
      <color theme="3"/>
      <name val="Calibri"/>
      <family val="1"/>
      <scheme val="major"/>
    </font>
    <font>
      <sz val="11"/>
      <name val="Cambria"/>
      <family val="2"/>
      <scheme val="minor"/>
    </font>
    <font>
      <b/>
      <i/>
      <sz val="16"/>
      <color theme="7" tint="-0.24994659260841701"/>
      <name val="Calibri"/>
      <family val="1"/>
      <scheme val="major"/>
    </font>
    <font>
      <b/>
      <i/>
      <sz val="22"/>
      <color theme="7" tint="-0.24994659260841701"/>
      <name val="Calibri"/>
      <family val="1"/>
      <scheme val="major"/>
    </font>
    <font>
      <sz val="22"/>
      <color theme="3"/>
      <name val="Cambria"/>
      <family val="2"/>
      <charset val="238"/>
      <scheme val="minor"/>
    </font>
    <font>
      <b/>
      <sz val="11"/>
      <color theme="1"/>
      <name val="Calibri"/>
      <family val="2"/>
      <charset val="238"/>
      <scheme val="major"/>
    </font>
    <font>
      <sz val="11"/>
      <color theme="0"/>
      <name val="Cambria"/>
      <family val="2"/>
      <scheme val="minor"/>
    </font>
    <font>
      <b/>
      <sz val="11"/>
      <color theme="0"/>
      <name val="Cambria"/>
      <family val="1"/>
      <charset val="238"/>
      <scheme val="minor"/>
    </font>
    <font>
      <b/>
      <sz val="12"/>
      <color theme="1"/>
      <name val="Cambria"/>
      <family val="1"/>
      <charset val="238"/>
      <scheme val="minor"/>
    </font>
    <font>
      <sz val="11"/>
      <color theme="4" tint="-0.499984740745262"/>
      <name val="Cambria"/>
      <family val="1"/>
      <charset val="238"/>
      <scheme val="minor"/>
    </font>
    <font>
      <sz val="22"/>
      <color theme="1"/>
      <name val="Cambria"/>
      <family val="2"/>
      <charset val="238"/>
      <scheme val="minor"/>
    </font>
    <font>
      <sz val="24"/>
      <color theme="1"/>
      <name val="Calibri"/>
      <family val="2"/>
      <charset val="238"/>
      <scheme val="major"/>
    </font>
    <font>
      <i/>
      <sz val="16"/>
      <color theme="5" tint="-0.499984740745262"/>
      <name val="Cambria"/>
      <family val="1"/>
      <charset val="238"/>
      <scheme val="minor"/>
    </font>
    <font>
      <sz val="11"/>
      <color theme="5" tint="-0.499984740745262"/>
      <name val="Cambria"/>
      <family val="1"/>
      <charset val="238"/>
      <scheme val="minor"/>
    </font>
    <font>
      <i/>
      <sz val="11"/>
      <color theme="5" tint="-0.499984740745262"/>
      <name val="Cambria"/>
      <family val="1"/>
      <charset val="238"/>
      <scheme val="minor"/>
    </font>
    <font>
      <i/>
      <sz val="16"/>
      <color theme="4" tint="-0.499984740745262"/>
      <name val="Cambria"/>
      <family val="1"/>
      <charset val="238"/>
      <scheme val="minor"/>
    </font>
    <font>
      <i/>
      <sz val="11"/>
      <color theme="4" tint="-0.499984740745262"/>
      <name val="Cambria"/>
      <family val="1"/>
      <charset val="238"/>
      <scheme val="minor"/>
    </font>
    <font>
      <i/>
      <sz val="16"/>
      <color theme="9" tint="-0.499984740745262"/>
      <name val="Cambria"/>
      <family val="1"/>
      <charset val="238"/>
      <scheme val="minor"/>
    </font>
    <font>
      <sz val="11"/>
      <color theme="9" tint="-0.499984740745262"/>
      <name val="Cambria"/>
      <family val="1"/>
      <charset val="238"/>
      <scheme val="minor"/>
    </font>
    <font>
      <i/>
      <sz val="11"/>
      <color theme="9" tint="-0.499984740745262"/>
      <name val="Cambria"/>
      <family val="1"/>
      <charset val="238"/>
      <scheme val="minor"/>
    </font>
    <font>
      <b/>
      <sz val="11"/>
      <color theme="1"/>
      <name val="Calibri"/>
      <family val="2"/>
      <scheme val="major"/>
    </font>
    <font>
      <b/>
      <sz val="12"/>
      <color theme="1"/>
      <name val="Cambria"/>
      <family val="1"/>
      <scheme val="minor"/>
    </font>
    <font>
      <b/>
      <sz val="12"/>
      <color theme="1"/>
      <name val="Cambria"/>
      <family val="2"/>
      <scheme val="minor"/>
    </font>
    <font>
      <sz val="11"/>
      <color rgb="FF006100"/>
      <name val="Cambria"/>
      <family val="2"/>
      <scheme val="minor"/>
    </font>
    <font>
      <sz val="11"/>
      <color rgb="FF9C0006"/>
      <name val="Cambria"/>
      <family val="2"/>
      <scheme val="minor"/>
    </font>
    <font>
      <sz val="11"/>
      <color rgb="FF9C5700"/>
      <name val="Cambria"/>
      <family val="2"/>
      <scheme val="minor"/>
    </font>
    <font>
      <sz val="11"/>
      <color rgb="FF3F3F76"/>
      <name val="Cambria"/>
      <family val="2"/>
      <scheme val="minor"/>
    </font>
    <font>
      <b/>
      <sz val="11"/>
      <color rgb="FF3F3F3F"/>
      <name val="Cambria"/>
      <family val="2"/>
      <scheme val="minor"/>
    </font>
    <font>
      <b/>
      <sz val="11"/>
      <color rgb="FFFA7D00"/>
      <name val="Cambria"/>
      <family val="2"/>
      <scheme val="minor"/>
    </font>
    <font>
      <sz val="11"/>
      <color rgb="FFFA7D00"/>
      <name val="Cambria"/>
      <family val="2"/>
      <scheme val="minor"/>
    </font>
    <font>
      <sz val="11"/>
      <color rgb="FFFF0000"/>
      <name val="Cambria"/>
      <family val="2"/>
      <scheme val="minor"/>
    </font>
    <font>
      <i/>
      <sz val="11"/>
      <color rgb="FF7F7F7F"/>
      <name val="Cambria"/>
      <family val="2"/>
      <scheme val="minor"/>
    </font>
    <font>
      <b/>
      <sz val="11"/>
      <color theme="1"/>
      <name val="Cambria"/>
      <family val="2"/>
      <scheme val="minor"/>
    </font>
    <font>
      <sz val="8"/>
      <name val="Cambria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CC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6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theme="3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/>
      <diagonal/>
    </border>
    <border>
      <left style="thin">
        <color theme="5" tint="-0.249977111117893"/>
      </left>
      <right style="thin">
        <color theme="5" tint="-0.249977111117893"/>
      </right>
      <top/>
      <bottom/>
      <diagonal/>
    </border>
    <border>
      <left style="thin">
        <color theme="5" tint="-0.249977111117893"/>
      </left>
      <right style="thin">
        <color theme="5" tint="-0.249977111117893"/>
      </right>
      <top/>
      <bottom style="thin">
        <color theme="5" tint="-0.249977111117893"/>
      </bottom>
      <diagonal/>
    </border>
    <border>
      <left/>
      <right style="thin">
        <color theme="5" tint="-0.249977111117893"/>
      </right>
      <top style="thin">
        <color theme="5" tint="-0.249977111117893"/>
      </top>
      <bottom/>
      <diagonal/>
    </border>
    <border>
      <left style="thin">
        <color theme="5" tint="-0.249977111117893"/>
      </left>
      <right/>
      <top/>
      <bottom/>
      <diagonal/>
    </border>
    <border>
      <left/>
      <right style="thin">
        <color theme="5" tint="-0.249977111117893"/>
      </right>
      <top/>
      <bottom/>
      <diagonal/>
    </border>
    <border>
      <left style="thin">
        <color theme="5" tint="-0.249977111117893"/>
      </left>
      <right/>
      <top/>
      <bottom style="thin">
        <color theme="5" tint="-0.249977111117893"/>
      </bottom>
      <diagonal/>
    </border>
    <border>
      <left/>
      <right/>
      <top/>
      <bottom style="thin">
        <color theme="5" tint="-0.249977111117893"/>
      </bottom>
      <diagonal/>
    </border>
    <border>
      <left/>
      <right style="thin">
        <color theme="5" tint="-0.249977111117893"/>
      </right>
      <top/>
      <bottom style="thin">
        <color theme="5" tint="-0.249977111117893"/>
      </bottom>
      <diagonal/>
    </border>
    <border>
      <left style="dotted">
        <color theme="5" tint="0.39997558519241921"/>
      </left>
      <right style="dotted">
        <color theme="5" tint="0.39997558519241921"/>
      </right>
      <top/>
      <bottom/>
      <diagonal/>
    </border>
    <border>
      <left style="thin">
        <color theme="5" tint="-0.249977111117893"/>
      </left>
      <right style="dotted">
        <color theme="5" tint="0.39997558519241921"/>
      </right>
      <top style="thin">
        <color theme="5" tint="-0.249977111117893"/>
      </top>
      <bottom/>
      <diagonal/>
    </border>
    <border>
      <left style="dotted">
        <color theme="5" tint="0.39997558519241921"/>
      </left>
      <right style="dotted">
        <color theme="5" tint="0.39997558519241921"/>
      </right>
      <top style="thin">
        <color theme="5" tint="-0.249977111117893"/>
      </top>
      <bottom/>
      <diagonal/>
    </border>
    <border>
      <left/>
      <right style="thin">
        <color theme="4" tint="-0.249977111117893"/>
      </right>
      <top/>
      <bottom/>
      <diagonal/>
    </border>
    <border>
      <left style="thin">
        <color theme="4" tint="-0.249977111117893"/>
      </left>
      <right/>
      <top/>
      <bottom/>
      <diagonal/>
    </border>
    <border>
      <left style="thin">
        <color theme="4" tint="-0.249977111117893"/>
      </left>
      <right/>
      <top/>
      <bottom style="thin">
        <color theme="4" tint="-0.249977111117893"/>
      </bottom>
      <diagonal/>
    </border>
    <border>
      <left/>
      <right/>
      <top/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 style="dotted">
        <color theme="4" tint="0.39997558519241921"/>
      </left>
      <right style="dotted">
        <color theme="4" tint="0.39997558519241921"/>
      </right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 style="thin">
        <color theme="4" tint="-0.249977111117893"/>
      </right>
      <top/>
      <bottom/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 style="dotted">
        <color theme="4" tint="0.39997558519241921"/>
      </right>
      <top style="thin">
        <color theme="4" tint="-0.249977111117893"/>
      </top>
      <bottom/>
      <diagonal/>
    </border>
    <border>
      <left style="dotted">
        <color theme="4" tint="0.39997558519241921"/>
      </left>
      <right style="dotted">
        <color theme="4" tint="0.39997558519241921"/>
      </right>
      <top style="thin">
        <color theme="4" tint="-0.249977111117893"/>
      </top>
      <bottom/>
      <diagonal/>
    </border>
    <border>
      <left style="dotted">
        <color theme="4" tint="0.39997558519241921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dotted">
        <color theme="6" tint="0.59999389629810485"/>
      </left>
      <right style="dotted">
        <color theme="6" tint="0.59999389629810485"/>
      </right>
      <top/>
      <bottom/>
      <diagonal/>
    </border>
    <border>
      <left style="thin">
        <color theme="9" tint="-0.499984740745262"/>
      </left>
      <right style="dotted">
        <color theme="6" tint="0.59999389629810485"/>
      </right>
      <top style="thin">
        <color theme="9" tint="-0.499984740745262"/>
      </top>
      <bottom/>
      <diagonal/>
    </border>
    <border>
      <left style="dotted">
        <color theme="6" tint="0.59999389629810485"/>
      </left>
      <right style="dotted">
        <color theme="6" tint="0.59999389629810485"/>
      </right>
      <top style="thin">
        <color theme="9" tint="-0.499984740745262"/>
      </top>
      <bottom/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/>
      <bottom/>
      <diagonal/>
    </border>
    <border>
      <left/>
      <right style="thin">
        <color theme="9" tint="-0.499984740745262"/>
      </right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/>
      <bottom/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theme="5" tint="0.39991454817346722"/>
      </left>
      <right style="dotted">
        <color theme="5" tint="0.39991454817346722"/>
      </right>
      <top/>
      <bottom style="thin">
        <color theme="5" tint="0.39994506668294322"/>
      </bottom>
      <diagonal/>
    </border>
    <border>
      <left style="dotted">
        <color theme="5" tint="0.39988402966399123"/>
      </left>
      <right style="dotted">
        <color theme="5" tint="0.39991454817346722"/>
      </right>
      <top style="thin">
        <color theme="5" tint="0.39991454817346722"/>
      </top>
      <bottom style="thin">
        <color theme="5" tint="0.39994506668294322"/>
      </bottom>
      <diagonal/>
    </border>
    <border>
      <left style="dotted">
        <color theme="5" tint="0.39991454817346722"/>
      </left>
      <right style="dotted">
        <color theme="5" tint="0.39991454817346722"/>
      </right>
      <top style="thin">
        <color theme="5" tint="0.39991454817346722"/>
      </top>
      <bottom style="thin">
        <color theme="5" tint="0.39994506668294322"/>
      </bottom>
      <diagonal/>
    </border>
    <border>
      <left style="dotted">
        <color theme="5" tint="0.39991454817346722"/>
      </left>
      <right style="dotted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dotted">
        <color theme="5" tint="0.39994506668294322"/>
      </left>
      <right style="dotted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55">
    <xf numFmtId="0" fontId="0" fillId="0" borderId="0"/>
    <xf numFmtId="9" fontId="12" fillId="0" borderId="0" applyFill="0" applyBorder="0" applyProtection="0">
      <alignment horizontal="right"/>
    </xf>
    <xf numFmtId="0" fontId="6" fillId="0" borderId="0" applyNumberFormat="0" applyFill="0" applyBorder="0" applyProtection="0">
      <alignment vertical="center"/>
    </xf>
    <xf numFmtId="0" fontId="13" fillId="0" borderId="3" applyProtection="0">
      <alignment vertical="center"/>
    </xf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2" fontId="12" fillId="0" borderId="0" applyFill="0" applyBorder="0" applyAlignment="0" applyProtection="0"/>
    <xf numFmtId="0" fontId="1" fillId="4" borderId="1" applyNumberFormat="0" applyFont="0" applyAlignment="0" applyProtection="0"/>
    <xf numFmtId="0" fontId="2" fillId="2" borderId="0">
      <alignment horizontal="right" vertical="center" indent="1"/>
    </xf>
    <xf numFmtId="42" fontId="10" fillId="2" borderId="0" applyBorder="0" applyAlignment="0" applyProtection="0"/>
    <xf numFmtId="9" fontId="10" fillId="2" borderId="0" applyBorder="0" applyAlignment="0" applyProtection="0"/>
    <xf numFmtId="0" fontId="1" fillId="0" borderId="0">
      <alignment horizontal="right" wrapText="1" indent="1"/>
    </xf>
    <xf numFmtId="0" fontId="14" fillId="0" borderId="0" applyFill="0" applyProtection="0">
      <alignment horizontal="right" vertical="center"/>
    </xf>
    <xf numFmtId="0" fontId="3" fillId="0" borderId="0" applyFill="0" applyProtection="0">
      <alignment horizontal="right" vertical="center"/>
    </xf>
    <xf numFmtId="167" fontId="11" fillId="0" borderId="2" applyFill="0" applyProtection="0">
      <alignment horizontal="center" vertical="center"/>
    </xf>
    <xf numFmtId="0" fontId="7" fillId="0" borderId="0">
      <alignment horizontal="right" indent="1"/>
    </xf>
    <xf numFmtId="42" fontId="1" fillId="5" borderId="0" applyNumberFormat="0" applyFont="0" applyAlignment="0">
      <alignment horizontal="center"/>
    </xf>
    <xf numFmtId="42" fontId="12" fillId="3" borderId="4" applyNumberFormat="0" applyFont="0" applyAlignment="0"/>
    <xf numFmtId="42" fontId="12" fillId="6" borderId="4" applyNumberFormat="0" applyFont="0" applyAlignment="0"/>
    <xf numFmtId="44" fontId="1" fillId="0" borderId="0" applyFont="0" applyFill="0" applyBorder="0" applyAlignment="0" applyProtection="0"/>
    <xf numFmtId="0" fontId="34" fillId="9" borderId="0" applyNumberFormat="0" applyBorder="0" applyAlignment="0" applyProtection="0"/>
    <xf numFmtId="0" fontId="35" fillId="10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42" applyNumberFormat="0" applyAlignment="0" applyProtection="0"/>
    <xf numFmtId="0" fontId="38" fillId="13" borderId="43" applyNumberFormat="0" applyAlignment="0" applyProtection="0"/>
    <xf numFmtId="0" fontId="39" fillId="13" borderId="42" applyNumberFormat="0" applyAlignment="0" applyProtection="0"/>
    <xf numFmtId="0" fontId="40" fillId="0" borderId="44" applyNumberFormat="0" applyFill="0" applyAlignment="0" applyProtection="0"/>
    <xf numFmtId="0" fontId="10" fillId="14" borderId="45" applyNumberFormat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46" applyNumberFormat="0" applyFill="0" applyAlignment="0" applyProtection="0"/>
    <xf numFmtId="0" fontId="17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7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7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7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7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7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</cellStyleXfs>
  <cellXfs count="130">
    <xf numFmtId="0" fontId="0" fillId="0" borderId="0" xfId="0"/>
    <xf numFmtId="0" fontId="5" fillId="0" borderId="0" xfId="0" applyFont="1" applyAlignment="1">
      <alignment vertical="center"/>
    </xf>
    <xf numFmtId="0" fontId="9" fillId="0" borderId="0" xfId="0" applyFont="1"/>
    <xf numFmtId="0" fontId="8" fillId="0" borderId="0" xfId="0" applyFont="1" applyAlignment="1">
      <alignment horizontal="right" vertical="center"/>
    </xf>
    <xf numFmtId="0" fontId="2" fillId="2" borderId="0" xfId="8">
      <alignment horizontal="right" vertical="center" indent="1"/>
    </xf>
    <xf numFmtId="0" fontId="0" fillId="0" borderId="0" xfId="0" applyAlignment="1">
      <alignment horizontal="center"/>
    </xf>
    <xf numFmtId="0" fontId="14" fillId="0" borderId="0" xfId="12">
      <alignment horizontal="right" vertical="center"/>
    </xf>
    <xf numFmtId="0" fontId="3" fillId="0" borderId="0" xfId="13">
      <alignment horizontal="right" vertical="center"/>
    </xf>
    <xf numFmtId="166" fontId="0" fillId="0" borderId="0" xfId="0" applyNumberFormat="1" applyAlignment="1">
      <alignment horizontal="center"/>
    </xf>
    <xf numFmtId="9" fontId="12" fillId="0" borderId="0" xfId="1" applyAlignment="1">
      <alignment horizontal="right" vertical="center"/>
    </xf>
    <xf numFmtId="9" fontId="0" fillId="0" borderId="0" xfId="0" applyNumberFormat="1" applyAlignment="1">
      <alignment horizontal="right" vertical="center" shrinkToFit="1"/>
    </xf>
    <xf numFmtId="0" fontId="0" fillId="0" borderId="5" xfId="0" applyBorder="1"/>
    <xf numFmtId="0" fontId="5" fillId="0" borderId="5" xfId="0" applyFont="1" applyBorder="1" applyAlignment="1">
      <alignment vertical="center"/>
    </xf>
    <xf numFmtId="0" fontId="9" fillId="0" borderId="5" xfId="0" applyFont="1" applyBorder="1"/>
    <xf numFmtId="0" fontId="1" fillId="0" borderId="0" xfId="11" applyAlignment="1">
      <alignment horizontal="right" vertical="center" wrapText="1" indent="1"/>
    </xf>
    <xf numFmtId="0" fontId="4" fillId="0" borderId="0" xfId="16" applyNumberFormat="1" applyFont="1" applyFill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0" fillId="0" borderId="6" xfId="0" applyBorder="1"/>
    <xf numFmtId="0" fontId="0" fillId="0" borderId="0" xfId="0" applyAlignment="1">
      <alignment horizontal="right" vertical="center" indent="1"/>
    </xf>
    <xf numFmtId="166" fontId="0" fillId="0" borderId="8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9" fontId="12" fillId="0" borderId="11" xfId="1" applyBorder="1" applyAlignment="1">
      <alignment horizontal="right" vertical="center"/>
    </xf>
    <xf numFmtId="9" fontId="12" fillId="0" borderId="12" xfId="1" applyBorder="1" applyAlignment="1">
      <alignment horizontal="right" vertical="center"/>
    </xf>
    <xf numFmtId="9" fontId="0" fillId="0" borderId="13" xfId="0" applyNumberFormat="1" applyBorder="1" applyAlignment="1">
      <alignment horizontal="right" vertical="center" shrinkToFit="1"/>
    </xf>
    <xf numFmtId="9" fontId="0" fillId="0" borderId="14" xfId="0" applyNumberFormat="1" applyBorder="1" applyAlignment="1">
      <alignment horizontal="right" vertical="center" shrinkToFit="1"/>
    </xf>
    <xf numFmtId="9" fontId="0" fillId="0" borderId="15" xfId="0" applyNumberFormat="1" applyBorder="1" applyAlignment="1">
      <alignment vertical="center" shrinkToFit="1"/>
    </xf>
    <xf numFmtId="0" fontId="0" fillId="0" borderId="0" xfId="0" applyAlignment="1">
      <alignment horizontal="right" vertical="center" wrapText="1" indent="1"/>
    </xf>
    <xf numFmtId="166" fontId="0" fillId="0" borderId="19" xfId="0" applyNumberFormat="1" applyBorder="1" applyAlignment="1">
      <alignment horizontal="center"/>
    </xf>
    <xf numFmtId="9" fontId="12" fillId="0" borderId="19" xfId="1" applyBorder="1" applyAlignment="1">
      <alignment horizontal="right" vertical="center"/>
    </xf>
    <xf numFmtId="166" fontId="0" fillId="0" borderId="20" xfId="0" applyNumberFormat="1" applyBorder="1" applyAlignment="1">
      <alignment horizontal="center"/>
    </xf>
    <xf numFmtId="9" fontId="12" fillId="0" borderId="20" xfId="1" applyBorder="1" applyAlignment="1">
      <alignment horizontal="right" vertical="center"/>
    </xf>
    <xf numFmtId="9" fontId="0" fillId="0" borderId="21" xfId="0" applyNumberFormat="1" applyBorder="1" applyAlignment="1">
      <alignment horizontal="right" vertical="center" shrinkToFit="1"/>
    </xf>
    <xf numFmtId="9" fontId="0" fillId="0" borderId="22" xfId="0" applyNumberFormat="1" applyBorder="1" applyAlignment="1">
      <alignment horizontal="right" vertical="center" shrinkToFit="1"/>
    </xf>
    <xf numFmtId="9" fontId="0" fillId="0" borderId="23" xfId="0" applyNumberFormat="1" applyBorder="1" applyAlignment="1">
      <alignment vertical="center" shrinkToFit="1"/>
    </xf>
    <xf numFmtId="0" fontId="15" fillId="0" borderId="0" xfId="2" applyFont="1">
      <alignment vertical="center"/>
    </xf>
    <xf numFmtId="0" fontId="0" fillId="0" borderId="0" xfId="0" applyAlignment="1">
      <alignment horizontal="right" vertical="center" wrapText="1"/>
    </xf>
    <xf numFmtId="166" fontId="0" fillId="0" borderId="26" xfId="0" applyNumberFormat="1" applyBorder="1" applyAlignment="1">
      <alignment horizontal="center"/>
    </xf>
    <xf numFmtId="0" fontId="19" fillId="0" borderId="0" xfId="15" applyFont="1" applyAlignment="1">
      <alignment horizontal="center" vertical="center"/>
    </xf>
    <xf numFmtId="0" fontId="2" fillId="0" borderId="0" xfId="8" applyFill="1">
      <alignment horizontal="right" vertical="center" indent="1"/>
    </xf>
    <xf numFmtId="9" fontId="10" fillId="2" borderId="31" xfId="10" applyBorder="1" applyAlignment="1">
      <alignment vertical="center"/>
    </xf>
    <xf numFmtId="0" fontId="2" fillId="2" borderId="31" xfId="8" applyBorder="1">
      <alignment horizontal="right" vertical="center" indent="1"/>
    </xf>
    <xf numFmtId="0" fontId="20" fillId="0" borderId="0" xfId="0" applyFont="1"/>
    <xf numFmtId="0" fontId="21" fillId="0" borderId="5" xfId="2" applyFont="1" applyBorder="1">
      <alignment vertical="center"/>
    </xf>
    <xf numFmtId="0" fontId="22" fillId="0" borderId="5" xfId="12" applyFont="1" applyBorder="1" applyAlignment="1">
      <alignment horizontal="left" vertical="center"/>
    </xf>
    <xf numFmtId="9" fontId="12" fillId="0" borderId="36" xfId="1" applyBorder="1" applyAlignment="1">
      <alignment horizontal="right" vertical="center"/>
    </xf>
    <xf numFmtId="9" fontId="12" fillId="0" borderId="37" xfId="1" applyBorder="1" applyAlignment="1">
      <alignment horizontal="right" vertical="center"/>
    </xf>
    <xf numFmtId="0" fontId="18" fillId="8" borderId="0" xfId="8" applyFont="1" applyFill="1">
      <alignment horizontal="right" vertical="center" indent="1"/>
    </xf>
    <xf numFmtId="0" fontId="2" fillId="8" borderId="0" xfId="8" applyFill="1">
      <alignment horizontal="right" vertical="center" indent="1"/>
    </xf>
    <xf numFmtId="9" fontId="10" fillId="8" borderId="0" xfId="10" applyFill="1" applyAlignment="1">
      <alignment horizontal="right" vertical="center" indent="1"/>
    </xf>
    <xf numFmtId="0" fontId="23" fillId="0" borderId="0" xfId="3" applyFont="1" applyBorder="1">
      <alignment vertical="center"/>
    </xf>
    <xf numFmtId="0" fontId="24" fillId="0" borderId="0" xfId="0" applyFont="1"/>
    <xf numFmtId="0" fontId="25" fillId="0" borderId="0" xfId="13" applyFont="1">
      <alignment horizontal="right" vertical="center"/>
    </xf>
    <xf numFmtId="0" fontId="25" fillId="0" borderId="0" xfId="13" applyFont="1" applyAlignment="1">
      <alignment horizontal="center" vertical="center" wrapText="1"/>
    </xf>
    <xf numFmtId="0" fontId="26" fillId="0" borderId="0" xfId="3" applyFont="1" applyBorder="1">
      <alignment vertical="center"/>
    </xf>
    <xf numFmtId="0" fontId="27" fillId="0" borderId="0" xfId="13" applyFont="1">
      <alignment horizontal="right" vertical="center"/>
    </xf>
    <xf numFmtId="0" fontId="27" fillId="0" borderId="0" xfId="13" applyFont="1" applyAlignment="1">
      <alignment horizontal="center" vertical="center" wrapText="1"/>
    </xf>
    <xf numFmtId="0" fontId="28" fillId="0" borderId="0" xfId="3" applyFont="1" applyBorder="1">
      <alignment vertical="center"/>
    </xf>
    <xf numFmtId="0" fontId="29" fillId="0" borderId="0" xfId="0" applyFont="1"/>
    <xf numFmtId="0" fontId="30" fillId="0" borderId="0" xfId="13" applyFont="1">
      <alignment horizontal="right" vertical="center"/>
    </xf>
    <xf numFmtId="0" fontId="30" fillId="0" borderId="0" xfId="13" applyFont="1" applyAlignment="1">
      <alignment horizontal="center" vertical="center" wrapText="1"/>
    </xf>
    <xf numFmtId="0" fontId="32" fillId="0" borderId="0" xfId="15" applyFont="1" applyAlignment="1">
      <alignment horizontal="center" vertical="center"/>
    </xf>
    <xf numFmtId="0" fontId="33" fillId="0" borderId="0" xfId="15" applyFont="1" applyAlignment="1">
      <alignment horizontal="center" vertical="center"/>
    </xf>
    <xf numFmtId="166" fontId="17" fillId="0" borderId="0" xfId="0" applyNumberFormat="1" applyFont="1"/>
    <xf numFmtId="166" fontId="17" fillId="0" borderId="39" xfId="0" applyNumberFormat="1" applyFont="1" applyBorder="1"/>
    <xf numFmtId="166" fontId="17" fillId="0" borderId="36" xfId="0" applyNumberFormat="1" applyFont="1" applyBorder="1"/>
    <xf numFmtId="166" fontId="17" fillId="0" borderId="37" xfId="0" applyNumberFormat="1" applyFont="1" applyBorder="1" applyAlignment="1">
      <alignment wrapText="1"/>
    </xf>
    <xf numFmtId="0" fontId="0" fillId="0" borderId="0" xfId="0" applyAlignment="1">
      <alignment horizontal="right" vertical="center"/>
    </xf>
    <xf numFmtId="9" fontId="0" fillId="0" borderId="0" xfId="0" applyNumberFormat="1" applyAlignment="1">
      <alignment vertical="center"/>
    </xf>
    <xf numFmtId="9" fontId="0" fillId="0" borderId="39" xfId="0" applyNumberFormat="1" applyBorder="1" applyAlignment="1">
      <alignment vertical="center"/>
    </xf>
    <xf numFmtId="9" fontId="0" fillId="0" borderId="41" xfId="0" applyNumberFormat="1" applyBorder="1" applyAlignment="1">
      <alignment vertical="center"/>
    </xf>
    <xf numFmtId="0" fontId="0" fillId="0" borderId="20" xfId="0" applyBorder="1"/>
    <xf numFmtId="167" fontId="16" fillId="7" borderId="16" xfId="14" applyFont="1" applyFill="1" applyBorder="1">
      <alignment horizontal="center" vertical="center"/>
    </xf>
    <xf numFmtId="167" fontId="16" fillId="7" borderId="12" xfId="14" applyFont="1" applyFill="1" applyBorder="1">
      <alignment horizontal="center" vertical="center"/>
    </xf>
    <xf numFmtId="167" fontId="16" fillId="7" borderId="7" xfId="14" applyFont="1" applyFill="1" applyBorder="1">
      <alignment horizontal="center" vertical="center"/>
    </xf>
    <xf numFmtId="167" fontId="16" fillId="7" borderId="0" xfId="14" applyFont="1" applyFill="1" applyBorder="1">
      <alignment horizontal="center" vertical="center"/>
    </xf>
    <xf numFmtId="167" fontId="16" fillId="7" borderId="17" xfId="14" applyFont="1" applyFill="1" applyBorder="1">
      <alignment horizontal="center" vertical="center"/>
    </xf>
    <xf numFmtId="167" fontId="16" fillId="7" borderId="18" xfId="14" applyFont="1" applyFill="1" applyBorder="1">
      <alignment horizontal="center" vertical="center"/>
    </xf>
    <xf numFmtId="167" fontId="16" fillId="7" borderId="10" xfId="14" applyFont="1" applyFill="1" applyBorder="1">
      <alignment horizontal="center" vertical="center"/>
    </xf>
    <xf numFmtId="42" fontId="12" fillId="0" borderId="0" xfId="6" applyAlignment="1">
      <alignment vertical="center"/>
    </xf>
    <xf numFmtId="42" fontId="12" fillId="0" borderId="8" xfId="6" applyBorder="1" applyAlignment="1">
      <alignment horizontal="center" vertical="center"/>
    </xf>
    <xf numFmtId="42" fontId="0" fillId="0" borderId="0" xfId="0" applyNumberFormat="1" applyAlignment="1">
      <alignment vertical="center" shrinkToFit="1"/>
    </xf>
    <xf numFmtId="42" fontId="0" fillId="0" borderId="9" xfId="0" applyNumberFormat="1" applyBorder="1" applyAlignment="1">
      <alignment vertical="center" shrinkToFit="1"/>
    </xf>
    <xf numFmtId="167" fontId="16" fillId="7" borderId="24" xfId="14" applyFont="1" applyFill="1" applyBorder="1">
      <alignment horizontal="center" vertical="center"/>
    </xf>
    <xf numFmtId="167" fontId="16" fillId="7" borderId="25" xfId="14" applyFont="1" applyFill="1" applyBorder="1">
      <alignment horizontal="center" vertical="center"/>
    </xf>
    <xf numFmtId="167" fontId="16" fillId="7" borderId="28" xfId="14" applyFont="1" applyFill="1" applyBorder="1">
      <alignment horizontal="center" vertical="center"/>
    </xf>
    <xf numFmtId="167" fontId="16" fillId="7" borderId="29" xfId="14" applyFont="1" applyFill="1" applyBorder="1">
      <alignment horizontal="center" vertical="center"/>
    </xf>
    <xf numFmtId="167" fontId="16" fillId="7" borderId="30" xfId="14" applyFont="1" applyFill="1" applyBorder="1">
      <alignment horizontal="center" vertical="center"/>
    </xf>
    <xf numFmtId="42" fontId="12" fillId="0" borderId="26" xfId="6" applyBorder="1" applyAlignment="1">
      <alignment horizontal="center" vertical="center"/>
    </xf>
    <xf numFmtId="42" fontId="0" fillId="0" borderId="27" xfId="0" applyNumberFormat="1" applyBorder="1" applyAlignment="1">
      <alignment vertical="center" shrinkToFit="1"/>
    </xf>
    <xf numFmtId="42" fontId="10" fillId="2" borderId="31" xfId="9" applyBorder="1" applyAlignment="1">
      <alignment horizontal="right" vertical="center" indent="1"/>
    </xf>
    <xf numFmtId="167" fontId="31" fillId="0" borderId="32" xfId="0" applyNumberFormat="1" applyFont="1" applyBorder="1" applyAlignment="1">
      <alignment horizontal="center" vertical="center"/>
    </xf>
    <xf numFmtId="167" fontId="31" fillId="0" borderId="0" xfId="0" applyNumberFormat="1" applyFont="1" applyAlignment="1">
      <alignment horizontal="center" vertical="center"/>
    </xf>
    <xf numFmtId="167" fontId="31" fillId="0" borderId="38" xfId="0" applyNumberFormat="1" applyFont="1" applyBorder="1" applyAlignment="1">
      <alignment horizontal="center" vertical="center"/>
    </xf>
    <xf numFmtId="167" fontId="31" fillId="0" borderId="33" xfId="0" applyNumberFormat="1" applyFont="1" applyBorder="1" applyAlignment="1">
      <alignment horizontal="center" vertical="center"/>
    </xf>
    <xf numFmtId="167" fontId="31" fillId="0" borderId="34" xfId="0" applyNumberFormat="1" applyFont="1" applyBorder="1" applyAlignment="1">
      <alignment horizontal="center" vertical="center"/>
    </xf>
    <xf numFmtId="167" fontId="31" fillId="0" borderId="35" xfId="0" applyNumberFormat="1" applyFont="1" applyBorder="1" applyAlignment="1">
      <alignment horizontal="center" vertical="center"/>
    </xf>
    <xf numFmtId="42" fontId="12" fillId="0" borderId="39" xfId="6" applyBorder="1" applyAlignment="1">
      <alignment vertical="center"/>
    </xf>
    <xf numFmtId="42" fontId="12" fillId="0" borderId="0" xfId="6" applyAlignment="1">
      <alignment vertical="center" shrinkToFit="1"/>
    </xf>
    <xf numFmtId="42" fontId="12" fillId="0" borderId="39" xfId="6" applyBorder="1" applyAlignment="1">
      <alignment vertical="center" shrinkToFit="1"/>
    </xf>
    <xf numFmtId="42" fontId="0" fillId="0" borderId="40" xfId="0" applyNumberFormat="1" applyBorder="1" applyAlignment="1">
      <alignment vertical="center" shrinkToFit="1"/>
    </xf>
    <xf numFmtId="42" fontId="10" fillId="8" borderId="0" xfId="9" applyFill="1" applyAlignment="1">
      <alignment horizontal="right" vertical="center" indent="1"/>
    </xf>
    <xf numFmtId="167" fontId="31" fillId="0" borderId="0" xfId="0" applyNumberFormat="1" applyFont="1" applyBorder="1" applyAlignment="1">
      <alignment horizontal="center" vertical="center"/>
    </xf>
    <xf numFmtId="166" fontId="17" fillId="0" borderId="0" xfId="0" applyNumberFormat="1" applyFont="1" applyBorder="1"/>
    <xf numFmtId="42" fontId="12" fillId="0" borderId="0" xfId="6" applyBorder="1" applyAlignment="1">
      <alignment vertical="center"/>
    </xf>
    <xf numFmtId="42" fontId="12" fillId="0" borderId="0" xfId="6" applyBorder="1" applyAlignment="1">
      <alignment vertical="center" shrinkToFit="1"/>
    </xf>
    <xf numFmtId="0" fontId="0" fillId="7" borderId="0" xfId="0" applyFill="1" applyBorder="1"/>
    <xf numFmtId="0" fontId="0" fillId="7" borderId="52" xfId="0" applyFill="1" applyBorder="1" applyAlignment="1">
      <alignment horizontal="center" vertical="center"/>
    </xf>
    <xf numFmtId="0" fontId="0" fillId="7" borderId="53" xfId="0" applyFill="1" applyBorder="1" applyAlignment="1">
      <alignment horizontal="center" vertical="center"/>
    </xf>
    <xf numFmtId="0" fontId="0" fillId="7" borderId="54" xfId="0" applyFill="1" applyBorder="1" applyAlignment="1">
      <alignment horizontal="center" vertical="center"/>
    </xf>
    <xf numFmtId="0" fontId="0" fillId="7" borderId="55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41" xfId="0" applyFill="1" applyBorder="1" applyAlignment="1">
      <alignment horizontal="center" vertical="center"/>
    </xf>
    <xf numFmtId="0" fontId="0" fillId="7" borderId="56" xfId="0" applyFill="1" applyBorder="1" applyAlignment="1">
      <alignment horizontal="center" vertical="center"/>
    </xf>
    <xf numFmtId="0" fontId="0" fillId="7" borderId="57" xfId="0" applyFill="1" applyBorder="1" applyAlignment="1">
      <alignment horizontal="center" vertical="center"/>
    </xf>
    <xf numFmtId="0" fontId="0" fillId="7" borderId="58" xfId="0" applyFill="1" applyBorder="1" applyAlignment="1">
      <alignment horizontal="center" vertical="center"/>
    </xf>
    <xf numFmtId="0" fontId="19" fillId="0" borderId="47" xfId="15" applyNumberFormat="1" applyFont="1" applyFill="1" applyBorder="1" applyAlignment="1">
      <alignment horizontal="center" vertical="center"/>
    </xf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0" fillId="0" borderId="67" xfId="0" applyBorder="1"/>
    <xf numFmtId="0" fontId="0" fillId="0" borderId="48" xfId="11" applyNumberFormat="1" applyFont="1" applyBorder="1" applyAlignment="1">
      <alignment horizontal="right" vertical="center" wrapText="1" indent="1"/>
    </xf>
    <xf numFmtId="0" fontId="0" fillId="39" borderId="50" xfId="11" applyNumberFormat="1" applyFont="1" applyFill="1" applyBorder="1" applyAlignment="1">
      <alignment horizontal="right" vertical="center" wrapText="1" indent="1"/>
    </xf>
    <xf numFmtId="42" fontId="12" fillId="0" borderId="49" xfId="6" applyNumberFormat="1" applyFont="1" applyBorder="1" applyAlignment="1">
      <alignment vertical="center"/>
    </xf>
    <xf numFmtId="42" fontId="12" fillId="39" borderId="51" xfId="6" applyNumberFormat="1" applyFont="1" applyFill="1" applyBorder="1" applyAlignment="1">
      <alignment vertical="center"/>
    </xf>
  </cellXfs>
  <cellStyles count="55">
    <cellStyle name="20% - Ênfase1" xfId="32" builtinId="30" customBuiltin="1"/>
    <cellStyle name="20% - Ênfase2" xfId="36" builtinId="34" customBuiltin="1"/>
    <cellStyle name="20% - Ênfase3" xfId="40" builtinId="38" customBuiltin="1"/>
    <cellStyle name="20% - Ênfase4" xfId="44" builtinId="42" customBuiltin="1"/>
    <cellStyle name="20% - Ênfase5" xfId="48" builtinId="46" customBuiltin="1"/>
    <cellStyle name="20% - Ênfase6" xfId="52" builtinId="50" customBuiltin="1"/>
    <cellStyle name="40% - Ênfase1" xfId="33" builtinId="31" customBuiltin="1"/>
    <cellStyle name="40% - Ênfase2" xfId="37" builtinId="35" customBuiltin="1"/>
    <cellStyle name="40% - Ênfase3" xfId="41" builtinId="39" customBuiltin="1"/>
    <cellStyle name="40% - Ênfase4" xfId="45" builtinId="43" customBuiltin="1"/>
    <cellStyle name="40% - Ênfase5" xfId="49" builtinId="47" customBuiltin="1"/>
    <cellStyle name="40% - Ênfase6" xfId="53" builtinId="51" customBuiltin="1"/>
    <cellStyle name="60% - Ênfase1" xfId="34" builtinId="32" customBuiltin="1"/>
    <cellStyle name="60% - Ênfase2" xfId="38" builtinId="36" customBuiltin="1"/>
    <cellStyle name="60% - Ênfase3" xfId="42" builtinId="40" customBuiltin="1"/>
    <cellStyle name="60% - Ênfase4" xfId="46" builtinId="44" customBuiltin="1"/>
    <cellStyle name="60% - Ênfase5" xfId="50" builtinId="48" customBuiltin="1"/>
    <cellStyle name="60% - Ênfase6" xfId="54" builtinId="52" customBuiltin="1"/>
    <cellStyle name="Bom" xfId="20" builtinId="26" customBuiltin="1"/>
    <cellStyle name="Cálculo" xfId="25" builtinId="22" customBuiltin="1"/>
    <cellStyle name="Célula de Verificação" xfId="27" builtinId="23" customBuiltin="1"/>
    <cellStyle name="Célula Vinculada" xfId="26" builtinId="24" customBuiltin="1"/>
    <cellStyle name="Detalhes da Tabela" xfId="11" xr:uid="{00000000-0005-0000-0000-000010000000}"/>
    <cellStyle name="Ênfase1" xfId="31" builtinId="29" customBuiltin="1"/>
    <cellStyle name="Ênfase2" xfId="35" builtinId="33" customBuiltin="1"/>
    <cellStyle name="Ênfase3" xfId="39" builtinId="37" customBuiltin="1"/>
    <cellStyle name="Ênfase4" xfId="43" builtinId="41" customBuiltin="1"/>
    <cellStyle name="Ênfase5" xfId="47" builtinId="45" customBuiltin="1"/>
    <cellStyle name="Ênfase6" xfId="51" builtinId="49" customBuiltin="1"/>
    <cellStyle name="Entrada" xfId="23" builtinId="20" customBuiltin="1"/>
    <cellStyle name="Lucro" xfId="8" xr:uid="{00000000-0005-0000-0000-00000C000000}"/>
    <cellStyle name="Moeda" xfId="19" builtinId="4" customBuiltin="1"/>
    <cellStyle name="Moeda [0]" xfId="6" builtinId="7" customBuiltin="1"/>
    <cellStyle name="Neutro" xfId="22" builtinId="28" customBuiltin="1"/>
    <cellStyle name="Normal" xfId="0" builtinId="0" customBuiltin="1"/>
    <cellStyle name="Nota" xfId="7" builtinId="10" customBuiltin="1"/>
    <cellStyle name="Porcentagem" xfId="1" builtinId="5" customBuiltin="1"/>
    <cellStyle name="Porcentagem de lucro" xfId="10" xr:uid="{00000000-0005-0000-0000-00000E000000}"/>
    <cellStyle name="Preenchimento de custo de vendas" xfId="17" xr:uid="{00000000-0005-0000-0000-000002000000}"/>
    <cellStyle name="Preenchimento de despesas" xfId="18" xr:uid="{00000000-0005-0000-0000-000004000000}"/>
    <cellStyle name="Preenchimento de receita" xfId="16" xr:uid="{00000000-0005-0000-0000-00000F000000}"/>
    <cellStyle name="Ruim" xfId="21" builtinId="27" customBuiltin="1"/>
    <cellStyle name="Saída" xfId="24" builtinId="21" customBuiltin="1"/>
    <cellStyle name="Separador de milhares [0]" xfId="5" builtinId="6" customBuiltin="1"/>
    <cellStyle name="Texto de Aviso" xfId="28" builtinId="11" customBuiltin="1"/>
    <cellStyle name="Texto Explicativo" xfId="29" builtinId="53" customBuiltin="1"/>
    <cellStyle name="Título" xfId="2" builtinId="15" customBuiltin="1"/>
    <cellStyle name="Título 1" xfId="3" builtinId="16" customBuiltin="1"/>
    <cellStyle name="Título 2" xfId="12" builtinId="17" customBuiltin="1"/>
    <cellStyle name="Título 3" xfId="13" builtinId="18" customBuiltin="1"/>
    <cellStyle name="Título 4" xfId="14" builtinId="19" customBuiltin="1"/>
    <cellStyle name="Título da tabela 1" xfId="15" xr:uid="{00000000-0005-0000-0000-000011000000}"/>
    <cellStyle name="Total" xfId="30" builtinId="25" customBuiltin="1"/>
    <cellStyle name="Valor de lucro" xfId="9" xr:uid="{00000000-0005-0000-0000-00000D000000}"/>
    <cellStyle name="Vírgula" xfId="4" builtinId="3" customBuiltin="1"/>
  </cellStyles>
  <dxfs count="195">
    <dxf>
      <numFmt numFmtId="13" formatCode="0%"/>
      <alignment horizontal="general" vertical="center" textRotation="0" wrapText="0" indent="0" justifyLastLine="0" shrinkToFit="0" readingOrder="0"/>
      <border diagonalUp="0" diagonalDown="0" outline="0">
        <left/>
        <right style="thin">
          <color auto="1"/>
        </right>
        <top/>
        <bottom/>
      </border>
    </dxf>
    <dxf>
      <numFmt numFmtId="13" formatCode="0%"/>
      <alignment vertical="center" textRotation="0" wrapText="0" indent="0" justifyLastLine="0" readingOrder="0"/>
    </dxf>
    <dxf>
      <numFmt numFmtId="13" formatCode="0%"/>
      <alignment horizontal="general" vertical="center" textRotation="0" wrapText="0" indent="0" justifyLastLine="0" shrinkToFit="0" readingOrder="0"/>
    </dxf>
    <dxf>
      <numFmt numFmtId="13" formatCode="0%"/>
      <alignment vertical="center" textRotation="0" wrapText="0" indent="0" justifyLastLine="0" readingOrder="0"/>
    </dxf>
    <dxf>
      <numFmt numFmtId="13" formatCode="0%"/>
      <alignment horizontal="general" vertical="center" textRotation="0" wrapText="0" indent="0" justifyLastLine="0" shrinkToFit="0" readingOrder="0"/>
    </dxf>
    <dxf>
      <numFmt numFmtId="13" formatCode="0%"/>
      <alignment vertical="center" textRotation="0" wrapText="0" indent="0" justifyLastLine="0" readingOrder="0"/>
    </dxf>
    <dxf>
      <numFmt numFmtId="13" formatCode="0%"/>
      <alignment horizontal="general" vertical="center" textRotation="0" wrapText="0" indent="0" justifyLastLine="0" shrinkToFit="0" readingOrder="0"/>
    </dxf>
    <dxf>
      <numFmt numFmtId="13" formatCode="0%"/>
      <alignment vertical="center" textRotation="0" wrapText="0" indent="0" justifyLastLine="0" readingOrder="0"/>
    </dxf>
    <dxf>
      <numFmt numFmtId="13" formatCode="0%"/>
      <alignment horizontal="general" vertical="center" textRotation="0" wrapText="0" indent="0" justifyLastLine="0" shrinkToFit="0" readingOrder="0"/>
    </dxf>
    <dxf>
      <numFmt numFmtId="13" formatCode="0%"/>
      <alignment vertical="center" textRotation="0" wrapText="0" indent="0" justifyLastLine="0" readingOrder="0"/>
    </dxf>
    <dxf>
      <numFmt numFmtId="13" formatCode="0%"/>
      <alignment horizontal="general" vertical="center" textRotation="0" wrapText="0" indent="0" justifyLastLine="0" shrinkToFit="0" readingOrder="0"/>
    </dxf>
    <dxf>
      <numFmt numFmtId="13" formatCode="0%"/>
      <alignment vertical="center" textRotation="0" wrapText="0" indent="0" justifyLastLine="0" readingOrder="0"/>
    </dxf>
    <dxf>
      <numFmt numFmtId="13" formatCode="0%"/>
      <alignment horizontal="general" vertical="center" textRotation="0" wrapText="0" indent="0" justifyLastLine="0" shrinkToFit="0" readingOrder="0"/>
    </dxf>
    <dxf>
      <numFmt numFmtId="13" formatCode="0%"/>
      <alignment vertical="center" textRotation="0" wrapText="0" indent="0" justifyLastLine="0" readingOrder="0"/>
    </dxf>
    <dxf>
      <numFmt numFmtId="13" formatCode="0%"/>
      <alignment horizontal="general" vertical="center" textRotation="0" wrapText="0" indent="0" justifyLastLine="0" shrinkToFit="0" readingOrder="0"/>
    </dxf>
    <dxf>
      <numFmt numFmtId="13" formatCode="0%"/>
      <alignment vertical="center" textRotation="0" wrapText="0" indent="0" justifyLastLine="0" readingOrder="0"/>
    </dxf>
    <dxf>
      <numFmt numFmtId="13" formatCode="0%"/>
      <alignment horizontal="general" vertical="center" textRotation="0" wrapText="0" indent="0" justifyLastLine="0" shrinkToFit="0" readingOrder="0"/>
    </dxf>
    <dxf>
      <numFmt numFmtId="13" formatCode="0%"/>
      <alignment vertical="center" textRotation="0" wrapText="0" indent="0" justifyLastLine="0" readingOrder="0"/>
    </dxf>
    <dxf>
      <numFmt numFmtId="13" formatCode="0%"/>
      <alignment horizontal="general" vertical="center" textRotation="0" wrapText="0" indent="0" justifyLastLine="0" shrinkToFit="0" readingOrder="0"/>
    </dxf>
    <dxf>
      <numFmt numFmtId="13" formatCode="0%"/>
      <alignment vertical="center" textRotation="0" wrapText="0" indent="0" justifyLastLine="0" readingOrder="0"/>
    </dxf>
    <dxf>
      <numFmt numFmtId="13" formatCode="0%"/>
      <alignment horizontal="general" vertical="center" textRotation="0" wrapText="0" indent="0" justifyLastLine="0" shrinkToFit="0" readingOrder="0"/>
    </dxf>
    <dxf>
      <numFmt numFmtId="13" formatCode="0%"/>
      <alignment vertical="center" textRotation="0" wrapText="0" indent="0" justifyLastLine="0" readingOrder="0"/>
    </dxf>
    <dxf>
      <numFmt numFmtId="13" formatCode="0%"/>
      <alignment horizontal="general" vertical="center" textRotation="0" wrapText="0" indent="0" justifyLastLine="0" shrinkToFit="0" readingOrder="0"/>
    </dxf>
    <dxf>
      <numFmt numFmtId="13" formatCode="0%"/>
      <alignment vertical="center" textRotation="0" wrapText="0" indent="0" justifyLastLine="0" readingOrder="0"/>
    </dxf>
    <dxf>
      <numFmt numFmtId="13" formatCode="0%"/>
      <alignment horizontal="general" vertical="center" textRotation="0" wrapText="0" indent="0" justifyLastLine="0" shrinkToFit="0" readingOrder="0"/>
    </dxf>
    <dxf>
      <numFmt numFmtId="13" formatCode="0%"/>
      <alignment vertical="center" textRotation="0" wrapText="0" indent="0" justifyLastLine="0" readingOrder="0"/>
    </dxf>
    <dxf>
      <numFmt numFmtId="13" formatCode="0%"/>
      <alignment horizontal="general" vertical="center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numFmt numFmtId="32" formatCode="_-&quot;R$&quot;\ * #,##0_-;\-&quot;R$&quot;\ * #,##0_-;_-&quot;R$&quot;\ * &quot;-&quot;_-;_-@_-"/>
      <alignment horizontal="general" vertical="center" textRotation="0" wrapText="0" indent="0" justifyLastLine="0" shrinkToFit="1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 style="thin">
          <color theme="9" tint="-0.499984740745262"/>
        </bottom>
      </border>
    </dxf>
    <dxf>
      <alignment horizontal="general" vertical="center" textRotation="0" wrapText="0" indent="0" justifyLastLine="0" shrinkToFit="1" readingOrder="0"/>
    </dxf>
    <dxf>
      <numFmt numFmtId="32" formatCode="_-&quot;R$&quot;\ * #,##0_-;\-&quot;R$&quot;\ * #,##0_-;_-&quot;R$&quot;\ * &quot;-&quot;_-;_-@_-"/>
      <alignment horizontal="general" vertical="center" textRotation="0" wrapText="0" indent="0" justifyLastLine="0" shrinkToFit="1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 style="thin">
          <color theme="9" tint="-0.499984740745262"/>
        </bottom>
      </border>
    </dxf>
    <dxf>
      <alignment vertical="center" textRotation="0" wrapText="0" indent="0" justifyLastLine="0" readingOrder="0"/>
    </dxf>
    <dxf>
      <numFmt numFmtId="32" formatCode="_-&quot;R$&quot;\ * #,##0_-;\-&quot;R$&quot;\ * #,##0_-;_-&quot;R$&quot;\ * &quot;-&quot;_-;_-@_-"/>
      <alignment horizontal="general" vertical="center" textRotation="0" wrapText="0" indent="0" justifyLastLine="0" shrinkToFit="1" readingOrder="0"/>
    </dxf>
    <dxf>
      <alignment vertical="center" textRotation="0" wrapText="0" indent="0" justifyLastLine="0" readingOrder="0"/>
    </dxf>
    <dxf>
      <numFmt numFmtId="32" formatCode="_-&quot;R$&quot;\ * #,##0_-;\-&quot;R$&quot;\ * #,##0_-;_-&quot;R$&quot;\ * &quot;-&quot;_-;_-@_-"/>
      <alignment horizontal="general" vertical="center" textRotation="0" wrapText="0" indent="0" justifyLastLine="0" shrinkToFit="1" readingOrder="0"/>
    </dxf>
    <dxf>
      <alignment vertical="center" textRotation="0" wrapText="0" indent="0" justifyLastLine="0" readingOrder="0"/>
    </dxf>
    <dxf>
      <numFmt numFmtId="32" formatCode="_-&quot;R$&quot;\ * #,##0_-;\-&quot;R$&quot;\ * #,##0_-;_-&quot;R$&quot;\ * &quot;-&quot;_-;_-@_-"/>
      <alignment horizontal="general" vertical="center" textRotation="0" wrapText="0" indent="0" justifyLastLine="0" shrinkToFit="1" readingOrder="0"/>
    </dxf>
    <dxf>
      <alignment vertical="center" textRotation="0" wrapText="0" indent="0" justifyLastLine="0" readingOrder="0"/>
    </dxf>
    <dxf>
      <numFmt numFmtId="32" formatCode="_-&quot;R$&quot;\ * #,##0_-;\-&quot;R$&quot;\ * #,##0_-;_-&quot;R$&quot;\ * &quot;-&quot;_-;_-@_-"/>
      <alignment horizontal="general" vertical="center" textRotation="0" wrapText="0" indent="0" justifyLastLine="0" shrinkToFit="1" readingOrder="0"/>
    </dxf>
    <dxf>
      <alignment vertical="center" textRotation="0" wrapText="0" indent="0" justifyLastLine="0" readingOrder="0"/>
    </dxf>
    <dxf>
      <numFmt numFmtId="32" formatCode="_-&quot;R$&quot;\ * #,##0_-;\-&quot;R$&quot;\ * #,##0_-;_-&quot;R$&quot;\ * &quot;-&quot;_-;_-@_-"/>
      <alignment horizontal="general" vertical="center" textRotation="0" wrapText="0" indent="0" justifyLastLine="0" shrinkToFit="1" readingOrder="0"/>
    </dxf>
    <dxf>
      <alignment vertical="center" textRotation="0" wrapText="0" indent="0" justifyLastLine="0" readingOrder="0"/>
    </dxf>
    <dxf>
      <numFmt numFmtId="32" formatCode="_-&quot;R$&quot;\ * #,##0_-;\-&quot;R$&quot;\ * #,##0_-;_-&quot;R$&quot;\ * &quot;-&quot;_-;_-@_-"/>
      <alignment horizontal="general" vertical="center" textRotation="0" wrapText="0" indent="0" justifyLastLine="0" shrinkToFit="1" readingOrder="0"/>
    </dxf>
    <dxf>
      <alignment vertical="center" textRotation="0" wrapText="0" indent="0" justifyLastLine="0" readingOrder="0"/>
    </dxf>
    <dxf>
      <numFmt numFmtId="32" formatCode="_-&quot;R$&quot;\ * #,##0_-;\-&quot;R$&quot;\ * #,##0_-;_-&quot;R$&quot;\ * &quot;-&quot;_-;_-@_-"/>
      <alignment horizontal="general" vertical="center" textRotation="0" wrapText="0" indent="0" justifyLastLine="0" shrinkToFit="1" readingOrder="0"/>
    </dxf>
    <dxf>
      <alignment vertical="center" textRotation="0" wrapText="0" indent="0" justifyLastLine="0" readingOrder="0"/>
    </dxf>
    <dxf>
      <numFmt numFmtId="32" formatCode="_-&quot;R$&quot;\ * #,##0_-;\-&quot;R$&quot;\ * #,##0_-;_-&quot;R$&quot;\ * &quot;-&quot;_-;_-@_-"/>
      <alignment horizontal="general" vertical="center" textRotation="0" wrapText="0" indent="0" justifyLastLine="0" shrinkToFit="1" readingOrder="0"/>
    </dxf>
    <dxf>
      <alignment vertical="center" textRotation="0" wrapText="0" indent="0" justifyLastLine="0" readingOrder="0"/>
    </dxf>
    <dxf>
      <numFmt numFmtId="32" formatCode="_-&quot;R$&quot;\ * #,##0_-;\-&quot;R$&quot;\ * #,##0_-;_-&quot;R$&quot;\ * &quot;-&quot;_-;_-@_-"/>
      <alignment horizontal="general" vertical="center" textRotation="0" wrapText="0" indent="0" justifyLastLine="0" shrinkToFit="1" readingOrder="0"/>
    </dxf>
    <dxf>
      <alignment vertical="center" textRotation="0" wrapText="0" indent="0" justifyLastLine="0" readingOrder="0"/>
    </dxf>
    <dxf>
      <numFmt numFmtId="32" formatCode="_-&quot;R$&quot;\ * #,##0_-;\-&quot;R$&quot;\ * #,##0_-;_-&quot;R$&quot;\ * &quot;-&quot;_-;_-@_-"/>
      <alignment horizontal="general" vertical="center" textRotation="0" wrapText="0" indent="0" justifyLastLine="0" shrinkToFit="1" readingOrder="0"/>
    </dxf>
    <dxf>
      <alignment vertical="center" textRotation="0" wrapText="0" indent="0" justifyLastLine="0" readingOrder="0"/>
    </dxf>
    <dxf>
      <numFmt numFmtId="32" formatCode="_-&quot;R$&quot;\ * #,##0_-;\-&quot;R$&quot;\ * #,##0_-;_-&quot;R$&quot;\ * &quot;-&quot;_-;_-@_-"/>
      <alignment horizontal="general" vertical="center" textRotation="0" wrapText="0" indent="0" justifyLastLine="0" shrinkToFit="1" readingOrder="0"/>
    </dxf>
    <dxf>
      <alignment vertical="center" textRotation="0" wrapText="0" indent="0" justifyLastLine="0" readingOrder="0"/>
    </dxf>
    <dxf>
      <numFmt numFmtId="32" formatCode="_-&quot;R$&quot;\ * #,##0_-;\-&quot;R$&quot;\ * #,##0_-;_-&quot;R$&quot;\ * &quot;-&quot;_-;_-@_-"/>
      <alignment horizontal="general" vertical="center" textRotation="0" wrapText="0" indent="0" justifyLastLine="0" shrinkToFit="1" readingOrder="0"/>
    </dxf>
    <dxf>
      <alignment vertical="center" textRotation="0" wrapText="0" indent="0" justifyLastLine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1" indent="0" justifyLastLine="0" shrinkToFit="0" readingOrder="0"/>
    </dxf>
    <dxf>
      <numFmt numFmtId="13" formatCode="0%"/>
      <alignment horizontal="general" vertical="center" textRotation="0" wrapText="0" indent="0" justifyLastLine="0" shrinkToFit="1" readingOrder="0"/>
      <border diagonalUp="0" diagonalDown="0" outline="0">
        <left/>
        <right style="thin">
          <color theme="4" tint="-0.249977111117893"/>
        </right>
        <top/>
        <bottom style="thin">
          <color theme="4" tint="-0.249977111117893"/>
        </bottom>
      </border>
    </dxf>
    <dxf>
      <border diagonalUp="0" diagonalDown="0">
        <left style="dotted">
          <color auto="1"/>
        </left>
        <right style="thin">
          <color theme="4" tint="-0.249977111117893"/>
        </right>
        <top/>
        <bottom/>
        <vertical style="dotted">
          <color auto="1"/>
        </vertical>
        <horizontal/>
      </border>
    </dxf>
    <dxf>
      <numFmt numFmtId="13" formatCode="0%"/>
      <alignment horizontal="right" vertical="center" textRotation="0" wrapText="0" indent="0" justifyLastLine="0" shrinkToFit="1" readingOrder="0"/>
      <border diagonalUp="0" diagonalDown="0" outline="0">
        <left/>
        <right/>
        <top/>
        <bottom style="thin">
          <color theme="4" tint="-0.249977111117893"/>
        </bottom>
      </border>
    </dxf>
    <dxf>
      <alignment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/>
        <bottom/>
        <vertical style="dotted">
          <color auto="1"/>
        </vertical>
        <horizontal/>
      </border>
    </dxf>
    <dxf>
      <numFmt numFmtId="13" formatCode="0%"/>
      <alignment horizontal="right" vertical="center" textRotation="0" wrapText="0" indent="0" justifyLastLine="0" shrinkToFit="1" readingOrder="0"/>
      <border diagonalUp="0" diagonalDown="0" outline="0">
        <left/>
        <right/>
        <top/>
        <bottom style="thin">
          <color theme="4" tint="-0.249977111117893"/>
        </bottom>
      </border>
    </dxf>
    <dxf>
      <alignment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/>
        <bottom/>
        <vertical style="dotted">
          <color auto="1"/>
        </vertical>
        <horizontal/>
      </border>
    </dxf>
    <dxf>
      <numFmt numFmtId="13" formatCode="0%"/>
      <alignment horizontal="right" vertical="center" textRotation="0" wrapText="0" indent="0" justifyLastLine="0" shrinkToFit="1" readingOrder="0"/>
      <border diagonalUp="0" diagonalDown="0" outline="0">
        <left/>
        <right/>
        <top/>
        <bottom style="thin">
          <color theme="4" tint="-0.249977111117893"/>
        </bottom>
      </border>
    </dxf>
    <dxf>
      <alignment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/>
        <bottom/>
        <vertical style="dotted">
          <color auto="1"/>
        </vertical>
        <horizontal/>
      </border>
    </dxf>
    <dxf>
      <numFmt numFmtId="13" formatCode="0%"/>
      <alignment horizontal="right" vertical="center" textRotation="0" wrapText="0" indent="0" justifyLastLine="0" shrinkToFit="1" readingOrder="0"/>
      <border diagonalUp="0" diagonalDown="0" outline="0">
        <left/>
        <right/>
        <top/>
        <bottom style="thin">
          <color theme="4" tint="-0.249977111117893"/>
        </bottom>
      </border>
    </dxf>
    <dxf>
      <alignment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/>
        <bottom/>
        <vertical style="dotted">
          <color auto="1"/>
        </vertical>
        <horizontal/>
      </border>
    </dxf>
    <dxf>
      <numFmt numFmtId="13" formatCode="0%"/>
      <alignment horizontal="right" vertical="center" textRotation="0" wrapText="0" indent="0" justifyLastLine="0" shrinkToFit="1" readingOrder="0"/>
      <border diagonalUp="0" diagonalDown="0" outline="0">
        <left/>
        <right/>
        <top/>
        <bottom style="thin">
          <color theme="4" tint="-0.249977111117893"/>
        </bottom>
      </border>
    </dxf>
    <dxf>
      <alignment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/>
        <bottom/>
        <vertical style="dotted">
          <color auto="1"/>
        </vertical>
        <horizontal/>
      </border>
    </dxf>
    <dxf>
      <numFmt numFmtId="13" formatCode="0%"/>
      <alignment horizontal="right" vertical="center" textRotation="0" wrapText="0" indent="0" justifyLastLine="0" shrinkToFit="1" readingOrder="0"/>
      <border diagonalUp="0" diagonalDown="0" outline="0">
        <left/>
        <right/>
        <top/>
        <bottom style="thin">
          <color theme="4" tint="-0.249977111117893"/>
        </bottom>
      </border>
    </dxf>
    <dxf>
      <alignment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/>
        <bottom/>
        <vertical style="dotted">
          <color auto="1"/>
        </vertical>
        <horizontal/>
      </border>
    </dxf>
    <dxf>
      <numFmt numFmtId="13" formatCode="0%"/>
      <alignment horizontal="right" vertical="center" textRotation="0" wrapText="0" indent="0" justifyLastLine="0" shrinkToFit="1" readingOrder="0"/>
      <border diagonalUp="0" diagonalDown="0" outline="0">
        <left/>
        <right/>
        <top/>
        <bottom style="thin">
          <color theme="4" tint="-0.249977111117893"/>
        </bottom>
      </border>
    </dxf>
    <dxf>
      <alignment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/>
        <bottom/>
        <vertical style="dotted">
          <color auto="1"/>
        </vertical>
        <horizontal/>
      </border>
    </dxf>
    <dxf>
      <numFmt numFmtId="13" formatCode="0%"/>
      <alignment horizontal="right" vertical="center" textRotation="0" wrapText="0" indent="0" justifyLastLine="0" shrinkToFit="1" readingOrder="0"/>
      <border diagonalUp="0" diagonalDown="0" outline="0">
        <left/>
        <right/>
        <top/>
        <bottom style="thin">
          <color theme="4" tint="-0.249977111117893"/>
        </bottom>
      </border>
    </dxf>
    <dxf>
      <alignment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/>
        <bottom/>
        <vertical style="dotted">
          <color auto="1"/>
        </vertical>
        <horizontal/>
      </border>
    </dxf>
    <dxf>
      <numFmt numFmtId="13" formatCode="0%"/>
      <alignment horizontal="right" vertical="center" textRotation="0" wrapText="0" indent="0" justifyLastLine="0" shrinkToFit="1" readingOrder="0"/>
      <border diagonalUp="0" diagonalDown="0" outline="0">
        <left/>
        <right/>
        <top/>
        <bottom style="thin">
          <color theme="4" tint="-0.249977111117893"/>
        </bottom>
      </border>
    </dxf>
    <dxf>
      <alignment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/>
        <bottom/>
        <vertical style="dotted">
          <color auto="1"/>
        </vertical>
        <horizontal/>
      </border>
    </dxf>
    <dxf>
      <numFmt numFmtId="13" formatCode="0%"/>
      <alignment horizontal="right" vertical="center" textRotation="0" wrapText="0" indent="0" justifyLastLine="0" shrinkToFit="1" readingOrder="0"/>
      <border diagonalUp="0" diagonalDown="0" outline="0">
        <left/>
        <right/>
        <top/>
        <bottom style="thin">
          <color theme="4" tint="-0.249977111117893"/>
        </bottom>
      </border>
    </dxf>
    <dxf>
      <alignment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/>
        <bottom/>
        <vertical style="dotted">
          <color auto="1"/>
        </vertical>
        <horizontal/>
      </border>
    </dxf>
    <dxf>
      <numFmt numFmtId="13" formatCode="0%"/>
      <alignment horizontal="right" vertical="center" textRotation="0" wrapText="0" indent="0" justifyLastLine="0" shrinkToFit="1" readingOrder="0"/>
      <border diagonalUp="0" diagonalDown="0" outline="0">
        <left/>
        <right/>
        <top/>
        <bottom style="thin">
          <color theme="4" tint="-0.249977111117893"/>
        </bottom>
      </border>
    </dxf>
    <dxf>
      <alignment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/>
        <bottom/>
        <vertical style="dotted">
          <color auto="1"/>
        </vertical>
        <horizontal/>
      </border>
    </dxf>
    <dxf>
      <numFmt numFmtId="13" formatCode="0%"/>
      <alignment horizontal="right" vertical="center" textRotation="0" wrapText="0" indent="0" justifyLastLine="0" shrinkToFit="1" readingOrder="0"/>
      <border diagonalUp="0" diagonalDown="0" outline="0">
        <left style="thin">
          <color theme="4" tint="-0.249977111117893"/>
        </left>
        <right/>
        <top/>
        <bottom style="thin">
          <color theme="4" tint="-0.249977111117893"/>
        </bottom>
      </border>
    </dxf>
    <dxf>
      <alignment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dotted">
          <color auto="1"/>
        </right>
        <top/>
        <bottom/>
        <vertical style="dotted">
          <color auto="1"/>
        </vertical>
        <horizontal/>
      </border>
    </dxf>
    <dxf>
      <numFmt numFmtId="13" formatCode="0%"/>
      <alignment horizontal="right" vertical="center" textRotation="0" wrapText="0" indent="0" justifyLastLine="0" shrinkToFit="1" readingOrder="0"/>
    </dxf>
    <dxf>
      <alignment vertical="center" textRotation="0" wrapText="0" indent="0" justifyLastLine="0" shrinkToFit="0" readingOrder="0"/>
    </dxf>
    <dxf>
      <numFmt numFmtId="32" formatCode="_-&quot;R$&quot;\ * #,##0_-;\-&quot;R$&quot;\ * #,##0_-;_-&quot;R$&quot;\ * &quot;-&quot;_-;_-@_-"/>
      <alignment horizontal="general" vertical="center" textRotation="0" wrapText="0" indent="0" justifyLastLine="0" shrinkToFit="1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/>
        <bottom style="thin">
          <color theme="4" tint="-0.249977111117893"/>
        </bottom>
      </border>
    </dxf>
    <dxf>
      <alignment vertical="center" textRotation="0" wrapText="0" indent="0" justifyLastLine="0" shrinkToFit="0" readingOrder="0"/>
    </dxf>
    <dxf>
      <numFmt numFmtId="32" formatCode="_-&quot;R$&quot;\ * #,##0_-;\-&quot;R$&quot;\ * #,##0_-;_-&quot;R$&quot;\ * &quot;-&quot;_-;_-@_-"/>
      <alignment horizontal="general" vertical="center" textRotation="0" wrapText="0" indent="0" justifyLastLine="0" shrinkToFit="1" readingOrder="0"/>
    </dxf>
    <dxf>
      <alignment vertical="center" textRotation="0" wrapText="0" indent="0" justifyLastLine="0" shrinkToFit="0" readingOrder="0"/>
    </dxf>
    <dxf>
      <numFmt numFmtId="32" formatCode="_-&quot;R$&quot;\ * #,##0_-;\-&quot;R$&quot;\ * #,##0_-;_-&quot;R$&quot;\ * &quot;-&quot;_-;_-@_-"/>
      <alignment horizontal="general" vertical="center" textRotation="0" wrapText="0" indent="0" justifyLastLine="0" shrinkToFit="1" readingOrder="0"/>
    </dxf>
    <dxf>
      <alignment vertical="center" textRotation="0" wrapText="0" indent="0" justifyLastLine="0" shrinkToFit="0" readingOrder="0"/>
    </dxf>
    <dxf>
      <numFmt numFmtId="32" formatCode="_-&quot;R$&quot;\ * #,##0_-;\-&quot;R$&quot;\ * #,##0_-;_-&quot;R$&quot;\ * &quot;-&quot;_-;_-@_-"/>
      <alignment horizontal="general" vertical="center" textRotation="0" wrapText="0" indent="0" justifyLastLine="0" shrinkToFit="1" readingOrder="0"/>
    </dxf>
    <dxf>
      <alignment vertical="center" textRotation="0" wrapText="0" indent="0" justifyLastLine="0" shrinkToFit="0" readingOrder="0"/>
    </dxf>
    <dxf>
      <numFmt numFmtId="32" formatCode="_-&quot;R$&quot;\ * #,##0_-;\-&quot;R$&quot;\ * #,##0_-;_-&quot;R$&quot;\ * &quot;-&quot;_-;_-@_-"/>
      <alignment horizontal="general" vertical="center" textRotation="0" wrapText="0" indent="0" justifyLastLine="0" shrinkToFit="1" readingOrder="0"/>
    </dxf>
    <dxf>
      <alignment vertical="center" textRotation="0" wrapText="0" indent="0" justifyLastLine="0" shrinkToFit="0" readingOrder="0"/>
    </dxf>
    <dxf>
      <numFmt numFmtId="32" formatCode="_-&quot;R$&quot;\ * #,##0_-;\-&quot;R$&quot;\ * #,##0_-;_-&quot;R$&quot;\ * &quot;-&quot;_-;_-@_-"/>
      <alignment horizontal="general" vertical="center" textRotation="0" wrapText="0" indent="0" justifyLastLine="0" shrinkToFit="1" readingOrder="0"/>
    </dxf>
    <dxf>
      <alignment vertical="center" textRotation="0" wrapText="0" indent="0" justifyLastLine="0" shrinkToFit="0" readingOrder="0"/>
    </dxf>
    <dxf>
      <numFmt numFmtId="32" formatCode="_-&quot;R$&quot;\ * #,##0_-;\-&quot;R$&quot;\ * #,##0_-;_-&quot;R$&quot;\ * &quot;-&quot;_-;_-@_-"/>
      <alignment horizontal="general" vertical="center" textRotation="0" wrapText="0" indent="0" justifyLastLine="0" shrinkToFit="1" readingOrder="0"/>
    </dxf>
    <dxf>
      <alignment vertical="center" textRotation="0" wrapText="0" indent="0" justifyLastLine="0" shrinkToFit="0" readingOrder="0"/>
    </dxf>
    <dxf>
      <numFmt numFmtId="32" formatCode="_-&quot;R$&quot;\ * #,##0_-;\-&quot;R$&quot;\ * #,##0_-;_-&quot;R$&quot;\ * &quot;-&quot;_-;_-@_-"/>
      <alignment horizontal="general" vertical="center" textRotation="0" wrapText="0" indent="0" justifyLastLine="0" shrinkToFit="1" readingOrder="0"/>
    </dxf>
    <dxf>
      <alignment vertical="center" textRotation="0" wrapText="0" indent="0" justifyLastLine="0" shrinkToFit="0" readingOrder="0"/>
    </dxf>
    <dxf>
      <numFmt numFmtId="32" formatCode="_-&quot;R$&quot;\ * #,##0_-;\-&quot;R$&quot;\ * #,##0_-;_-&quot;R$&quot;\ * &quot;-&quot;_-;_-@_-"/>
      <alignment horizontal="general" vertical="center" textRotation="0" wrapText="0" indent="0" justifyLastLine="0" shrinkToFit="1" readingOrder="0"/>
    </dxf>
    <dxf>
      <alignment vertical="center" textRotation="0" wrapText="0" indent="0" justifyLastLine="0" shrinkToFit="0" readingOrder="0"/>
    </dxf>
    <dxf>
      <numFmt numFmtId="32" formatCode="_-&quot;R$&quot;\ * #,##0_-;\-&quot;R$&quot;\ * #,##0_-;_-&quot;R$&quot;\ * &quot;-&quot;_-;_-@_-"/>
      <alignment horizontal="general" vertical="center" textRotation="0" wrapText="0" indent="0" justifyLastLine="0" shrinkToFit="1" readingOrder="0"/>
    </dxf>
    <dxf>
      <alignment vertical="center" textRotation="0" wrapText="0" indent="0" justifyLastLine="0" shrinkToFit="0" readingOrder="0"/>
    </dxf>
    <dxf>
      <numFmt numFmtId="32" formatCode="_-&quot;R$&quot;\ * #,##0_-;\-&quot;R$&quot;\ * #,##0_-;_-&quot;R$&quot;\ * &quot;-&quot;_-;_-@_-"/>
      <alignment horizontal="general" vertical="center" textRotation="0" wrapText="0" indent="0" justifyLastLine="0" shrinkToFit="1" readingOrder="0"/>
    </dxf>
    <dxf>
      <alignment vertical="center" textRotation="0" wrapText="0" indent="0" justifyLastLine="0" shrinkToFit="0" readingOrder="0"/>
    </dxf>
    <dxf>
      <numFmt numFmtId="32" formatCode="_-&quot;R$&quot;\ * #,##0_-;\-&quot;R$&quot;\ * #,##0_-;_-&quot;R$&quot;\ * &quot;-&quot;_-;_-@_-"/>
      <alignment horizontal="general" vertical="center" textRotation="0" wrapText="0" indent="0" justifyLastLine="0" shrinkToFit="1" readingOrder="0"/>
    </dxf>
    <dxf>
      <alignment vertical="center" textRotation="0" wrapText="0" indent="0" justifyLastLine="0" shrinkToFit="0" readingOrder="0"/>
    </dxf>
    <dxf>
      <numFmt numFmtId="32" formatCode="_-&quot;R$&quot;\ * #,##0_-;\-&quot;R$&quot;\ * #,##0_-;_-&quot;R$&quot;\ * &quot;-&quot;_-;_-@_-"/>
      <alignment horizontal="general" vertical="center" textRotation="0" wrapText="0" indent="0" justifyLastLine="0" shrinkToFit="1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right" vertical="center" textRotation="0" wrapText="1" indent="1" justifyLastLine="0" shrinkToFit="0" readingOrder="0"/>
    </dxf>
    <dxf>
      <alignment horizontal="right" vertical="center" textRotation="0" wrapText="1" indent="1" justifyLastLine="0" shrinkToFit="0" readingOrder="0"/>
    </dxf>
    <dxf>
      <numFmt numFmtId="13" formatCode="0%"/>
      <alignment horizontal="general" vertical="center" textRotation="0" wrapText="0" indent="0" justifyLastLine="0" shrinkToFit="1" readingOrder="0"/>
      <border diagonalUp="0" diagonalDown="0" outline="0">
        <left/>
        <right style="thin">
          <color theme="5" tint="-0.249977111117893"/>
        </right>
        <top/>
        <bottom style="thin">
          <color theme="5" tint="-0.249977111117893"/>
        </bottom>
      </border>
    </dxf>
    <dxf>
      <alignment horizontal="right" vertical="center" textRotation="0" wrapText="0" indent="0" justifyLastLine="0" shrinkToFit="0" readingOrder="0"/>
    </dxf>
    <dxf>
      <numFmt numFmtId="13" formatCode="0%"/>
      <alignment horizontal="right" vertical="center" textRotation="0" wrapText="0" indent="0" justifyLastLine="0" shrinkToFit="1" readingOrder="0"/>
      <border diagonalUp="0" diagonalDown="0" outline="0">
        <left/>
        <right/>
        <top/>
        <bottom style="thin">
          <color theme="5" tint="-0.249977111117893"/>
        </bottom>
      </border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numFmt numFmtId="13" formatCode="0%"/>
      <alignment horizontal="right" vertical="center" textRotation="0" wrapText="0" indent="0" justifyLastLine="0" shrinkToFit="1" readingOrder="0"/>
      <border diagonalUp="0" diagonalDown="0" outline="0">
        <left/>
        <right/>
        <top/>
        <bottom style="thin">
          <color theme="5" tint="-0.249977111117893"/>
        </bottom>
      </border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numFmt numFmtId="13" formatCode="0%"/>
      <alignment horizontal="right" vertical="center" textRotation="0" wrapText="0" indent="0" justifyLastLine="0" shrinkToFit="1" readingOrder="0"/>
      <border diagonalUp="0" diagonalDown="0" outline="0">
        <left/>
        <right/>
        <top/>
        <bottom style="thin">
          <color theme="5" tint="-0.249977111117893"/>
        </bottom>
      </border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numFmt numFmtId="13" formatCode="0%"/>
      <alignment horizontal="right" vertical="center" textRotation="0" wrapText="0" indent="0" justifyLastLine="0" shrinkToFit="1" readingOrder="0"/>
      <border diagonalUp="0" diagonalDown="0" outline="0">
        <left/>
        <right/>
        <top/>
        <bottom style="thin">
          <color theme="5" tint="-0.249977111117893"/>
        </bottom>
      </border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numFmt numFmtId="13" formatCode="0%"/>
      <alignment horizontal="right" vertical="center" textRotation="0" wrapText="0" indent="0" justifyLastLine="0" shrinkToFit="1" readingOrder="0"/>
      <border diagonalUp="0" diagonalDown="0" outline="0">
        <left/>
        <right/>
        <top/>
        <bottom style="thin">
          <color theme="5" tint="-0.249977111117893"/>
        </bottom>
      </border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numFmt numFmtId="13" formatCode="0%"/>
      <alignment horizontal="right" vertical="center" textRotation="0" wrapText="0" indent="0" justifyLastLine="0" shrinkToFit="1" readingOrder="0"/>
      <border diagonalUp="0" diagonalDown="0" outline="0">
        <left/>
        <right/>
        <top/>
        <bottom style="thin">
          <color theme="5" tint="-0.249977111117893"/>
        </bottom>
      </border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numFmt numFmtId="13" formatCode="0%"/>
      <alignment horizontal="right" vertical="center" textRotation="0" wrapText="0" indent="0" justifyLastLine="0" shrinkToFit="1" readingOrder="0"/>
      <border diagonalUp="0" diagonalDown="0" outline="0">
        <left/>
        <right/>
        <top/>
        <bottom style="thin">
          <color theme="5" tint="-0.249977111117893"/>
        </bottom>
      </border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numFmt numFmtId="13" formatCode="0%"/>
      <alignment horizontal="right" vertical="center" textRotation="0" wrapText="0" indent="0" justifyLastLine="0" shrinkToFit="1" readingOrder="0"/>
      <border diagonalUp="0" diagonalDown="0" outline="0">
        <left/>
        <right/>
        <top/>
        <bottom style="thin">
          <color theme="5" tint="-0.249977111117893"/>
        </bottom>
      </border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numFmt numFmtId="13" formatCode="0%"/>
      <alignment horizontal="right" vertical="center" textRotation="0" wrapText="0" indent="0" justifyLastLine="0" shrinkToFit="1" readingOrder="0"/>
      <border diagonalUp="0" diagonalDown="0" outline="0">
        <left/>
        <right/>
        <top/>
        <bottom style="thin">
          <color theme="5" tint="-0.249977111117893"/>
        </bottom>
      </border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numFmt numFmtId="13" formatCode="0%"/>
      <alignment horizontal="right" vertical="center" textRotation="0" wrapText="0" indent="0" justifyLastLine="0" shrinkToFit="1" readingOrder="0"/>
      <border diagonalUp="0" diagonalDown="0" outline="0">
        <left/>
        <right/>
        <top/>
        <bottom style="thin">
          <color theme="5" tint="-0.249977111117893"/>
        </bottom>
      </border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numFmt numFmtId="13" formatCode="0%"/>
      <alignment horizontal="right" vertical="center" textRotation="0" wrapText="0" indent="0" justifyLastLine="0" shrinkToFit="1" readingOrder="0"/>
      <border diagonalUp="0" diagonalDown="0" outline="0">
        <left/>
        <right/>
        <top/>
        <bottom style="thin">
          <color theme="5" tint="-0.249977111117893"/>
        </bottom>
      </border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numFmt numFmtId="13" formatCode="0%"/>
      <alignment horizontal="right" vertical="center" textRotation="0" wrapText="0" indent="0" justifyLastLine="0" shrinkToFit="1" readingOrder="0"/>
      <border diagonalUp="0" diagonalDown="0" outline="0">
        <left style="thin">
          <color theme="5" tint="-0.249977111117893"/>
        </left>
        <right/>
        <top/>
        <bottom style="thin">
          <color theme="5" tint="-0.249977111117893"/>
        </bottom>
      </border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theme="5" tint="-0.249977111117893"/>
        </left>
        <top/>
        <bottom/>
      </border>
    </dxf>
    <dxf>
      <numFmt numFmtId="13" formatCode="0%"/>
      <alignment horizontal="right" vertical="center" textRotation="0" wrapText="0" indent="0" justifyLastLine="0" shrinkToFit="1" readingOrder="0"/>
    </dxf>
    <dxf>
      <alignment horizontal="right" vertical="center" textRotation="0" wrapText="0" indent="0" justifyLastLine="0" shrinkToFit="0" readingOrder="0"/>
    </dxf>
    <dxf>
      <numFmt numFmtId="32" formatCode="_-&quot;R$&quot;\ * #,##0_-;\-&quot;R$&quot;\ * #,##0_-;_-&quot;R$&quot;\ * &quot;-&quot;_-;_-@_-"/>
      <alignment horizontal="general" vertical="center" textRotation="0" wrapText="0" indent="0" justifyLastLine="0" shrinkToFit="1" readingOrder="0"/>
      <border diagonalUp="0" diagonalDown="0" outline="0">
        <left style="thin">
          <color theme="5" tint="-0.249977111117893"/>
        </left>
        <right style="thin">
          <color theme="5" tint="-0.249977111117893"/>
        </right>
        <top/>
        <bottom style="thin">
          <color theme="5" tint="-0.249977111117893"/>
        </bottom>
      </border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  <border diagonalUp="0" diagonalDown="0">
        <left style="thin">
          <color theme="5" tint="-0.249977111117893"/>
        </left>
        <right style="thin">
          <color theme="5" tint="-0.249977111117893"/>
        </right>
        <top/>
        <bottom/>
        <vertical/>
        <horizontal/>
      </border>
    </dxf>
    <dxf>
      <numFmt numFmtId="32" formatCode="_-&quot;R$&quot;\ * #,##0_-;\-&quot;R$&quot;\ * #,##0_-;_-&quot;R$&quot;\ * &quot;-&quot;_-;_-@_-"/>
      <alignment horizontal="general" vertical="center" textRotation="0" wrapText="0" indent="0" justifyLastLine="0" shrinkToFit="1" readingOrder="0"/>
    </dxf>
    <dxf>
      <alignment vertical="center" textRotation="0" indent="0" justifyLastLine="0" shrinkToFit="0" readingOrder="0"/>
    </dxf>
    <dxf>
      <numFmt numFmtId="32" formatCode="_-&quot;R$&quot;\ * #,##0_-;\-&quot;R$&quot;\ * #,##0_-;_-&quot;R$&quot;\ * &quot;-&quot;_-;_-@_-"/>
      <alignment horizontal="general" vertical="center" textRotation="0" wrapText="0" indent="0" justifyLastLine="0" shrinkToFit="1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32" formatCode="_-&quot;R$&quot;\ * #,##0_-;\-&quot;R$&quot;\ * #,##0_-;_-&quot;R$&quot;\ * &quot;-&quot;_-;_-@_-"/>
      <alignment horizontal="general" vertical="center" textRotation="0" wrapText="0" indent="0" justifyLastLine="0" shrinkToFit="1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32" formatCode="_-&quot;R$&quot;\ * #,##0_-;\-&quot;R$&quot;\ * #,##0_-;_-&quot;R$&quot;\ * &quot;-&quot;_-;_-@_-"/>
      <alignment horizontal="general" vertical="center" textRotation="0" wrapText="0" indent="0" justifyLastLine="0" shrinkToFit="1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32" formatCode="_-&quot;R$&quot;\ * #,##0_-;\-&quot;R$&quot;\ * #,##0_-;_-&quot;R$&quot;\ * &quot;-&quot;_-;_-@_-"/>
      <alignment horizontal="general" vertical="center" textRotation="0" wrapText="0" indent="0" justifyLastLine="0" shrinkToFit="1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32" formatCode="_-&quot;R$&quot;\ * #,##0_-;\-&quot;R$&quot;\ * #,##0_-;_-&quot;R$&quot;\ * &quot;-&quot;_-;_-@_-"/>
      <alignment horizontal="general" vertical="center" textRotation="0" wrapText="0" indent="0" justifyLastLine="0" shrinkToFit="1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32" formatCode="_-&quot;R$&quot;\ * #,##0_-;\-&quot;R$&quot;\ * #,##0_-;_-&quot;R$&quot;\ * &quot;-&quot;_-;_-@_-"/>
      <alignment horizontal="general" vertical="center" textRotation="0" wrapText="0" indent="0" justifyLastLine="0" shrinkToFit="1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32" formatCode="_-&quot;R$&quot;\ * #,##0_-;\-&quot;R$&quot;\ * #,##0_-;_-&quot;R$&quot;\ * &quot;-&quot;_-;_-@_-"/>
      <alignment horizontal="general" vertical="center" textRotation="0" wrapText="0" indent="0" justifyLastLine="0" shrinkToFit="1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32" formatCode="_-&quot;R$&quot;\ * #,##0_-;\-&quot;R$&quot;\ * #,##0_-;_-&quot;R$&quot;\ * &quot;-&quot;_-;_-@_-"/>
      <alignment horizontal="general" vertical="center" textRotation="0" wrapText="0" indent="0" justifyLastLine="0" shrinkToFit="1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32" formatCode="_-&quot;R$&quot;\ * #,##0_-;\-&quot;R$&quot;\ * #,##0_-;_-&quot;R$&quot;\ * &quot;-&quot;_-;_-@_-"/>
      <alignment horizontal="general" vertical="center" textRotation="0" wrapText="0" indent="0" justifyLastLine="0" shrinkToFit="1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32" formatCode="_-&quot;R$&quot;\ * #,##0_-;\-&quot;R$&quot;\ * #,##0_-;_-&quot;R$&quot;\ * &quot;-&quot;_-;_-@_-"/>
      <alignment horizontal="general" vertical="center" textRotation="0" wrapText="0" indent="0" justifyLastLine="0" shrinkToFit="1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32" formatCode="_-&quot;R$&quot;\ * #,##0_-;\-&quot;R$&quot;\ * #,##0_-;_-&quot;R$&quot;\ * &quot;-&quot;_-;_-@_-"/>
      <alignment horizontal="general" vertical="center" textRotation="0" wrapText="0" indent="0" justifyLastLine="0" shrinkToFit="1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right" vertical="center" textRotation="0" wrapText="0" indent="1" justifyLastLine="0" shrinkToFit="0" readingOrder="0"/>
    </dxf>
    <dxf>
      <alignment horizontal="righ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</dxf>
    <dxf>
      <border outline="0">
        <right style="thin">
          <color theme="5" tint="-0.249977111117893"/>
        </right>
      </border>
    </dxf>
    <dxf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inor"/>
      </font>
      <numFmt numFmtId="166" formatCode=";;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vertical="center" textRotation="0" indent="0" justifyLastLine="0" shrinkToFit="0" readingOrder="0"/>
    </dxf>
    <dxf>
      <fill>
        <patternFill>
          <bgColor theme="4" tint="0.79998168889431442"/>
        </patternFill>
      </fill>
      <border>
        <left style="dotted">
          <color theme="4" tint="0.39994506668294322"/>
        </left>
        <right style="dotted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dotted">
          <color theme="4" tint="0.39994506668294322"/>
        </vertical>
        <horizontal style="thin">
          <color theme="4" tint="0.39994506668294322"/>
        </horizontal>
      </border>
    </dxf>
    <dxf>
      <border>
        <left style="dotted">
          <color theme="4" tint="0.39994506668294322"/>
        </left>
        <right style="dotted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dotted">
          <color theme="4" tint="0.39994506668294322"/>
        </vertical>
        <horizontal style="thin">
          <color theme="4" tint="0.39994506668294322"/>
        </horizontal>
      </border>
    </dxf>
    <dxf>
      <font>
        <b/>
        <i val="0"/>
        <color theme="1"/>
      </font>
      <fill>
        <patternFill patternType="solid">
          <bgColor theme="4" tint="0.3999450666829432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 style="dotted">
          <color theme="4" tint="0.39994506668294322"/>
        </left>
        <right style="dotted">
          <color theme="4" tint="0.39994506668294322"/>
        </right>
        <top/>
        <bottom style="thin">
          <color theme="4" tint="0.39994506668294322"/>
        </bottom>
        <vertical style="dotted">
          <color theme="4" tint="0.39994506668294322"/>
        </vertical>
        <horizontal/>
      </border>
    </dxf>
    <dxf>
      <fill>
        <patternFill>
          <bgColor theme="5" tint="0.79998168889431442"/>
        </patternFill>
      </fill>
      <border>
        <left style="dotted">
          <color theme="5" tint="0.39991454817346722"/>
        </left>
        <right style="dotted">
          <color theme="5" tint="0.39991454817346722"/>
        </right>
        <top style="thin">
          <color theme="5" tint="0.39994506668294322"/>
        </top>
        <bottom style="thin">
          <color theme="5" tint="0.39994506668294322"/>
        </bottom>
        <vertical style="dotted">
          <color theme="5" tint="0.39994506668294322"/>
        </vertical>
        <horizontal style="thin">
          <color theme="5" tint="0.39994506668294322"/>
        </horizontal>
      </border>
    </dxf>
    <dxf>
      <border>
        <left style="dotted">
          <color theme="5" tint="0.39988402966399123"/>
        </left>
        <right style="dotted">
          <color theme="5" tint="0.39991454817346722"/>
        </right>
        <top style="thin">
          <color theme="5" tint="0.39991454817346722"/>
        </top>
        <bottom style="thin">
          <color theme="5" tint="0.39994506668294322"/>
        </bottom>
        <vertical style="dotted">
          <color theme="5" tint="0.39991454817346722"/>
        </vertical>
        <horizontal style="thin">
          <color theme="5" tint="0.39991454817346722"/>
        </horizontal>
      </border>
    </dxf>
    <dxf>
      <font>
        <b/>
        <i val="0"/>
        <color theme="1"/>
      </font>
      <fill>
        <patternFill patternType="solid">
          <bgColor theme="5" tint="0.3999450666829432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 style="dotted">
          <color theme="5" tint="0.39991454817346722"/>
        </left>
        <right style="dotted">
          <color theme="5" tint="0.39991454817346722"/>
        </right>
        <top/>
        <bottom style="thin">
          <color theme="5" tint="0.39994506668294322"/>
        </bottom>
        <vertical style="dotted">
          <color theme="5" tint="0.39991454817346722"/>
        </vertical>
        <horizontal/>
      </border>
    </dxf>
    <dxf>
      <border>
        <vertical/>
        <horizontal/>
      </border>
    </dxf>
    <dxf>
      <fill>
        <patternFill>
          <bgColor theme="9" tint="0.59996337778862885"/>
        </patternFill>
      </fill>
      <border>
        <left style="dotted">
          <color theme="9" tint="0.39994506668294322"/>
        </left>
        <right style="dotted">
          <color theme="9" tint="0.39994506668294322"/>
        </right>
        <top style="thin">
          <color theme="9" tint="0.39994506668294322"/>
        </top>
        <bottom style="thin">
          <color theme="9" tint="0.39994506668294322"/>
        </bottom>
        <vertical style="dotted">
          <color theme="9" tint="0.39994506668294322"/>
        </vertical>
        <horizontal style="thin">
          <color theme="9" tint="0.39994506668294322"/>
        </horizontal>
      </border>
    </dxf>
    <dxf>
      <border>
        <left style="dotted">
          <color theme="9" tint="0.39994506668294322"/>
        </left>
        <right style="dotted">
          <color theme="9" tint="0.39994506668294322"/>
        </right>
        <top style="thin">
          <color theme="9" tint="0.39994506668294322"/>
        </top>
        <bottom style="thin">
          <color theme="9" tint="0.39994506668294322"/>
        </bottom>
        <vertical style="dotted">
          <color theme="9" tint="0.39994506668294322"/>
        </vertical>
        <horizontal style="thin">
          <color theme="9" tint="0.39994506668294322"/>
        </horizontal>
      </border>
    </dxf>
    <dxf>
      <font>
        <b/>
        <i val="0"/>
        <color theme="1"/>
      </font>
      <fill>
        <patternFill patternType="solid">
          <bgColor theme="9" tint="0.3999450666829432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 style="dotted">
          <color theme="9" tint="0.39994506668294322"/>
        </left>
        <right style="dotted">
          <color theme="9" tint="0.39994506668294322"/>
        </right>
        <top/>
        <bottom style="thin">
          <color theme="9" tint="0.39994506668294322"/>
        </bottom>
        <vertical style="dotted">
          <color theme="9" tint="0.39994506668294322"/>
        </vertical>
        <horizontal/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border>
        <left/>
        <right style="dotted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 style="dotted">
          <color theme="6" tint="0.39994506668294322"/>
        </vertical>
        <horizontal style="thin">
          <color theme="6" tint="0.39994506668294322"/>
        </horizontal>
      </border>
    </dxf>
    <dxf>
      <border>
        <left/>
        <right style="dotted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 style="dotted">
          <color theme="6" tint="0.39994506668294322"/>
        </vertical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>
        <vertical/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border>
        <vertical/>
        <horizontal/>
      </border>
    </dxf>
  </dxfs>
  <tableStyles count="4" defaultTableStyle="Receitas de lucros e perdas" defaultPivotStyle="PivotStyleLight16">
    <tableStyle name="Despesas de lucros e perdas" pivot="0" count="5" xr9:uid="{00000000-0011-0000-FFFF-FFFF00000000}">
      <tableStyleElement type="wholeTable" dxfId="194"/>
      <tableStyleElement type="headerRow" dxfId="193"/>
      <tableStyleElement type="totalRow" dxfId="192"/>
      <tableStyleElement type="firstRowStripe" dxfId="191"/>
      <tableStyleElement type="secondRowStripe" dxfId="190"/>
    </tableStyle>
    <tableStyle name="Despesas de lucros e perdas 2" pivot="0" count="5" xr9:uid="{00000000-0011-0000-FFFF-FFFF01000000}">
      <tableStyleElement type="wholeTable" dxfId="189"/>
      <tableStyleElement type="headerRow" dxfId="188"/>
      <tableStyleElement type="totalRow" dxfId="187"/>
      <tableStyleElement type="firstRowStripe" dxfId="186"/>
      <tableStyleElement type="secondRowStripe" dxfId="185"/>
    </tableStyle>
    <tableStyle name="Receitas de lucros e perdas" pivot="0" count="5" xr9:uid="{00000000-0011-0000-FFFF-FFFF02000000}">
      <tableStyleElement type="wholeTable" dxfId="184"/>
      <tableStyleElement type="headerRow" dxfId="183"/>
      <tableStyleElement type="totalRow" dxfId="182"/>
      <tableStyleElement type="firstRowStripe" dxfId="181"/>
      <tableStyleElement type="secondRowStripe" dxfId="180"/>
    </tableStyle>
    <tableStyle name="Vendas de lucros e perdas" pivot="0" count="4" xr9:uid="{00000000-0011-0000-FFFF-FFFF03000000}">
      <tableStyleElement type="headerRow" dxfId="179"/>
      <tableStyleElement type="totalRow" dxfId="178"/>
      <tableStyleElement type="firstRowStripe" dxfId="177"/>
      <tableStyleElement type="secondRowStripe" dxfId="17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or" refreshedDate="45364.792438657409" createdVersion="8" refreshedVersion="8" minRefreshableVersion="3" recordCount="9" xr:uid="{7486EED6-41BF-4424-A76F-041B3C858F1E}">
  <cacheSource type="worksheet">
    <worksheetSource ref="B5:O14" sheet="Receitas (Vendas)"/>
  </cacheSource>
  <cacheFields count="14">
    <cacheField name="RECEITAS (VENDAS)" numFmtId="0">
      <sharedItems count="9">
        <s v="RECEITAS (VENDAS)"/>
        <s v="Anéis"/>
        <s v="Choker"/>
        <s v="Brincos"/>
        <s v="Cordões Masculinos"/>
        <s v="Colares Femininos"/>
        <s v="Tiaras"/>
        <s v="Tornozeleira"/>
        <s v="TOTAL DE VENDAS"/>
      </sharedItems>
    </cacheField>
    <cacheField name="TENDÊNCIA" numFmtId="0">
      <sharedItems containsBlank="1"/>
    </cacheField>
    <cacheField name="JAN-24" numFmtId="0">
      <sharedItems containsMixedTypes="1" containsNumber="1" containsInteger="1" minValue="15" maxValue="624" count="9">
        <s v="Jan"/>
        <n v="186"/>
        <n v="15"/>
        <n v="166"/>
        <n v="21"/>
        <n v="70"/>
        <n v="61"/>
        <n v="105"/>
        <n v="624"/>
      </sharedItems>
    </cacheField>
    <cacheField name="FEV-24" numFmtId="0">
      <sharedItems containsMixedTypes="1" containsNumber="1" containsInteger="1" minValue="16" maxValue="736" count="9">
        <s v="Fev"/>
        <n v="108"/>
        <n v="16"/>
        <n v="185"/>
        <n v="113"/>
        <n v="160"/>
        <n v="99"/>
        <n v="55"/>
        <n v="736"/>
      </sharedItems>
    </cacheField>
    <cacheField name="MAR-24" numFmtId="0">
      <sharedItems containsMixedTypes="1" containsNumber="1" containsInteger="1" minValue="70" maxValue="820"/>
    </cacheField>
    <cacheField name="ABR-24" numFmtId="0">
      <sharedItems containsMixedTypes="1" containsNumber="1" containsInteger="1" minValue="12" maxValue="611"/>
    </cacheField>
    <cacheField name="MAI-24" numFmtId="0">
      <sharedItems containsMixedTypes="1" containsNumber="1" containsInteger="1" minValue="25" maxValue="812"/>
    </cacheField>
    <cacheField name="JUN-24" numFmtId="0">
      <sharedItems containsMixedTypes="1" containsNumber="1" containsInteger="1" minValue="26" maxValue="578"/>
    </cacheField>
    <cacheField name="JUL-24" numFmtId="0">
      <sharedItems containsMixedTypes="1" containsNumber="1" containsInteger="1" minValue="21" maxValue="597"/>
    </cacheField>
    <cacheField name="AGO-24" numFmtId="0">
      <sharedItems containsMixedTypes="1" containsNumber="1" containsInteger="1" minValue="37" maxValue="675"/>
    </cacheField>
    <cacheField name="SET-24" numFmtId="0">
      <sharedItems containsMixedTypes="1" containsNumber="1" containsInteger="1" minValue="24" maxValue="744"/>
    </cacheField>
    <cacheField name="OUT-24" numFmtId="0">
      <sharedItems containsMixedTypes="1" containsNumber="1" containsInteger="1" minValue="33" maxValue="681"/>
    </cacheField>
    <cacheField name="NOV-24" numFmtId="0">
      <sharedItems containsMixedTypes="1" containsNumber="1" containsInteger="1" minValue="29" maxValue="739"/>
    </cacheField>
    <cacheField name="DEZ-24" numFmtId="0">
      <sharedItems containsMixedTypes="1" containsNumber="1" containsInteger="1" minValue="69" maxValue="10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s v="TENDÊNCIA"/>
    <x v="0"/>
    <x v="0"/>
    <s v="Mar"/>
    <s v="Abr"/>
    <s v="Mai"/>
    <s v="Jun"/>
    <s v="Jul"/>
    <s v="Ago"/>
    <s v="Set"/>
    <s v="Out"/>
    <s v="Nov"/>
    <s v="Dez"/>
  </r>
  <r>
    <x v="1"/>
    <m/>
    <x v="1"/>
    <x v="1"/>
    <n v="92"/>
    <n v="122"/>
    <n v="190"/>
    <n v="71"/>
    <n v="21"/>
    <n v="37"/>
    <n v="24"/>
    <n v="178"/>
    <n v="92"/>
    <n v="97"/>
  </r>
  <r>
    <x v="2"/>
    <m/>
    <x v="2"/>
    <x v="2"/>
    <n v="198"/>
    <n v="44"/>
    <n v="25"/>
    <n v="68"/>
    <n v="43"/>
    <n v="119"/>
    <n v="37"/>
    <n v="118"/>
    <n v="29"/>
    <n v="171"/>
  </r>
  <r>
    <x v="3"/>
    <m/>
    <x v="3"/>
    <x v="3"/>
    <n v="89"/>
    <n v="170"/>
    <n v="131"/>
    <n v="70"/>
    <n v="50"/>
    <n v="149"/>
    <n v="179"/>
    <n v="104"/>
    <n v="119"/>
    <n v="187"/>
  </r>
  <r>
    <x v="4"/>
    <m/>
    <x v="4"/>
    <x v="4"/>
    <n v="83"/>
    <n v="17"/>
    <n v="130"/>
    <n v="26"/>
    <n v="167"/>
    <n v="102"/>
    <n v="82"/>
    <n v="33"/>
    <n v="88"/>
    <n v="193"/>
  </r>
  <r>
    <x v="5"/>
    <m/>
    <x v="5"/>
    <x v="5"/>
    <n v="125"/>
    <n v="84"/>
    <n v="191"/>
    <n v="97"/>
    <n v="52"/>
    <n v="45"/>
    <n v="173"/>
    <n v="136"/>
    <n v="144"/>
    <n v="167"/>
  </r>
  <r>
    <x v="6"/>
    <m/>
    <x v="6"/>
    <x v="6"/>
    <n v="70"/>
    <n v="162"/>
    <n v="28"/>
    <n v="163"/>
    <n v="101"/>
    <n v="103"/>
    <n v="78"/>
    <n v="33"/>
    <n v="162"/>
    <n v="159"/>
  </r>
  <r>
    <x v="7"/>
    <m/>
    <x v="7"/>
    <x v="7"/>
    <n v="163"/>
    <n v="12"/>
    <n v="117"/>
    <n v="83"/>
    <n v="163"/>
    <n v="120"/>
    <n v="171"/>
    <n v="79"/>
    <n v="105"/>
    <n v="69"/>
  </r>
  <r>
    <x v="8"/>
    <m/>
    <x v="8"/>
    <x v="8"/>
    <n v="820"/>
    <n v="611"/>
    <n v="812"/>
    <n v="578"/>
    <n v="597"/>
    <n v="675"/>
    <n v="744"/>
    <n v="681"/>
    <n v="739"/>
    <n v="104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B67158-AF10-4CA9-BE03-9AC5BF2F45C0}" name="Tabela dinâmica3" cacheId="1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6:D23" firstHeaderRow="1" firstDataRow="1" firstDataCol="0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Receita" displayName="Receita" ref="B6:AD14" totalsRowCount="1" dataDxfId="175">
  <autoFilter ref="B6:AD13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</autoFilter>
  <tableColumns count="29">
    <tableColumn id="1" xr3:uid="{00000000-0010-0000-0000-000001000000}" name="RECEITAS (VENDAS)" totalsRowLabel="TOTAL DE VENDAS" dataDxfId="170" totalsRowDxfId="169" dataCellStyle="Detalhes da Tabela"/>
    <tableColumn id="29" xr3:uid="{00000000-0010-0000-0000-00001D000000}" name="TENDÊNCIA" dataDxfId="168" dataCellStyle="Preenchimento de receita"/>
    <tableColumn id="2" xr3:uid="{00000000-0010-0000-0000-000002000000}" name="Jan" totalsRowFunction="sum" dataDxfId="167" totalsRowDxfId="166"/>
    <tableColumn id="3" xr3:uid="{00000000-0010-0000-0000-000003000000}" name="Fev" totalsRowFunction="sum" dataDxfId="165" totalsRowDxfId="164"/>
    <tableColumn id="4" xr3:uid="{00000000-0010-0000-0000-000004000000}" name="Mar" totalsRowFunction="sum" dataDxfId="163" totalsRowDxfId="162"/>
    <tableColumn id="5" xr3:uid="{00000000-0010-0000-0000-000005000000}" name="Abr" totalsRowFunction="sum" dataDxfId="161" totalsRowDxfId="160"/>
    <tableColumn id="6" xr3:uid="{00000000-0010-0000-0000-000006000000}" name="Mai" totalsRowFunction="sum" dataDxfId="159" totalsRowDxfId="158"/>
    <tableColumn id="7" xr3:uid="{00000000-0010-0000-0000-000007000000}" name="Jun" totalsRowFunction="sum" dataDxfId="157" totalsRowDxfId="156"/>
    <tableColumn id="8" xr3:uid="{00000000-0010-0000-0000-000008000000}" name="Jul" totalsRowFunction="sum" dataDxfId="155" totalsRowDxfId="154"/>
    <tableColumn id="9" xr3:uid="{00000000-0010-0000-0000-000009000000}" name="Ago" totalsRowFunction="sum" dataDxfId="153" totalsRowDxfId="152"/>
    <tableColumn id="10" xr3:uid="{00000000-0010-0000-0000-00000A000000}" name="Set" totalsRowFunction="sum" dataDxfId="151" totalsRowDxfId="150"/>
    <tableColumn id="11" xr3:uid="{00000000-0010-0000-0000-00000B000000}" name="Out" totalsRowFunction="sum" dataDxfId="149" totalsRowDxfId="148"/>
    <tableColumn id="12" xr3:uid="{00000000-0010-0000-0000-00000C000000}" name="Nov" totalsRowFunction="sum" dataDxfId="147" totalsRowDxfId="146"/>
    <tableColumn id="13" xr3:uid="{00000000-0010-0000-0000-00000D000000}" name="Dez" totalsRowFunction="sum" dataDxfId="145" totalsRowDxfId="144"/>
    <tableColumn id="14" xr3:uid="{00000000-0010-0000-0000-00000E000000}" name="Anualmente" totalsRowFunction="sum" dataDxfId="143" totalsRowDxfId="142">
      <calculatedColumnFormula>SUM(Receita[[#This Row],[Jan]:[Dez]])</calculatedColumnFormula>
    </tableColumn>
    <tableColumn id="15" xr3:uid="{00000000-0010-0000-0000-00000F000000}" name="Índice %" totalsRowFunction="sum" dataDxfId="141" totalsRowDxfId="140"/>
    <tableColumn id="16" xr3:uid="{00000000-0010-0000-0000-000010000000}" name="Jan %" totalsRowFunction="sum" dataDxfId="139" totalsRowDxfId="138">
      <calculatedColumnFormula>IFERROR(Receita[[#This Row],[Jan]]/Receita[[#Totals],[Jan]],"-")</calculatedColumnFormula>
    </tableColumn>
    <tableColumn id="17" xr3:uid="{00000000-0010-0000-0000-000011000000}" name="Fev %" totalsRowFunction="sum" dataDxfId="137" totalsRowDxfId="136">
      <calculatedColumnFormula>IFERROR(Receita[[#This Row],[Fev]]/Receita[[#Totals],[Fev]],"-")</calculatedColumnFormula>
    </tableColumn>
    <tableColumn id="18" xr3:uid="{00000000-0010-0000-0000-000012000000}" name="Mar %" totalsRowFunction="sum" dataDxfId="135" totalsRowDxfId="134">
      <calculatedColumnFormula>IFERROR(Receita[[#This Row],[Mar]]/Receita[[#Totals],[Mar]],"-")</calculatedColumnFormula>
    </tableColumn>
    <tableColumn id="19" xr3:uid="{00000000-0010-0000-0000-000013000000}" name="Abr %" totalsRowFunction="sum" dataDxfId="133" totalsRowDxfId="132">
      <calculatedColumnFormula>IFERROR(Receita[[#This Row],[Abr]]/Receita[[#Totals],[Abr]],"-")</calculatedColumnFormula>
    </tableColumn>
    <tableColumn id="20" xr3:uid="{00000000-0010-0000-0000-000014000000}" name="Mai %" totalsRowFunction="sum" dataDxfId="131" totalsRowDxfId="130">
      <calculatedColumnFormula>IFERROR(Receita[[#This Row],[Mai]]/Receita[[#Totals],[Mai]],"-")</calculatedColumnFormula>
    </tableColumn>
    <tableColumn id="21" xr3:uid="{00000000-0010-0000-0000-000015000000}" name="Jun %" totalsRowFunction="sum" dataDxfId="129" totalsRowDxfId="128">
      <calculatedColumnFormula>IFERROR(Receita[[#This Row],[Jun]]/Receita[[#Totals],[Jun]],"-")</calculatedColumnFormula>
    </tableColumn>
    <tableColumn id="22" xr3:uid="{00000000-0010-0000-0000-000016000000}" name="Jul %" totalsRowFunction="sum" dataDxfId="127" totalsRowDxfId="126">
      <calculatedColumnFormula>IFERROR(Receita[[#This Row],[Jul]]/Receita[[#Totals],[Jul]],"-")</calculatedColumnFormula>
    </tableColumn>
    <tableColumn id="23" xr3:uid="{00000000-0010-0000-0000-000017000000}" name="Ago %" totalsRowFunction="sum" dataDxfId="125" totalsRowDxfId="124">
      <calculatedColumnFormula>IFERROR(Receita[[#This Row],[Ago]]/Receita[[#Totals],[Ago]],"-")</calculatedColumnFormula>
    </tableColumn>
    <tableColumn id="24" xr3:uid="{00000000-0010-0000-0000-000018000000}" name="Set %" totalsRowFunction="sum" dataDxfId="123" totalsRowDxfId="122">
      <calculatedColumnFormula>IFERROR(Receita[[#This Row],[Set]]/Receita[[#Totals],[Set]],"-")</calculatedColumnFormula>
    </tableColumn>
    <tableColumn id="25" xr3:uid="{00000000-0010-0000-0000-000019000000}" name="Out %" totalsRowFunction="sum" dataDxfId="121" totalsRowDxfId="120">
      <calculatedColumnFormula>IFERROR(Receita[[#This Row],[Out]]/Receita[[#Totals],[Out]],"-")</calculatedColumnFormula>
    </tableColumn>
    <tableColumn id="26" xr3:uid="{00000000-0010-0000-0000-00001A000000}" name="Nov %" totalsRowFunction="sum" dataDxfId="119" totalsRowDxfId="118">
      <calculatedColumnFormula>IFERROR(Receita[[#This Row],[Nov]]/Receita[[#Totals],[Nov]],"-")</calculatedColumnFormula>
    </tableColumn>
    <tableColumn id="27" xr3:uid="{00000000-0010-0000-0000-00001B000000}" name="Dez %" totalsRowFunction="sum" dataDxfId="117" totalsRowDxfId="116">
      <calculatedColumnFormula>IFERROR(Receita[[#This Row],[Dez]]/Receita[[#Totals],[Dez]],"-")</calculatedColumnFormula>
    </tableColumn>
    <tableColumn id="28" xr3:uid="{00000000-0010-0000-0000-00001C000000}" name="Ano %" totalsRowFunction="sum" dataDxfId="115" totalsRowDxfId="114">
      <calculatedColumnFormula>IFERROR(Receita[[#This Row],[Anualmente]]/Receita[[#Totals],[Anualmente]],"-")</calculatedColumnFormula>
    </tableColumn>
  </tableColumns>
  <tableStyleInfo name="Receitas de lucros e perdas" showFirstColumn="0" showLastColumn="0" showRowStripes="1" showColumnStripes="0"/>
  <extLst>
    <ext xmlns:x14="http://schemas.microsoft.com/office/spreadsheetml/2009/9/main" uri="{504A1905-F514-4f6f-8877-14C23A59335A}">
      <x14:table altTextSummary="Resumo de vendas mensais, total anual e porcentagem mensal para cada item de receita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ustodeVendas" displayName="CustodeVendas" ref="B6:AD14" totalsRowCount="1" headerRowDxfId="174" dataDxfId="173" totalsRowDxfId="171" tableBorderDxfId="172">
  <sortState xmlns:xlrd2="http://schemas.microsoft.com/office/spreadsheetml/2017/richdata2" ref="B7:AD13">
    <sortCondition ref="B7:B13"/>
  </sortState>
  <tableColumns count="29">
    <tableColumn id="1" xr3:uid="{00000000-0010-0000-0100-000001000000}" name="CUSTO DE VENDAS" totalsRowLabel="CUSTO TOTAL DE VENDAS" dataDxfId="113" totalsRowDxfId="112" dataCellStyle="Detalhes da Tabela"/>
    <tableColumn id="2" xr3:uid="{00000000-0010-0000-0100-000002000000}" name="TENDÊNCIA" dataDxfId="111" dataCellStyle="Preenchimento de receita"/>
    <tableColumn id="3" xr3:uid="{00000000-0010-0000-0100-000003000000}" name="Jan" totalsRowFunction="sum" dataDxfId="110" totalsRowDxfId="109"/>
    <tableColumn id="4" xr3:uid="{00000000-0010-0000-0100-000004000000}" name="Fev" totalsRowFunction="sum" dataDxfId="108" totalsRowDxfId="107"/>
    <tableColumn id="5" xr3:uid="{00000000-0010-0000-0100-000005000000}" name="Mar" totalsRowFunction="sum" dataDxfId="106" totalsRowDxfId="105"/>
    <tableColumn id="6" xr3:uid="{00000000-0010-0000-0100-000006000000}" name="Abr" totalsRowFunction="sum" dataDxfId="104" totalsRowDxfId="103"/>
    <tableColumn id="7" xr3:uid="{00000000-0010-0000-0100-000007000000}" name="Mai" totalsRowFunction="sum" dataDxfId="102" totalsRowDxfId="101"/>
    <tableColumn id="8" xr3:uid="{00000000-0010-0000-0100-000008000000}" name="Jun" totalsRowFunction="sum" dataDxfId="100" totalsRowDxfId="99"/>
    <tableColumn id="9" xr3:uid="{00000000-0010-0000-0100-000009000000}" name="Jul" totalsRowFunction="sum" dataDxfId="98" totalsRowDxfId="97"/>
    <tableColumn id="10" xr3:uid="{00000000-0010-0000-0100-00000A000000}" name="Ago" totalsRowFunction="sum" dataDxfId="96" totalsRowDxfId="95"/>
    <tableColumn id="11" xr3:uid="{00000000-0010-0000-0100-00000B000000}" name="Set" totalsRowFunction="sum" dataDxfId="94" totalsRowDxfId="93"/>
    <tableColumn id="12" xr3:uid="{00000000-0010-0000-0100-00000C000000}" name="Out" totalsRowFunction="sum" dataDxfId="92" totalsRowDxfId="91"/>
    <tableColumn id="13" xr3:uid="{00000000-0010-0000-0100-00000D000000}" name="Nov" totalsRowFunction="sum" dataDxfId="90" totalsRowDxfId="89"/>
    <tableColumn id="14" xr3:uid="{00000000-0010-0000-0100-00000E000000}" name="Dez" totalsRowFunction="sum" dataDxfId="88" totalsRowDxfId="87"/>
    <tableColumn id="15" xr3:uid="{00000000-0010-0000-0100-00000F000000}" name="Anualmente" totalsRowFunction="sum" dataDxfId="86" totalsRowDxfId="85">
      <calculatedColumnFormula>SUM(CustodeVendas[[#This Row],[Jan]:[Dez]])</calculatedColumnFormula>
    </tableColumn>
    <tableColumn id="16" xr3:uid="{00000000-0010-0000-0100-000010000000}" name="Índice %" totalsRowFunction="sum" dataDxfId="84" totalsRowDxfId="83"/>
    <tableColumn id="17" xr3:uid="{00000000-0010-0000-0100-000011000000}" name="Jan %" totalsRowFunction="sum" dataDxfId="82" totalsRowDxfId="81">
      <calculatedColumnFormula>IFERROR(CustodeVendas[[#This Row],[Jan]]/CustodeVendas[[#Totals],[Jan]],"-")</calculatedColumnFormula>
    </tableColumn>
    <tableColumn id="18" xr3:uid="{00000000-0010-0000-0100-000012000000}" name="Fev %" totalsRowFunction="sum" dataDxfId="80" totalsRowDxfId="79">
      <calculatedColumnFormula>IFERROR(CustodeVendas[[#This Row],[Fev]]/CustodeVendas[[#Totals],[Fev]],"-")</calculatedColumnFormula>
    </tableColumn>
    <tableColumn id="19" xr3:uid="{00000000-0010-0000-0100-000013000000}" name="Mar %" totalsRowFunction="sum" dataDxfId="78" totalsRowDxfId="77">
      <calculatedColumnFormula>IFERROR(CustodeVendas[[#This Row],[Mar]]/CustodeVendas[[#Totals],[Mar]],"-")</calculatedColumnFormula>
    </tableColumn>
    <tableColumn id="20" xr3:uid="{00000000-0010-0000-0100-000014000000}" name="Abr %" totalsRowFunction="sum" dataDxfId="76" totalsRowDxfId="75">
      <calculatedColumnFormula>IFERROR(CustodeVendas[[#This Row],[Abr]]/CustodeVendas[[#Totals],[Abr]],"-")</calculatedColumnFormula>
    </tableColumn>
    <tableColumn id="21" xr3:uid="{00000000-0010-0000-0100-000015000000}" name="Mai %" totalsRowFunction="sum" dataDxfId="74" totalsRowDxfId="73">
      <calculatedColumnFormula>IFERROR(CustodeVendas[[#This Row],[Mai]]/CustodeVendas[[#Totals],[Mai]],"-")</calculatedColumnFormula>
    </tableColumn>
    <tableColumn id="22" xr3:uid="{00000000-0010-0000-0100-000016000000}" name="Jun %" totalsRowFunction="sum" dataDxfId="72" totalsRowDxfId="71">
      <calculatedColumnFormula>IFERROR(CustodeVendas[[#This Row],[Jun]]/CustodeVendas[[#Totals],[Jun]],"-")</calculatedColumnFormula>
    </tableColumn>
    <tableColumn id="23" xr3:uid="{00000000-0010-0000-0100-000017000000}" name="Jul %" totalsRowFunction="sum" dataDxfId="70" totalsRowDxfId="69">
      <calculatedColumnFormula>IFERROR(CustodeVendas[[#This Row],[Jul]]/CustodeVendas[[#Totals],[Jul]],"-")</calculatedColumnFormula>
    </tableColumn>
    <tableColumn id="24" xr3:uid="{00000000-0010-0000-0100-000018000000}" name="Ago %" totalsRowFunction="sum" dataDxfId="68" totalsRowDxfId="67">
      <calculatedColumnFormula>IFERROR(CustodeVendas[[#This Row],[Ago]]/CustodeVendas[[#Totals],[Ago]],"-")</calculatedColumnFormula>
    </tableColumn>
    <tableColumn id="25" xr3:uid="{00000000-0010-0000-0100-000019000000}" name="Set %" totalsRowFunction="sum" dataDxfId="66" totalsRowDxfId="65">
      <calculatedColumnFormula>IFERROR(CustodeVendas[[#This Row],[Set]]/CustodeVendas[[#Totals],[Set]],"-")</calculatedColumnFormula>
    </tableColumn>
    <tableColumn id="26" xr3:uid="{00000000-0010-0000-0100-00001A000000}" name="Out %" totalsRowFunction="sum" dataDxfId="64" totalsRowDxfId="63">
      <calculatedColumnFormula>IFERROR(CustodeVendas[[#This Row],[Out]]/CustodeVendas[[#Totals],[Out]],"-")</calculatedColumnFormula>
    </tableColumn>
    <tableColumn id="27" xr3:uid="{00000000-0010-0000-0100-00001B000000}" name="Nov %" totalsRowFunction="sum" dataDxfId="62" totalsRowDxfId="61">
      <calculatedColumnFormula>IFERROR(CustodeVendas[[#This Row],[Nov]]/CustodeVendas[[#Totals],[Nov]],"-")</calculatedColumnFormula>
    </tableColumn>
    <tableColumn id="28" xr3:uid="{00000000-0010-0000-0100-00001C000000}" name="Dez %" totalsRowFunction="sum" dataDxfId="60" totalsRowDxfId="59">
      <calculatedColumnFormula>IFERROR(CustodeVendas[[#This Row],[Dez]]/CustodeVendas[[#Totals],[Dez]],"-")</calculatedColumnFormula>
    </tableColumn>
    <tableColumn id="29" xr3:uid="{00000000-0010-0000-0100-00001D000000}" name="Ano %" totalsRowFunction="sum" dataDxfId="58" totalsRowDxfId="57">
      <calculatedColumnFormula>IFERROR(CustodeVendas[[#This Row],[Anualmente]]/CustodeVendas[[#Totals],[Anualmente]],"-")</calculatedColumnFormula>
    </tableColumn>
  </tableColumns>
  <tableStyleInfo name="Vendas de lucros e perdas" showFirstColumn="0" showLastColumn="0" showRowStripes="1" showColumnStripes="0"/>
  <extLst>
    <ext xmlns:x14="http://schemas.microsoft.com/office/spreadsheetml/2009/9/main" uri="{504A1905-F514-4f6f-8877-14C23A59335A}">
      <x14:table altTextSummary="Resumo de custo de vendas, total anual e porcentagem mensal para cada item de custo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2000000}" name="tblDespesas" displayName="tblDespesas" ref="B6:AE31" totalsRowCount="1">
  <tableColumns count="30">
    <tableColumn id="1" xr3:uid="{00000000-0010-0000-0200-000001000000}" name="DESPESAS" totalsRowLabel="DESPESAS TOTAIS" dataDxfId="56" totalsRowDxfId="55"/>
    <tableColumn id="2" xr3:uid="{00000000-0010-0000-0200-000002000000}" name="TENDÊNCIA" totalsRowLabel=" "/>
    <tableColumn id="3" xr3:uid="{00000000-0010-0000-0200-000003000000}" name="Jan" totalsRowFunction="sum" dataDxfId="54" totalsRowDxfId="53"/>
    <tableColumn id="4" xr3:uid="{00000000-0010-0000-0200-000004000000}" name="Fev" totalsRowFunction="sum" dataDxfId="52" totalsRowDxfId="51"/>
    <tableColumn id="5" xr3:uid="{00000000-0010-0000-0200-000005000000}" name="Mar" totalsRowFunction="sum" dataDxfId="50" totalsRowDxfId="49"/>
    <tableColumn id="6" xr3:uid="{00000000-0010-0000-0200-000006000000}" name="Abr" totalsRowFunction="sum" dataDxfId="48" totalsRowDxfId="47"/>
    <tableColumn id="7" xr3:uid="{00000000-0010-0000-0200-000007000000}" name="Mai" totalsRowFunction="sum" dataDxfId="46" totalsRowDxfId="45"/>
    <tableColumn id="8" xr3:uid="{00000000-0010-0000-0200-000008000000}" name="Jun" totalsRowFunction="sum" dataDxfId="44" totalsRowDxfId="43"/>
    <tableColumn id="9" xr3:uid="{00000000-0010-0000-0200-000009000000}" name="Jul" totalsRowFunction="sum" dataDxfId="42" totalsRowDxfId="41"/>
    <tableColumn id="10" xr3:uid="{00000000-0010-0000-0200-00000A000000}" name="Ago" totalsRowFunction="sum" dataDxfId="40" totalsRowDxfId="39"/>
    <tableColumn id="11" xr3:uid="{00000000-0010-0000-0200-00000B000000}" name="Set" totalsRowFunction="sum" dataDxfId="38" totalsRowDxfId="37"/>
    <tableColumn id="12" xr3:uid="{00000000-0010-0000-0200-00000C000000}" name="Out" totalsRowFunction="sum" dataDxfId="36" totalsRowDxfId="35"/>
    <tableColumn id="13" xr3:uid="{00000000-0010-0000-0200-00000D000000}" name="Nov" totalsRowFunction="sum" dataDxfId="34" totalsRowDxfId="33"/>
    <tableColumn id="14" xr3:uid="{00000000-0010-0000-0200-00000E000000}" name="Dez" totalsRowFunction="sum" dataDxfId="32" totalsRowDxfId="31"/>
    <tableColumn id="15" xr3:uid="{00000000-0010-0000-0200-00000F000000}" name="Anualmente" totalsRowFunction="sum" dataDxfId="30" totalsRowDxfId="29">
      <calculatedColumnFormula>SUM(tblDespesas[[#This Row],[Jan]:[Dez]])</calculatedColumnFormula>
    </tableColumn>
    <tableColumn id="30" xr3:uid="{D377E0E7-A5DA-4118-B327-748BE98B9D5D}" name="Coluna1" dataDxfId="28" totalsRowDxfId="27" dataCellStyle="Moeda [0]"/>
    <tableColumn id="16" xr3:uid="{00000000-0010-0000-0200-000010000000}" name="Índice %" totalsRowFunction="sum" totalsRowDxfId="26"/>
    <tableColumn id="17" xr3:uid="{00000000-0010-0000-0200-000011000000}" name="Jan %" totalsRowFunction="sum" dataDxfId="25" totalsRowDxfId="24">
      <calculatedColumnFormula>IFERROR(tblDespesas[[#This Row],[Jan]]/tblDespesas[[#Totals],[Jan]],"-")</calculatedColumnFormula>
    </tableColumn>
    <tableColumn id="18" xr3:uid="{00000000-0010-0000-0200-000012000000}" name="Fev %" totalsRowFunction="sum" dataDxfId="23" totalsRowDxfId="22">
      <calculatedColumnFormula>IFERROR(tblDespesas[[#This Row],[Fev]]/tblDespesas[[#Totals],[Fev]],"-")</calculatedColumnFormula>
    </tableColumn>
    <tableColumn id="19" xr3:uid="{00000000-0010-0000-0200-000013000000}" name="Mar %" totalsRowFunction="sum" dataDxfId="21" totalsRowDxfId="20">
      <calculatedColumnFormula>IFERROR(tblDespesas[[#This Row],[Mar]]/tblDespesas[[#Totals],[Mar]],"-")</calculatedColumnFormula>
    </tableColumn>
    <tableColumn id="20" xr3:uid="{00000000-0010-0000-0200-000014000000}" name="Abr %" totalsRowFunction="sum" dataDxfId="19" totalsRowDxfId="18">
      <calculatedColumnFormula>IFERROR(tblDespesas[[#This Row],[Abr]]/tblDespesas[[#Totals],[Abr]],"-")</calculatedColumnFormula>
    </tableColumn>
    <tableColumn id="21" xr3:uid="{00000000-0010-0000-0200-000015000000}" name="Mai %" totalsRowFunction="sum" dataDxfId="17" totalsRowDxfId="16">
      <calculatedColumnFormula>IFERROR(tblDespesas[[#This Row],[Mai]]/tblDespesas[[#Totals],[Mai]],"-")</calculatedColumnFormula>
    </tableColumn>
    <tableColumn id="22" xr3:uid="{00000000-0010-0000-0200-000016000000}" name="Jun %" totalsRowFunction="sum" dataDxfId="15" totalsRowDxfId="14">
      <calculatedColumnFormula>IFERROR(tblDespesas[[#This Row],[Jun]]/tblDespesas[[#Totals],[Jun]],"-")</calculatedColumnFormula>
    </tableColumn>
    <tableColumn id="23" xr3:uid="{00000000-0010-0000-0200-000017000000}" name="Jul %" totalsRowFunction="sum" dataDxfId="13" totalsRowDxfId="12">
      <calculatedColumnFormula>IFERROR(tblDespesas[[#This Row],[Jul]]/tblDespesas[[#Totals],[Jul]],"-")</calculatedColumnFormula>
    </tableColumn>
    <tableColumn id="24" xr3:uid="{00000000-0010-0000-0200-000018000000}" name="Ago %" totalsRowFunction="sum" dataDxfId="11" totalsRowDxfId="10">
      <calculatedColumnFormula>IFERROR(tblDespesas[[#This Row],[Ago]]/tblDespesas[[#Totals],[Ago]],"-")</calculatedColumnFormula>
    </tableColumn>
    <tableColumn id="25" xr3:uid="{00000000-0010-0000-0200-000019000000}" name="Set %" totalsRowFunction="sum" dataDxfId="9" totalsRowDxfId="8">
      <calculatedColumnFormula>IFERROR(tblDespesas[[#This Row],[Set]]/tblDespesas[[#Totals],[Set]],"-")</calculatedColumnFormula>
    </tableColumn>
    <tableColumn id="26" xr3:uid="{00000000-0010-0000-0200-00001A000000}" name="Out %" totalsRowFunction="sum" dataDxfId="7" totalsRowDxfId="6">
      <calculatedColumnFormula>IFERROR(tblDespesas[[#This Row],[Out]]/tblDespesas[[#Totals],[Out]],"-")</calculatedColumnFormula>
    </tableColumn>
    <tableColumn id="27" xr3:uid="{00000000-0010-0000-0200-00001B000000}" name="Nov %" totalsRowFunction="sum" dataDxfId="5" totalsRowDxfId="4">
      <calculatedColumnFormula>IFERROR(tblDespesas[[#This Row],[Nov]]/tblDespesas[[#Totals],[Nov]],"-")</calculatedColumnFormula>
    </tableColumn>
    <tableColumn id="28" xr3:uid="{00000000-0010-0000-0200-00001C000000}" name="Dez %" totalsRowFunction="sum" dataDxfId="3" totalsRowDxfId="2">
      <calculatedColumnFormula>IFERROR(tblDespesas[[#This Row],[Dez]]/tblDespesas[[#Totals],[Dez]],"-")</calculatedColumnFormula>
    </tableColumn>
    <tableColumn id="29" xr3:uid="{00000000-0010-0000-0200-00001D000000}" name="Ano %" totalsRowFunction="sum" dataDxfId="1" totalsRowDxfId="0">
      <calculatedColumnFormula>IFERROR(tblDespesas[[#This Row],[Anualmente]]/tblDespesas[[#Totals],[Anualmente]],"-")</calculatedColumnFormula>
    </tableColumn>
  </tableColumns>
  <tableStyleInfo name="Despesas de lucros e perdas 2" showFirstColumn="0" showLastColumn="0" showRowStripes="1" showColumnStripes="0"/>
  <extLst>
    <ext xmlns:x14="http://schemas.microsoft.com/office/spreadsheetml/2009/9/main" uri="{504A1905-F514-4f6f-8877-14C23A59335A}">
      <x14:table altTextSummary="Resumo de despesas, total anual e porcentagem mensal para cada item de despesa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-Cambria">
      <a:majorFont>
        <a:latin typeface="Calibri" panose="020F0502020204030204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mbria" panose="02040503050406030204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05B5C-F112-4038-98FC-5CDD93B3337F}">
  <dimension ref="A1:Z40"/>
  <sheetViews>
    <sheetView workbookViewId="0">
      <selection activeCell="B6" sqref="B6"/>
    </sheetView>
  </sheetViews>
  <sheetFormatPr defaultRowHeight="14.25" x14ac:dyDescent="0.2"/>
  <sheetData>
    <row r="1" spans="1:26" x14ac:dyDescent="0.2">
      <c r="A1" s="106"/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</row>
    <row r="2" spans="1:26" x14ac:dyDescent="0.2">
      <c r="A2" s="106"/>
      <c r="B2" s="107" t="s">
        <v>85</v>
      </c>
      <c r="C2" s="108"/>
      <c r="D2" s="109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</row>
    <row r="3" spans="1:26" x14ac:dyDescent="0.2">
      <c r="A3" s="106"/>
      <c r="B3" s="110"/>
      <c r="C3" s="111"/>
      <c r="D3" s="112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</row>
    <row r="4" spans="1:26" x14ac:dyDescent="0.2">
      <c r="A4" s="106"/>
      <c r="B4" s="113"/>
      <c r="C4" s="114"/>
      <c r="D4" s="115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</row>
    <row r="5" spans="1:26" x14ac:dyDescent="0.2">
      <c r="A5" s="106"/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</row>
    <row r="6" spans="1:26" x14ac:dyDescent="0.2">
      <c r="A6" s="106"/>
      <c r="B6" s="117"/>
      <c r="C6" s="118"/>
      <c r="D6" s="119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</row>
    <row r="7" spans="1:26" x14ac:dyDescent="0.2">
      <c r="A7" s="106"/>
      <c r="B7" s="120"/>
      <c r="C7" s="121"/>
      <c r="D7" s="122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</row>
    <row r="8" spans="1:26" x14ac:dyDescent="0.2">
      <c r="A8" s="106"/>
      <c r="B8" s="120"/>
      <c r="C8" s="121"/>
      <c r="D8" s="122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6"/>
      <c r="Y8" s="106"/>
      <c r="Z8" s="106"/>
    </row>
    <row r="9" spans="1:26" x14ac:dyDescent="0.2">
      <c r="A9" s="106"/>
      <c r="B9" s="120"/>
      <c r="C9" s="121"/>
      <c r="D9" s="122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</row>
    <row r="10" spans="1:26" x14ac:dyDescent="0.2">
      <c r="A10" s="106"/>
      <c r="B10" s="120"/>
      <c r="C10" s="121"/>
      <c r="D10" s="122"/>
      <c r="E10" s="106"/>
      <c r="F10" s="106"/>
      <c r="G10" s="106"/>
      <c r="H10" s="106"/>
      <c r="I10" s="106"/>
      <c r="J10" s="106"/>
      <c r="K10" s="106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6"/>
    </row>
    <row r="11" spans="1:26" x14ac:dyDescent="0.2">
      <c r="A11" s="106"/>
      <c r="B11" s="120"/>
      <c r="C11" s="121"/>
      <c r="D11" s="122"/>
      <c r="E11" s="106"/>
      <c r="F11" s="106"/>
      <c r="G11" s="106"/>
      <c r="H11" s="106"/>
      <c r="I11" s="106"/>
      <c r="J11" s="106"/>
      <c r="K11" s="106"/>
      <c r="L11" s="106"/>
      <c r="M11" s="106"/>
      <c r="N11" s="106"/>
      <c r="O11" s="106"/>
      <c r="P11" s="106"/>
      <c r="Q11" s="106"/>
      <c r="R11" s="106"/>
      <c r="S11" s="106"/>
      <c r="T11" s="106"/>
      <c r="U11" s="106"/>
      <c r="V11" s="106"/>
      <c r="W11" s="106"/>
      <c r="X11" s="106"/>
      <c r="Y11" s="106"/>
      <c r="Z11" s="106"/>
    </row>
    <row r="12" spans="1:26" x14ac:dyDescent="0.2">
      <c r="A12" s="106"/>
      <c r="B12" s="120"/>
      <c r="C12" s="121"/>
      <c r="D12" s="122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</row>
    <row r="13" spans="1:26" x14ac:dyDescent="0.2">
      <c r="A13" s="106"/>
      <c r="B13" s="120"/>
      <c r="C13" s="121"/>
      <c r="D13" s="122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</row>
    <row r="14" spans="1:26" x14ac:dyDescent="0.2">
      <c r="A14" s="106"/>
      <c r="B14" s="120"/>
      <c r="C14" s="121"/>
      <c r="D14" s="122"/>
      <c r="E14" s="106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</row>
    <row r="15" spans="1:26" x14ac:dyDescent="0.2">
      <c r="A15" s="106"/>
      <c r="B15" s="120"/>
      <c r="C15" s="121"/>
      <c r="D15" s="122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</row>
    <row r="16" spans="1:26" x14ac:dyDescent="0.2">
      <c r="A16" s="106"/>
      <c r="B16" s="120"/>
      <c r="C16" s="121"/>
      <c r="D16" s="122"/>
      <c r="E16" s="106"/>
      <c r="F16" s="106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</row>
    <row r="17" spans="1:26" x14ac:dyDescent="0.2">
      <c r="A17" s="106"/>
      <c r="B17" s="120"/>
      <c r="C17" s="121"/>
      <c r="D17" s="122"/>
      <c r="E17" s="106"/>
      <c r="F17" s="106"/>
      <c r="G17" s="106"/>
      <c r="H17" s="106"/>
      <c r="I17" s="106"/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</row>
    <row r="18" spans="1:26" x14ac:dyDescent="0.2">
      <c r="A18" s="106"/>
      <c r="B18" s="120"/>
      <c r="C18" s="121"/>
      <c r="D18" s="122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</row>
    <row r="19" spans="1:26" x14ac:dyDescent="0.2">
      <c r="A19" s="106"/>
      <c r="B19" s="120"/>
      <c r="C19" s="121"/>
      <c r="D19" s="122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</row>
    <row r="20" spans="1:26" x14ac:dyDescent="0.2">
      <c r="A20" s="106"/>
      <c r="B20" s="120"/>
      <c r="C20" s="121"/>
      <c r="D20" s="122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</row>
    <row r="21" spans="1:26" x14ac:dyDescent="0.2">
      <c r="A21" s="106"/>
      <c r="B21" s="120"/>
      <c r="C21" s="121"/>
      <c r="D21" s="122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</row>
    <row r="22" spans="1:26" x14ac:dyDescent="0.2">
      <c r="A22" s="106"/>
      <c r="B22" s="120"/>
      <c r="C22" s="121"/>
      <c r="D22" s="122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</row>
    <row r="23" spans="1:26" x14ac:dyDescent="0.2">
      <c r="A23" s="106"/>
      <c r="B23" s="123"/>
      <c r="C23" s="124"/>
      <c r="D23" s="125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</row>
    <row r="24" spans="1:26" x14ac:dyDescent="0.2">
      <c r="A24" s="106"/>
      <c r="B24" s="106"/>
      <c r="C24" s="106"/>
      <c r="D24" s="106"/>
      <c r="E24" s="106"/>
      <c r="F24" s="106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</row>
    <row r="25" spans="1:26" x14ac:dyDescent="0.2">
      <c r="A25" s="106"/>
      <c r="B25" s="106"/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</row>
    <row r="26" spans="1:26" x14ac:dyDescent="0.2">
      <c r="A26" s="106"/>
      <c r="B26" s="106"/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</row>
    <row r="27" spans="1:26" x14ac:dyDescent="0.2">
      <c r="A27" s="106"/>
      <c r="B27" s="106"/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6"/>
    </row>
    <row r="28" spans="1:26" x14ac:dyDescent="0.2">
      <c r="A28" s="106"/>
      <c r="B28" s="106"/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</row>
    <row r="29" spans="1:26" x14ac:dyDescent="0.2">
      <c r="A29" s="106"/>
      <c r="B29" s="106"/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 s="106"/>
      <c r="S29" s="106"/>
      <c r="T29" s="106"/>
      <c r="U29" s="106"/>
      <c r="V29" s="106"/>
      <c r="W29" s="106"/>
      <c r="X29" s="106"/>
      <c r="Y29" s="106"/>
      <c r="Z29" s="106"/>
    </row>
    <row r="30" spans="1:26" x14ac:dyDescent="0.2">
      <c r="A30" s="106"/>
      <c r="B30" s="106"/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</row>
    <row r="31" spans="1:26" x14ac:dyDescent="0.2">
      <c r="A31" s="106"/>
      <c r="B31" s="106"/>
      <c r="C31" s="106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6"/>
    </row>
    <row r="32" spans="1:26" x14ac:dyDescent="0.2">
      <c r="A32" s="106"/>
      <c r="B32" s="106"/>
      <c r="C32" s="106"/>
      <c r="D32" s="106"/>
      <c r="E32" s="106"/>
      <c r="F32" s="106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06"/>
      <c r="X32" s="106"/>
      <c r="Y32" s="106"/>
      <c r="Z32" s="106"/>
    </row>
    <row r="33" spans="1:26" x14ac:dyDescent="0.2">
      <c r="A33" s="106"/>
      <c r="B33" s="106"/>
      <c r="C33" s="106"/>
      <c r="D33" s="106"/>
      <c r="E33" s="106"/>
      <c r="F33" s="106"/>
      <c r="G33" s="106"/>
      <c r="H33" s="106"/>
      <c r="I33" s="106"/>
      <c r="J33" s="106"/>
      <c r="K33" s="106"/>
      <c r="L33" s="106"/>
      <c r="M33" s="106"/>
      <c r="N33" s="106"/>
      <c r="O33" s="106"/>
      <c r="P33" s="106"/>
      <c r="Q33" s="106"/>
      <c r="R33" s="106"/>
      <c r="S33" s="106"/>
      <c r="T33" s="106"/>
      <c r="U33" s="106"/>
      <c r="V33" s="106"/>
      <c r="W33" s="106"/>
      <c r="X33" s="106"/>
      <c r="Y33" s="106"/>
      <c r="Z33" s="106"/>
    </row>
    <row r="34" spans="1:26" x14ac:dyDescent="0.2">
      <c r="A34" s="106"/>
      <c r="B34" s="106"/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</row>
    <row r="35" spans="1:26" x14ac:dyDescent="0.2">
      <c r="A35" s="106"/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106"/>
      <c r="R35" s="106"/>
      <c r="S35" s="106"/>
      <c r="T35" s="106"/>
      <c r="U35" s="106"/>
      <c r="V35" s="106"/>
      <c r="W35" s="106"/>
      <c r="X35" s="106"/>
      <c r="Y35" s="106"/>
      <c r="Z35" s="106"/>
    </row>
    <row r="36" spans="1:26" x14ac:dyDescent="0.2">
      <c r="A36" s="106"/>
      <c r="B36" s="106"/>
      <c r="C36" s="106"/>
      <c r="D36" s="106"/>
      <c r="E36" s="106"/>
      <c r="F36" s="106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</row>
    <row r="37" spans="1:26" x14ac:dyDescent="0.2">
      <c r="A37" s="106"/>
      <c r="B37" s="106"/>
      <c r="C37" s="106"/>
      <c r="D37" s="106"/>
      <c r="E37" s="106"/>
      <c r="F37" s="106"/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06"/>
      <c r="Y37" s="106"/>
      <c r="Z37" s="106"/>
    </row>
    <row r="38" spans="1:26" x14ac:dyDescent="0.2">
      <c r="A38" s="106"/>
      <c r="B38" s="106"/>
      <c r="C38" s="106"/>
      <c r="D38" s="106"/>
      <c r="E38" s="106"/>
      <c r="F38" s="106"/>
      <c r="G38" s="106"/>
      <c r="H38" s="106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106"/>
      <c r="T38" s="106"/>
      <c r="U38" s="106"/>
      <c r="V38" s="106"/>
      <c r="W38" s="106"/>
      <c r="X38" s="106"/>
      <c r="Y38" s="106"/>
      <c r="Z38" s="106"/>
    </row>
    <row r="39" spans="1:26" x14ac:dyDescent="0.2">
      <c r="A39" s="106"/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106"/>
      <c r="T39" s="106"/>
      <c r="U39" s="106"/>
      <c r="V39" s="106"/>
      <c r="W39" s="106"/>
      <c r="X39" s="106"/>
      <c r="Y39" s="106"/>
      <c r="Z39" s="106"/>
    </row>
    <row r="40" spans="1:26" x14ac:dyDescent="0.2">
      <c r="A40" s="106"/>
      <c r="B40" s="106"/>
      <c r="C40" s="106"/>
      <c r="D40" s="106"/>
      <c r="E40" s="106"/>
      <c r="F40" s="106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</row>
  </sheetData>
  <mergeCells count="1">
    <mergeCell ref="B2:D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563D0-2923-4EA9-8877-E588EB04D1DB}">
  <dimension ref="A1:B14"/>
  <sheetViews>
    <sheetView tabSelected="1" workbookViewId="0">
      <selection activeCell="A14" sqref="A14"/>
    </sheetView>
  </sheetViews>
  <sheetFormatPr defaultRowHeight="14.25" x14ac:dyDescent="0.2"/>
  <cols>
    <col min="1" max="1" width="12.5" customWidth="1"/>
  </cols>
  <sheetData>
    <row r="1" spans="1:2" x14ac:dyDescent="0.2">
      <c r="A1" t="s">
        <v>86</v>
      </c>
    </row>
    <row r="2" spans="1:2" x14ac:dyDescent="0.2">
      <c r="A2" s="126" t="s">
        <v>71</v>
      </c>
      <c r="B2" s="128">
        <v>186</v>
      </c>
    </row>
    <row r="3" spans="1:2" x14ac:dyDescent="0.2">
      <c r="A3" s="127" t="s">
        <v>74</v>
      </c>
      <c r="B3" s="129">
        <v>15</v>
      </c>
    </row>
    <row r="4" spans="1:2" x14ac:dyDescent="0.2">
      <c r="A4" s="126" t="s">
        <v>72</v>
      </c>
      <c r="B4" s="128">
        <v>166</v>
      </c>
    </row>
    <row r="5" spans="1:2" ht="28.5" x14ac:dyDescent="0.2">
      <c r="A5" s="127" t="s">
        <v>75</v>
      </c>
      <c r="B5" s="129">
        <v>21</v>
      </c>
    </row>
    <row r="6" spans="1:2" ht="28.5" x14ac:dyDescent="0.2">
      <c r="A6" s="126" t="s">
        <v>76</v>
      </c>
      <c r="B6" s="128">
        <v>70</v>
      </c>
    </row>
    <row r="7" spans="1:2" x14ac:dyDescent="0.2">
      <c r="A7" s="127" t="s">
        <v>77</v>
      </c>
      <c r="B7" s="129">
        <v>61</v>
      </c>
    </row>
    <row r="8" spans="1:2" x14ac:dyDescent="0.2">
      <c r="A8" s="126" t="s">
        <v>73</v>
      </c>
      <c r="B8" s="128">
        <v>105</v>
      </c>
    </row>
    <row r="14" spans="1:2" x14ac:dyDescent="0.2">
      <c r="A14" t="s">
        <v>87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39997558519241921"/>
    <pageSetUpPr autoPageBreaks="0" fitToPage="1"/>
  </sheetPr>
  <dimension ref="B1:AD14"/>
  <sheetViews>
    <sheetView showGridLines="0" zoomScaleNormal="100" zoomScalePageLayoutView="85" workbookViewId="0">
      <pane xSplit="3" ySplit="5" topLeftCell="D6" activePane="bottomRight" state="frozen"/>
      <selection pane="topRight"/>
      <selection pane="bottomLeft"/>
      <selection pane="bottomRight" activeCell="D7" sqref="D7:D13"/>
    </sheetView>
  </sheetViews>
  <sheetFormatPr defaultRowHeight="30" customHeight="1" x14ac:dyDescent="0.2"/>
  <cols>
    <col min="1" max="1" width="2.625" customWidth="1"/>
    <col min="2" max="3" width="22.125" customWidth="1"/>
    <col min="4" max="15" width="9.625" bestFit="1" customWidth="1"/>
    <col min="16" max="16" width="11.875" bestFit="1" customWidth="1"/>
    <col min="17" max="30" width="7.5" customWidth="1"/>
    <col min="31" max="31" width="2.625" customWidth="1"/>
  </cols>
  <sheetData>
    <row r="1" spans="2:30" ht="38.1" customHeight="1" x14ac:dyDescent="0.2">
      <c r="B1" s="44" t="s">
        <v>59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2:30" ht="35.1" customHeight="1" x14ac:dyDescent="0.2">
      <c r="B2" s="50" t="s">
        <v>0</v>
      </c>
      <c r="C2" s="51"/>
      <c r="D2" s="51"/>
      <c r="E2" s="52" t="s">
        <v>6</v>
      </c>
      <c r="F2" s="53" t="s">
        <v>8</v>
      </c>
      <c r="G2" s="53">
        <f ca="1">YEAR(TODAY())</f>
        <v>2024</v>
      </c>
      <c r="H2" s="51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2:30" ht="60" customHeight="1" x14ac:dyDescent="0.2">
      <c r="B3" s="43" t="s">
        <v>1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1"/>
      <c r="Q3" s="11"/>
      <c r="R3" s="11"/>
      <c r="S3" s="11"/>
      <c r="T3" s="11"/>
      <c r="U3" s="11"/>
      <c r="V3" s="11"/>
      <c r="W3" s="11"/>
      <c r="X3" s="13"/>
      <c r="Y3" s="13"/>
      <c r="Z3" s="13"/>
      <c r="AA3" s="13"/>
      <c r="AB3" s="11"/>
      <c r="AC3" s="11"/>
      <c r="AD3" s="11"/>
    </row>
    <row r="4" spans="2:30" ht="15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7"/>
      <c r="X4" s="2"/>
      <c r="Y4" s="2"/>
      <c r="Z4" s="2"/>
      <c r="AA4" s="2"/>
      <c r="AB4" s="7"/>
      <c r="AC4" s="7"/>
      <c r="AD4" s="7"/>
    </row>
    <row r="5" spans="2:30" ht="20.100000000000001" customHeight="1" x14ac:dyDescent="0.2">
      <c r="B5" s="116" t="s">
        <v>2</v>
      </c>
      <c r="C5" s="116" t="s">
        <v>4</v>
      </c>
      <c r="D5" s="72" t="str" cm="1">
        <f t="array" aca="1" ref="D5" ca="1">UPPER(TEXT(DATE(AnoInícioAF,NúmMêsAF,1),"mmm-aa"))</f>
        <v>JAN-24</v>
      </c>
      <c r="E5" s="72" t="str" cm="1">
        <f t="array" aca="1" ref="E5" ca="1">UPPER(TEXT(DATE(AnoInícioAF,NúmMêsAF+1,1),"mmm-aa"))</f>
        <v>FEV-24</v>
      </c>
      <c r="F5" s="72" t="str" cm="1">
        <f t="array" aca="1" ref="F5" ca="1">UPPER(TEXT(DATE(AnoInícioAF,NúmMêsAF+2,1),"mmm-aa"))</f>
        <v>MAR-24</v>
      </c>
      <c r="G5" s="72" t="str" cm="1">
        <f t="array" aca="1" ref="G5" ca="1">UPPER(TEXT(DATE(AnoInícioAF,NúmMêsAF+3,1),"mmm-aa"))</f>
        <v>ABR-24</v>
      </c>
      <c r="H5" s="72" t="str" cm="1">
        <f t="array" aca="1" ref="H5" ca="1">UPPER(TEXT(DATE(AnoInícioAF,NúmMêsAF+4,1),"mmm-aa"))</f>
        <v>MAI-24</v>
      </c>
      <c r="I5" s="72" t="str" cm="1">
        <f t="array" aca="1" ref="I5" ca="1">UPPER(TEXT(DATE(AnoInícioAF,NúmMêsAF+5,1),"mmm-aa"))</f>
        <v>JUN-24</v>
      </c>
      <c r="J5" s="72" t="str" cm="1">
        <f t="array" aca="1" ref="J5" ca="1">UPPER(TEXT(DATE(AnoInícioAF,NúmMêsAF+6,1),"mmm-aa"))</f>
        <v>JUL-24</v>
      </c>
      <c r="K5" s="72" t="str" cm="1">
        <f t="array" aca="1" ref="K5" ca="1">UPPER(TEXT(DATE(AnoInícioAF,NúmMêsAF+7,1),"mmm-aa"))</f>
        <v>AGO-24</v>
      </c>
      <c r="L5" s="72" t="str" cm="1">
        <f t="array" aca="1" ref="L5" ca="1">UPPER(TEXT(DATE(AnoInícioAF,NúmMêsAF+8,1),"mmm-aa"))</f>
        <v>SET-24</v>
      </c>
      <c r="M5" s="72" t="str" cm="1">
        <f t="array" aca="1" ref="M5" ca="1">UPPER(TEXT(DATE(AnoInícioAF,NúmMêsAF+9,1),"mmm-aa"))</f>
        <v>OUT-24</v>
      </c>
      <c r="N5" s="72" t="str" cm="1">
        <f t="array" aca="1" ref="N5" ca="1">UPPER(TEXT(DATE(AnoInícioAF,NúmMêsAF+10,1),"mmm-aa"))</f>
        <v>NOV-24</v>
      </c>
      <c r="O5" s="73" t="str" cm="1">
        <f t="array" aca="1" ref="O5" ca="1">UPPER(TEXT(DATE(AnoInícioAF,NúmMêsAF+11,1),"mmm-aa"))</f>
        <v>DEZ-24</v>
      </c>
      <c r="P5" s="74" t="s">
        <v>19</v>
      </c>
      <c r="Q5" s="75" t="s">
        <v>21</v>
      </c>
      <c r="R5" s="76" t="str">
        <f ca="1">LEFT(D5,3)&amp;" %"</f>
        <v>JAN %</v>
      </c>
      <c r="S5" s="77" t="str">
        <f t="shared" ref="S5:AC5" ca="1" si="0">LEFT(E5,3)&amp;" %"</f>
        <v>FEV %</v>
      </c>
      <c r="T5" s="77" t="str">
        <f t="shared" ca="1" si="0"/>
        <v>MAR %</v>
      </c>
      <c r="U5" s="77" t="str">
        <f t="shared" ca="1" si="0"/>
        <v>ABR %</v>
      </c>
      <c r="V5" s="77" t="str">
        <f t="shared" ca="1" si="0"/>
        <v>MAI %</v>
      </c>
      <c r="W5" s="77" t="str">
        <f t="shared" ca="1" si="0"/>
        <v>JUN %</v>
      </c>
      <c r="X5" s="77" t="str">
        <f t="shared" ca="1" si="0"/>
        <v>JUL %</v>
      </c>
      <c r="Y5" s="77" t="str">
        <f t="shared" ca="1" si="0"/>
        <v>AGO %</v>
      </c>
      <c r="Z5" s="77" t="str">
        <f t="shared" ca="1" si="0"/>
        <v>SET %</v>
      </c>
      <c r="AA5" s="77" t="str">
        <f t="shared" ca="1" si="0"/>
        <v>OUT %</v>
      </c>
      <c r="AB5" s="77" t="str">
        <f t="shared" ca="1" si="0"/>
        <v>NOV %</v>
      </c>
      <c r="AC5" s="77" t="str">
        <f t="shared" ca="1" si="0"/>
        <v>DEZ %</v>
      </c>
      <c r="AD5" s="78" t="s">
        <v>35</v>
      </c>
    </row>
    <row r="6" spans="2:30" ht="30" customHeight="1" x14ac:dyDescent="0.2">
      <c r="B6" s="38" t="s">
        <v>2</v>
      </c>
      <c r="C6" s="38" t="s">
        <v>4</v>
      </c>
      <c r="D6" s="8" t="s">
        <v>5</v>
      </c>
      <c r="E6" s="8" t="s">
        <v>7</v>
      </c>
      <c r="F6" s="8" t="s">
        <v>9</v>
      </c>
      <c r="G6" s="8" t="s">
        <v>10</v>
      </c>
      <c r="H6" s="8" t="s">
        <v>11</v>
      </c>
      <c r="I6" s="8" t="s">
        <v>12</v>
      </c>
      <c r="J6" s="8" t="s">
        <v>13</v>
      </c>
      <c r="K6" s="8" t="s">
        <v>14</v>
      </c>
      <c r="L6" s="8" t="s">
        <v>15</v>
      </c>
      <c r="M6" s="8" t="s">
        <v>16</v>
      </c>
      <c r="N6" s="8" t="s">
        <v>17</v>
      </c>
      <c r="O6" s="8" t="s">
        <v>18</v>
      </c>
      <c r="P6" s="19" t="s">
        <v>20</v>
      </c>
      <c r="Q6" s="8" t="s">
        <v>22</v>
      </c>
      <c r="R6" s="20" t="s">
        <v>23</v>
      </c>
      <c r="S6" s="8" t="s">
        <v>24</v>
      </c>
      <c r="T6" s="8" t="s">
        <v>25</v>
      </c>
      <c r="U6" s="8" t="s">
        <v>26</v>
      </c>
      <c r="V6" s="8" t="s">
        <v>27</v>
      </c>
      <c r="W6" s="8" t="s">
        <v>28</v>
      </c>
      <c r="X6" s="8" t="s">
        <v>29</v>
      </c>
      <c r="Y6" s="8" t="s">
        <v>30</v>
      </c>
      <c r="Z6" s="8" t="s">
        <v>31</v>
      </c>
      <c r="AA6" s="8" t="s">
        <v>32</v>
      </c>
      <c r="AB6" s="8" t="s">
        <v>33</v>
      </c>
      <c r="AC6" s="8" t="s">
        <v>34</v>
      </c>
      <c r="AD6" s="21" t="s">
        <v>36</v>
      </c>
    </row>
    <row r="7" spans="2:30" ht="30" customHeight="1" x14ac:dyDescent="0.2">
      <c r="B7" s="14" t="s">
        <v>71</v>
      </c>
      <c r="C7" s="15"/>
      <c r="D7" s="79">
        <v>186</v>
      </c>
      <c r="E7" s="79">
        <v>108</v>
      </c>
      <c r="F7" s="79">
        <v>92</v>
      </c>
      <c r="G7" s="79">
        <v>122</v>
      </c>
      <c r="H7" s="79">
        <v>190</v>
      </c>
      <c r="I7" s="79">
        <v>71</v>
      </c>
      <c r="J7" s="79">
        <v>21</v>
      </c>
      <c r="K7" s="79">
        <v>37</v>
      </c>
      <c r="L7" s="79">
        <v>24</v>
      </c>
      <c r="M7" s="79">
        <v>178</v>
      </c>
      <c r="N7" s="79">
        <v>92</v>
      </c>
      <c r="O7" s="79">
        <v>97</v>
      </c>
      <c r="P7" s="80">
        <f>SUM(Receita[[#This Row],[Jan]:[Dez]])</f>
        <v>1218</v>
      </c>
      <c r="Q7" s="9">
        <v>0.12</v>
      </c>
      <c r="R7" s="22">
        <f>IFERROR(Receita[[#This Row],[Jan]]/Receita[[#Totals],[Jan]],"-")</f>
        <v>0.29807692307692307</v>
      </c>
      <c r="S7" s="9">
        <f>IFERROR(Receita[[#This Row],[Fev]]/Receita[[#Totals],[Fev]],"-")</f>
        <v>0.14673913043478262</v>
      </c>
      <c r="T7" s="9">
        <f>IFERROR(Receita[[#This Row],[Mar]]/Receita[[#Totals],[Mar]],"-")</f>
        <v>0.11219512195121951</v>
      </c>
      <c r="U7" s="9">
        <f>IFERROR(Receita[[#This Row],[Abr]]/Receita[[#Totals],[Abr]],"-")</f>
        <v>0.19967266775777415</v>
      </c>
      <c r="V7" s="9">
        <f>IFERROR(Receita[[#This Row],[Mai]]/Receita[[#Totals],[Mai]],"-")</f>
        <v>0.23399014778325122</v>
      </c>
      <c r="W7" s="9">
        <f>IFERROR(Receita[[#This Row],[Jun]]/Receita[[#Totals],[Jun]],"-")</f>
        <v>0.12283737024221453</v>
      </c>
      <c r="X7" s="9">
        <f>IFERROR(Receita[[#This Row],[Jul]]/Receita[[#Totals],[Jul]],"-")</f>
        <v>3.5175879396984924E-2</v>
      </c>
      <c r="Y7" s="9">
        <f>IFERROR(Receita[[#This Row],[Ago]]/Receita[[#Totals],[Ago]],"-")</f>
        <v>5.4814814814814816E-2</v>
      </c>
      <c r="Z7" s="9">
        <f>IFERROR(Receita[[#This Row],[Set]]/Receita[[#Totals],[Set]],"-")</f>
        <v>3.2258064516129031E-2</v>
      </c>
      <c r="AA7" s="9">
        <f>IFERROR(Receita[[#This Row],[Out]]/Receita[[#Totals],[Out]],"-")</f>
        <v>0.26138032305433184</v>
      </c>
      <c r="AB7" s="9">
        <f>IFERROR(Receita[[#This Row],[Nov]]/Receita[[#Totals],[Nov]],"-")</f>
        <v>0.12449255751014884</v>
      </c>
      <c r="AC7" s="9">
        <f>IFERROR(Receita[[#This Row],[Dez]]/Receita[[#Totals],[Dez]],"-")</f>
        <v>9.3000958772770856E-2</v>
      </c>
      <c r="AD7" s="23">
        <f>IFERROR(Receita[[#This Row],[Anualmente]]/Receita[[#Totals],[Anualmente]],"-")</f>
        <v>0.14064665127020784</v>
      </c>
    </row>
    <row r="8" spans="2:30" ht="30" customHeight="1" x14ac:dyDescent="0.2">
      <c r="B8" s="14" t="s">
        <v>74</v>
      </c>
      <c r="C8" s="15"/>
      <c r="D8" s="79">
        <v>15</v>
      </c>
      <c r="E8" s="79">
        <v>16</v>
      </c>
      <c r="F8" s="79">
        <v>198</v>
      </c>
      <c r="G8" s="79">
        <v>44</v>
      </c>
      <c r="H8" s="79">
        <v>25</v>
      </c>
      <c r="I8" s="79">
        <v>68</v>
      </c>
      <c r="J8" s="79">
        <v>43</v>
      </c>
      <c r="K8" s="79">
        <v>119</v>
      </c>
      <c r="L8" s="79">
        <v>37</v>
      </c>
      <c r="M8" s="79">
        <v>118</v>
      </c>
      <c r="N8" s="79">
        <v>29</v>
      </c>
      <c r="O8" s="79">
        <v>171</v>
      </c>
      <c r="P8" s="80">
        <f>SUM(Receita[[#This Row],[Jan]:[Dez]])</f>
        <v>883</v>
      </c>
      <c r="Q8" s="9">
        <v>0.18</v>
      </c>
      <c r="R8" s="22">
        <f>IFERROR(Receita[[#This Row],[Jan]]/Receita[[#Totals],[Jan]],"-")</f>
        <v>2.403846153846154E-2</v>
      </c>
      <c r="S8" s="9">
        <f>IFERROR(Receita[[#This Row],[Fev]]/Receita[[#Totals],[Fev]],"-")</f>
        <v>2.1739130434782608E-2</v>
      </c>
      <c r="T8" s="9">
        <f>IFERROR(Receita[[#This Row],[Mar]]/Receita[[#Totals],[Mar]],"-")</f>
        <v>0.24146341463414633</v>
      </c>
      <c r="U8" s="9">
        <f>IFERROR(Receita[[#This Row],[Abr]]/Receita[[#Totals],[Abr]],"-")</f>
        <v>7.2013093289689037E-2</v>
      </c>
      <c r="V8" s="9">
        <f>IFERROR(Receita[[#This Row],[Mai]]/Receita[[#Totals],[Mai]],"-")</f>
        <v>3.0788177339901478E-2</v>
      </c>
      <c r="W8" s="9">
        <f>IFERROR(Receita[[#This Row],[Jun]]/Receita[[#Totals],[Jun]],"-")</f>
        <v>0.11764705882352941</v>
      </c>
      <c r="X8" s="9">
        <f>IFERROR(Receita[[#This Row],[Jul]]/Receita[[#Totals],[Jul]],"-")</f>
        <v>7.2026800670016752E-2</v>
      </c>
      <c r="Y8" s="9">
        <f>IFERROR(Receita[[#This Row],[Ago]]/Receita[[#Totals],[Ago]],"-")</f>
        <v>0.17629629629629628</v>
      </c>
      <c r="Z8" s="9">
        <f>IFERROR(Receita[[#This Row],[Set]]/Receita[[#Totals],[Set]],"-")</f>
        <v>4.9731182795698922E-2</v>
      </c>
      <c r="AA8" s="9">
        <f>IFERROR(Receita[[#This Row],[Out]]/Receita[[#Totals],[Out]],"-")</f>
        <v>0.17327459618208516</v>
      </c>
      <c r="AB8" s="9">
        <f>IFERROR(Receita[[#This Row],[Nov]]/Receita[[#Totals],[Nov]],"-")</f>
        <v>3.9242219215155617E-2</v>
      </c>
      <c r="AC8" s="9">
        <f>IFERROR(Receita[[#This Row],[Dez]]/Receita[[#Totals],[Dez]],"-")</f>
        <v>0.16395014381591563</v>
      </c>
      <c r="AD8" s="23">
        <f>IFERROR(Receita[[#This Row],[Anualmente]]/Receita[[#Totals],[Anualmente]],"-")</f>
        <v>0.10196304849884527</v>
      </c>
    </row>
    <row r="9" spans="2:30" ht="30" customHeight="1" x14ac:dyDescent="0.2">
      <c r="B9" s="14" t="s">
        <v>72</v>
      </c>
      <c r="C9" s="15"/>
      <c r="D9" s="79">
        <v>166</v>
      </c>
      <c r="E9" s="79">
        <v>185</v>
      </c>
      <c r="F9" s="79">
        <v>89</v>
      </c>
      <c r="G9" s="79">
        <v>170</v>
      </c>
      <c r="H9" s="79">
        <v>131</v>
      </c>
      <c r="I9" s="79">
        <v>70</v>
      </c>
      <c r="J9" s="79">
        <v>50</v>
      </c>
      <c r="K9" s="79">
        <v>149</v>
      </c>
      <c r="L9" s="79">
        <v>179</v>
      </c>
      <c r="M9" s="79">
        <v>104</v>
      </c>
      <c r="N9" s="79">
        <v>119</v>
      </c>
      <c r="O9" s="79">
        <v>187</v>
      </c>
      <c r="P9" s="80">
        <f>SUM(Receita[[#This Row],[Jan]:[Dez]])</f>
        <v>1599</v>
      </c>
      <c r="Q9" s="9">
        <v>0.19</v>
      </c>
      <c r="R9" s="22">
        <f>IFERROR(Receita[[#This Row],[Jan]]/Receita[[#Totals],[Jan]],"-")</f>
        <v>0.26602564102564102</v>
      </c>
      <c r="S9" s="9">
        <f>IFERROR(Receita[[#This Row],[Fev]]/Receita[[#Totals],[Fev]],"-")</f>
        <v>0.25135869565217389</v>
      </c>
      <c r="T9" s="9">
        <f>IFERROR(Receita[[#This Row],[Mar]]/Receita[[#Totals],[Mar]],"-")</f>
        <v>0.10853658536585366</v>
      </c>
      <c r="U9" s="9">
        <f>IFERROR(Receita[[#This Row],[Abr]]/Receita[[#Totals],[Abr]],"-")</f>
        <v>0.27823240589198034</v>
      </c>
      <c r="V9" s="9">
        <f>IFERROR(Receita[[#This Row],[Mai]]/Receita[[#Totals],[Mai]],"-")</f>
        <v>0.16133004926108374</v>
      </c>
      <c r="W9" s="9">
        <f>IFERROR(Receita[[#This Row],[Jun]]/Receita[[#Totals],[Jun]],"-")</f>
        <v>0.12110726643598616</v>
      </c>
      <c r="X9" s="9">
        <f>IFERROR(Receita[[#This Row],[Jul]]/Receita[[#Totals],[Jul]],"-")</f>
        <v>8.3752093802345065E-2</v>
      </c>
      <c r="Y9" s="9">
        <f>IFERROR(Receita[[#This Row],[Ago]]/Receita[[#Totals],[Ago]],"-")</f>
        <v>0.22074074074074074</v>
      </c>
      <c r="Z9" s="9">
        <f>IFERROR(Receita[[#This Row],[Set]]/Receita[[#Totals],[Set]],"-")</f>
        <v>0.24059139784946237</v>
      </c>
      <c r="AA9" s="9">
        <f>IFERROR(Receita[[#This Row],[Out]]/Receita[[#Totals],[Out]],"-")</f>
        <v>0.1527165932452276</v>
      </c>
      <c r="AB9" s="9">
        <f>IFERROR(Receita[[#This Row],[Nov]]/Receita[[#Totals],[Nov]],"-")</f>
        <v>0.16102841677943167</v>
      </c>
      <c r="AC9" s="9">
        <f>IFERROR(Receita[[#This Row],[Dez]]/Receita[[#Totals],[Dez]],"-")</f>
        <v>0.17929050814956854</v>
      </c>
      <c r="AD9" s="23">
        <f>IFERROR(Receita[[#This Row],[Anualmente]]/Receita[[#Totals],[Anualmente]],"-")</f>
        <v>0.18464203233256352</v>
      </c>
    </row>
    <row r="10" spans="2:30" ht="30" customHeight="1" x14ac:dyDescent="0.2">
      <c r="B10" s="14" t="s">
        <v>75</v>
      </c>
      <c r="C10" s="15"/>
      <c r="D10" s="79">
        <v>21</v>
      </c>
      <c r="E10" s="79">
        <v>113</v>
      </c>
      <c r="F10" s="79">
        <v>83</v>
      </c>
      <c r="G10" s="79">
        <v>17</v>
      </c>
      <c r="H10" s="79">
        <v>130</v>
      </c>
      <c r="I10" s="79">
        <v>26</v>
      </c>
      <c r="J10" s="79">
        <v>167</v>
      </c>
      <c r="K10" s="79">
        <v>102</v>
      </c>
      <c r="L10" s="79">
        <v>82</v>
      </c>
      <c r="M10" s="79">
        <v>33</v>
      </c>
      <c r="N10" s="79">
        <v>88</v>
      </c>
      <c r="O10" s="79">
        <v>193</v>
      </c>
      <c r="P10" s="80">
        <f>SUM(Receita[[#This Row],[Jan]:[Dez]])</f>
        <v>1055</v>
      </c>
      <c r="Q10" s="9">
        <v>0.11</v>
      </c>
      <c r="R10" s="22">
        <f>IFERROR(Receita[[#This Row],[Jan]]/Receita[[#Totals],[Jan]],"-")</f>
        <v>3.3653846153846152E-2</v>
      </c>
      <c r="S10" s="9">
        <f>IFERROR(Receita[[#This Row],[Fev]]/Receita[[#Totals],[Fev]],"-")</f>
        <v>0.15353260869565216</v>
      </c>
      <c r="T10" s="9">
        <f>IFERROR(Receita[[#This Row],[Mar]]/Receita[[#Totals],[Mar]],"-")</f>
        <v>0.10121951219512196</v>
      </c>
      <c r="U10" s="9">
        <f>IFERROR(Receita[[#This Row],[Abr]]/Receita[[#Totals],[Abr]],"-")</f>
        <v>2.7823240589198037E-2</v>
      </c>
      <c r="V10" s="9">
        <f>IFERROR(Receita[[#This Row],[Mai]]/Receita[[#Totals],[Mai]],"-")</f>
        <v>0.16009852216748768</v>
      </c>
      <c r="W10" s="9">
        <f>IFERROR(Receita[[#This Row],[Jun]]/Receita[[#Totals],[Jun]],"-")</f>
        <v>4.4982698961937718E-2</v>
      </c>
      <c r="X10" s="9">
        <f>IFERROR(Receita[[#This Row],[Jul]]/Receita[[#Totals],[Jul]],"-")</f>
        <v>0.2797319932998325</v>
      </c>
      <c r="Y10" s="9">
        <f>IFERROR(Receita[[#This Row],[Ago]]/Receita[[#Totals],[Ago]],"-")</f>
        <v>0.15111111111111111</v>
      </c>
      <c r="Z10" s="9">
        <f>IFERROR(Receita[[#This Row],[Set]]/Receita[[#Totals],[Set]],"-")</f>
        <v>0.11021505376344086</v>
      </c>
      <c r="AA10" s="9">
        <f>IFERROR(Receita[[#This Row],[Out]]/Receita[[#Totals],[Out]],"-")</f>
        <v>4.8458149779735685E-2</v>
      </c>
      <c r="AB10" s="9">
        <f>IFERROR(Receita[[#This Row],[Nov]]/Receita[[#Totals],[Nov]],"-")</f>
        <v>0.11907983761840325</v>
      </c>
      <c r="AC10" s="9">
        <f>IFERROR(Receita[[#This Row],[Dez]]/Receita[[#Totals],[Dez]],"-")</f>
        <v>0.18504314477468839</v>
      </c>
      <c r="AD10" s="23">
        <f>IFERROR(Receita[[#This Row],[Anualmente]]/Receita[[#Totals],[Anualmente]],"-")</f>
        <v>0.12182448036951501</v>
      </c>
    </row>
    <row r="11" spans="2:30" ht="30" customHeight="1" x14ac:dyDescent="0.2">
      <c r="B11" s="14" t="s">
        <v>76</v>
      </c>
      <c r="C11" s="15"/>
      <c r="D11" s="79">
        <v>70</v>
      </c>
      <c r="E11" s="79">
        <v>160</v>
      </c>
      <c r="F11" s="79">
        <v>125</v>
      </c>
      <c r="G11" s="79">
        <v>84</v>
      </c>
      <c r="H11" s="79">
        <v>191</v>
      </c>
      <c r="I11" s="79">
        <v>97</v>
      </c>
      <c r="J11" s="79">
        <v>52</v>
      </c>
      <c r="K11" s="79">
        <v>45</v>
      </c>
      <c r="L11" s="79">
        <v>173</v>
      </c>
      <c r="M11" s="79">
        <v>136</v>
      </c>
      <c r="N11" s="79">
        <v>144</v>
      </c>
      <c r="O11" s="79">
        <v>167</v>
      </c>
      <c r="P11" s="80">
        <f>SUM(Receita[[#This Row],[Jan]:[Dez]])</f>
        <v>1444</v>
      </c>
      <c r="Q11" s="9">
        <v>0.2</v>
      </c>
      <c r="R11" s="22">
        <f>IFERROR(Receita[[#This Row],[Jan]]/Receita[[#Totals],[Jan]],"-")</f>
        <v>0.11217948717948718</v>
      </c>
      <c r="S11" s="9">
        <f>IFERROR(Receita[[#This Row],[Fev]]/Receita[[#Totals],[Fev]],"-")</f>
        <v>0.21739130434782608</v>
      </c>
      <c r="T11" s="9">
        <f>IFERROR(Receita[[#This Row],[Mar]]/Receita[[#Totals],[Mar]],"-")</f>
        <v>0.1524390243902439</v>
      </c>
      <c r="U11" s="9">
        <f>IFERROR(Receita[[#This Row],[Abr]]/Receita[[#Totals],[Abr]],"-")</f>
        <v>0.13747954173486088</v>
      </c>
      <c r="V11" s="9">
        <f>IFERROR(Receita[[#This Row],[Mai]]/Receita[[#Totals],[Mai]],"-")</f>
        <v>0.23522167487684728</v>
      </c>
      <c r="W11" s="9">
        <f>IFERROR(Receita[[#This Row],[Jun]]/Receita[[#Totals],[Jun]],"-")</f>
        <v>0.16782006920415224</v>
      </c>
      <c r="X11" s="9">
        <f>IFERROR(Receita[[#This Row],[Jul]]/Receita[[#Totals],[Jul]],"-")</f>
        <v>8.7102177554438859E-2</v>
      </c>
      <c r="Y11" s="9">
        <f>IFERROR(Receita[[#This Row],[Ago]]/Receita[[#Totals],[Ago]],"-")</f>
        <v>6.6666666666666666E-2</v>
      </c>
      <c r="Z11" s="9">
        <f>IFERROR(Receita[[#This Row],[Set]]/Receita[[#Totals],[Set]],"-")</f>
        <v>0.2325268817204301</v>
      </c>
      <c r="AA11" s="9">
        <f>IFERROR(Receita[[#This Row],[Out]]/Receita[[#Totals],[Out]],"-")</f>
        <v>0.19970631424375918</v>
      </c>
      <c r="AB11" s="9">
        <f>IFERROR(Receita[[#This Row],[Nov]]/Receita[[#Totals],[Nov]],"-")</f>
        <v>0.19485791610284167</v>
      </c>
      <c r="AC11" s="9">
        <f>IFERROR(Receita[[#This Row],[Dez]]/Receita[[#Totals],[Dez]],"-")</f>
        <v>0.1601150527325024</v>
      </c>
      <c r="AD11" s="23">
        <f>IFERROR(Receita[[#This Row],[Anualmente]]/Receita[[#Totals],[Anualmente]],"-")</f>
        <v>0.16674364896073904</v>
      </c>
    </row>
    <row r="12" spans="2:30" ht="30" customHeight="1" x14ac:dyDescent="0.2">
      <c r="B12" s="14" t="s">
        <v>77</v>
      </c>
      <c r="C12" s="15"/>
      <c r="D12" s="79">
        <v>61</v>
      </c>
      <c r="E12" s="79">
        <v>99</v>
      </c>
      <c r="F12" s="79">
        <v>70</v>
      </c>
      <c r="G12" s="79">
        <v>162</v>
      </c>
      <c r="H12" s="79">
        <v>28</v>
      </c>
      <c r="I12" s="79">
        <v>163</v>
      </c>
      <c r="J12" s="79">
        <v>101</v>
      </c>
      <c r="K12" s="79">
        <v>103</v>
      </c>
      <c r="L12" s="79">
        <v>78</v>
      </c>
      <c r="M12" s="79">
        <v>33</v>
      </c>
      <c r="N12" s="79">
        <v>162</v>
      </c>
      <c r="O12" s="79">
        <v>159</v>
      </c>
      <c r="P12" s="80">
        <f>SUM(Receita[[#This Row],[Jan]:[Dez]])</f>
        <v>1219</v>
      </c>
      <c r="Q12" s="9">
        <v>0.1</v>
      </c>
      <c r="R12" s="22">
        <f>IFERROR(Receita[[#This Row],[Jan]]/Receita[[#Totals],[Jan]],"-")</f>
        <v>9.7756410256410256E-2</v>
      </c>
      <c r="S12" s="9">
        <f>IFERROR(Receita[[#This Row],[Fev]]/Receita[[#Totals],[Fev]],"-")</f>
        <v>0.13451086956521738</v>
      </c>
      <c r="T12" s="9">
        <f>IFERROR(Receita[[#This Row],[Mar]]/Receita[[#Totals],[Mar]],"-")</f>
        <v>8.5365853658536592E-2</v>
      </c>
      <c r="U12" s="9">
        <f>IFERROR(Receita[[#This Row],[Abr]]/Receita[[#Totals],[Abr]],"-")</f>
        <v>0.265139116202946</v>
      </c>
      <c r="V12" s="9">
        <f>IFERROR(Receita[[#This Row],[Mai]]/Receita[[#Totals],[Mai]],"-")</f>
        <v>3.4482758620689655E-2</v>
      </c>
      <c r="W12" s="9">
        <f>IFERROR(Receita[[#This Row],[Jun]]/Receita[[#Totals],[Jun]],"-")</f>
        <v>0.2820069204152249</v>
      </c>
      <c r="X12" s="9">
        <f>IFERROR(Receita[[#This Row],[Jul]]/Receita[[#Totals],[Jul]],"-")</f>
        <v>0.16917922948073702</v>
      </c>
      <c r="Y12" s="9">
        <f>IFERROR(Receita[[#This Row],[Ago]]/Receita[[#Totals],[Ago]],"-")</f>
        <v>0.15259259259259259</v>
      </c>
      <c r="Z12" s="9">
        <f>IFERROR(Receita[[#This Row],[Set]]/Receita[[#Totals],[Set]],"-")</f>
        <v>0.10483870967741936</v>
      </c>
      <c r="AA12" s="9">
        <f>IFERROR(Receita[[#This Row],[Out]]/Receita[[#Totals],[Out]],"-")</f>
        <v>4.8458149779735685E-2</v>
      </c>
      <c r="AB12" s="9">
        <f>IFERROR(Receita[[#This Row],[Nov]]/Receita[[#Totals],[Nov]],"-")</f>
        <v>0.21921515561569688</v>
      </c>
      <c r="AC12" s="9">
        <f>IFERROR(Receita[[#This Row],[Dez]]/Receita[[#Totals],[Dez]],"-")</f>
        <v>0.15244487056567593</v>
      </c>
      <c r="AD12" s="23">
        <f>IFERROR(Receita[[#This Row],[Anualmente]]/Receita[[#Totals],[Anualmente]],"-")</f>
        <v>0.14076212471131641</v>
      </c>
    </row>
    <row r="13" spans="2:30" ht="30" customHeight="1" x14ac:dyDescent="0.2">
      <c r="B13" s="14" t="s">
        <v>73</v>
      </c>
      <c r="C13" s="15"/>
      <c r="D13" s="79">
        <v>105</v>
      </c>
      <c r="E13" s="79">
        <v>55</v>
      </c>
      <c r="F13" s="79">
        <v>163</v>
      </c>
      <c r="G13" s="79">
        <v>12</v>
      </c>
      <c r="H13" s="79">
        <v>117</v>
      </c>
      <c r="I13" s="79">
        <v>83</v>
      </c>
      <c r="J13" s="79">
        <v>163</v>
      </c>
      <c r="K13" s="79">
        <v>120</v>
      </c>
      <c r="L13" s="79">
        <v>171</v>
      </c>
      <c r="M13" s="79">
        <v>79</v>
      </c>
      <c r="N13" s="79">
        <v>105</v>
      </c>
      <c r="O13" s="79">
        <v>69</v>
      </c>
      <c r="P13" s="80">
        <f>SUM(Receita[[#This Row],[Jan]:[Dez]])</f>
        <v>1242</v>
      </c>
      <c r="Q13" s="9">
        <v>0.1</v>
      </c>
      <c r="R13" s="22">
        <f>IFERROR(Receita[[#This Row],[Jan]]/Receita[[#Totals],[Jan]],"-")</f>
        <v>0.16826923076923078</v>
      </c>
      <c r="S13" s="9">
        <f>IFERROR(Receita[[#This Row],[Fev]]/Receita[[#Totals],[Fev]],"-")</f>
        <v>7.4728260869565216E-2</v>
      </c>
      <c r="T13" s="9">
        <f>IFERROR(Receita[[#This Row],[Mar]]/Receita[[#Totals],[Mar]],"-")</f>
        <v>0.19878048780487806</v>
      </c>
      <c r="U13" s="9">
        <f>IFERROR(Receita[[#This Row],[Abr]]/Receita[[#Totals],[Abr]],"-")</f>
        <v>1.9639934533551555E-2</v>
      </c>
      <c r="V13" s="9">
        <f>IFERROR(Receita[[#This Row],[Mai]]/Receita[[#Totals],[Mai]],"-")</f>
        <v>0.14408866995073891</v>
      </c>
      <c r="W13" s="9">
        <f>IFERROR(Receita[[#This Row],[Jun]]/Receita[[#Totals],[Jun]],"-")</f>
        <v>0.14359861591695502</v>
      </c>
      <c r="X13" s="9">
        <f>IFERROR(Receita[[#This Row],[Jul]]/Receita[[#Totals],[Jul]],"-")</f>
        <v>0.27303182579564489</v>
      </c>
      <c r="Y13" s="9">
        <f>IFERROR(Receita[[#This Row],[Ago]]/Receita[[#Totals],[Ago]],"-")</f>
        <v>0.17777777777777778</v>
      </c>
      <c r="Z13" s="9">
        <f>IFERROR(Receita[[#This Row],[Set]]/Receita[[#Totals],[Set]],"-")</f>
        <v>0.22983870967741934</v>
      </c>
      <c r="AA13" s="9">
        <f>IFERROR(Receita[[#This Row],[Out]]/Receita[[#Totals],[Out]],"-")</f>
        <v>0.11600587371512482</v>
      </c>
      <c r="AB13" s="9">
        <f>IFERROR(Receita[[#This Row],[Nov]]/Receita[[#Totals],[Nov]],"-")</f>
        <v>0.14208389715832206</v>
      </c>
      <c r="AC13" s="9">
        <f>IFERROR(Receita[[#This Row],[Dez]]/Receita[[#Totals],[Dez]],"-")</f>
        <v>6.6155321188878236E-2</v>
      </c>
      <c r="AD13" s="23">
        <f>IFERROR(Receita[[#This Row],[Anualmente]]/Receita[[#Totals],[Anualmente]],"-")</f>
        <v>0.14341801385681294</v>
      </c>
    </row>
    <row r="14" spans="2:30" ht="30" customHeight="1" x14ac:dyDescent="0.2">
      <c r="B14" s="18" t="s">
        <v>3</v>
      </c>
      <c r="D14" s="81">
        <f>SUBTOTAL(109,Receita[Jan])</f>
        <v>624</v>
      </c>
      <c r="E14" s="81">
        <f>SUBTOTAL(109,Receita[Fev])</f>
        <v>736</v>
      </c>
      <c r="F14" s="81">
        <f>SUBTOTAL(109,Receita[Mar])</f>
        <v>820</v>
      </c>
      <c r="G14" s="81">
        <f>SUBTOTAL(109,Receita[Abr])</f>
        <v>611</v>
      </c>
      <c r="H14" s="81">
        <f>SUBTOTAL(109,Receita[Mai])</f>
        <v>812</v>
      </c>
      <c r="I14" s="81">
        <f>SUBTOTAL(109,Receita[Jun])</f>
        <v>578</v>
      </c>
      <c r="J14" s="81">
        <f>SUBTOTAL(109,Receita[Jul])</f>
        <v>597</v>
      </c>
      <c r="K14" s="81">
        <f>SUBTOTAL(109,Receita[Ago])</f>
        <v>675</v>
      </c>
      <c r="L14" s="81">
        <f>SUBTOTAL(109,Receita[Set])</f>
        <v>744</v>
      </c>
      <c r="M14" s="81">
        <f>SUBTOTAL(109,Receita[Out])</f>
        <v>681</v>
      </c>
      <c r="N14" s="81">
        <f>SUBTOTAL(109,Receita[Nov])</f>
        <v>739</v>
      </c>
      <c r="O14" s="81">
        <f>SUBTOTAL(109,Receita[Dez])</f>
        <v>1043</v>
      </c>
      <c r="P14" s="82">
        <f>SUBTOTAL(109,Receita[Anualmente])</f>
        <v>8660</v>
      </c>
      <c r="Q14" s="10">
        <f>SUBTOTAL(109,Receita[Índice %])</f>
        <v>1</v>
      </c>
      <c r="R14" s="24">
        <f>SUBTOTAL(109,Receita[Jan %])</f>
        <v>1</v>
      </c>
      <c r="S14" s="25">
        <f>SUBTOTAL(109,Receita[Fev %])</f>
        <v>1</v>
      </c>
      <c r="T14" s="25">
        <f>SUBTOTAL(109,Receita[Mar %])</f>
        <v>1</v>
      </c>
      <c r="U14" s="25">
        <f>SUBTOTAL(109,Receita[Abr %])</f>
        <v>0.99999999999999989</v>
      </c>
      <c r="V14" s="25">
        <f>SUBTOTAL(109,Receita[Mai %])</f>
        <v>0.99999999999999989</v>
      </c>
      <c r="W14" s="25">
        <f>SUBTOTAL(109,Receita[Jun %])</f>
        <v>1</v>
      </c>
      <c r="X14" s="25">
        <f>SUBTOTAL(109,Receita[Jul %])</f>
        <v>1</v>
      </c>
      <c r="Y14" s="25">
        <f>SUBTOTAL(109,Receita[Ago %])</f>
        <v>1</v>
      </c>
      <c r="Z14" s="25">
        <f>SUBTOTAL(109,Receita[Set %])</f>
        <v>1</v>
      </c>
      <c r="AA14" s="25">
        <f>SUBTOTAL(109,Receita[Out %])</f>
        <v>1</v>
      </c>
      <c r="AB14" s="25">
        <f>SUBTOTAL(109,Receita[Nov %])</f>
        <v>1</v>
      </c>
      <c r="AC14" s="25">
        <f>SUBTOTAL(109,Receita[Dez %])</f>
        <v>0.99999999999999989</v>
      </c>
      <c r="AD14" s="26">
        <f>SUBTOTAL(109,Receita[Ano %])</f>
        <v>1</v>
      </c>
    </row>
  </sheetData>
  <dataConsolidate/>
  <phoneticPr fontId="44" type="noConversion"/>
  <dataValidations count="18">
    <dataValidation allowBlank="1" showInputMessage="1" showErrorMessage="1" prompt="A receita anual é calculada automaticamente nesta coluna" sqref="P5" xr:uid="{00000000-0002-0000-0000-000000000000}"/>
    <dataValidation allowBlank="1" showInputMessage="1" showErrorMessage="1" prompt="Digite um título para o período de projeção para o qual o total de vendas é calculado" sqref="B2" xr:uid="{00000000-0002-0000-0000-000001000000}"/>
    <dataValidation allowBlank="1" showInputMessage="1" showErrorMessage="1" prompt="Insira o nome da empresa nesta célula" sqref="B1" xr:uid="{00000000-0002-0000-0000-000002000000}"/>
    <dataValidation allowBlank="1" showInputMessage="1" showErrorMessage="1" prompt="As datas nesta linha são automaticamente atualizadas com base no mês inicial do ano fiscal. Para alterar o mês inicial, modifique a célula F2" sqref="D5" xr:uid="{00000000-0002-0000-0000-000003000000}"/>
    <dataValidation allowBlank="1" showInputMessage="1" showErrorMessage="1" prompt="Insira o índice percentual nesta coluna" sqref="Q6" xr:uid="{00000000-0002-0000-0000-000004000000}"/>
    <dataValidation allowBlank="1" showInputMessage="1" showErrorMessage="1" prompt="Mês atualizado automaticamente" sqref="E5:O5" xr:uid="{00000000-0002-0000-0000-000007000000}"/>
    <dataValidation allowBlank="1" showInputMessage="1" showErrorMessage="1" prompt="Calcula automaticamente a proporção de vendas de diversas fontes para o total de vendas nessa coluna para o mês nesta célula" sqref="R5:AC5" xr:uid="{00000000-0002-0000-0000-000008000000}"/>
    <dataValidation allowBlank="1" showInputMessage="1" showErrorMessage="1" prompt="Calcula automaticamente a proporção de vendas de diversas fontes para o total de vendas para o ano nesta coluna" sqref="AD5" xr:uid="{00000000-0002-0000-0000-000009000000}"/>
    <dataValidation allowBlank="1" showInputMessage="1" showErrorMessage="1" prompt="Insira a receita gerada por vendas nesta coluna" sqref="B5:B6" xr:uid="{00000000-0002-0000-0000-00000A000000}"/>
    <dataValidation allowBlank="1" showInputMessage="1" showErrorMessage="1" prompt="Um gráfico de tendências de receita ao longo do tempo está nesta coluna" sqref="C5:C6" xr:uid="{00000000-0002-0000-0000-00000B000000}"/>
    <dataValidation allowBlank="1" showInputMessage="1" showErrorMessage="1" prompt="Insira nesta coluna a receita das fontes listadas na coluna B" sqref="D6:O6" xr:uid="{00000000-0002-0000-0000-00000C000000}"/>
    <dataValidation allowBlank="1" showInputMessage="1" showErrorMessage="1" prompt="O índice percentual está nesta coluna" sqref="Q5" xr:uid="{00000000-0002-0000-0000-00000D000000}"/>
    <dataValidation errorStyle="information" allowBlank="1" showInputMessage="1" errorTitle="Ano desconhecido" error="Selecione um ano de lista suspensa. Para adicionar ou remover um ano, na lista, na guia dados, no grupo Ferramentas de dados, clique em validação de dados." prompt="Insira o ano nesta célula" sqref="G2" xr:uid="{00000000-0002-0000-0000-00000F000000}"/>
    <dataValidation allowBlank="1" showInputMessage="1" showErrorMessage="1" prompt="O título de projeção está nesta célula. Insira os valores na tabela Receitas abaixo para calcular o total de vendas" sqref="B3" xr:uid="{00000000-0002-0000-0000-000011000000}"/>
    <dataValidation allowBlank="1" showInputMessage="1" showErrorMessage="1" prompt="Esta planilha calcula o total de vendas para cada mês e ano, e o total de vendas anual de fontes diferentes. Insira o mês inicial do ano fiscal na célula F2 e o ano na célula G2" sqref="A1" xr:uid="{00000000-0002-0000-0000-000012000000}"/>
    <dataValidation allowBlank="1" showInputMessage="1" showErrorMessage="1" prompt="Selecione o mês inicial do ano fiscal na célula F2 e insira um ano na célula G2 no lado direito desta etiqueta" sqref="E2" xr:uid="{00000000-0002-0000-0000-000013000000}"/>
    <dataValidation allowBlank="1" showInputMessage="1" showErrorMessage="1" prompt="O título de projeção está nesta célula. Insira os valores na tabela Receitas abaixo para calcul" sqref="E2" xr:uid="{00000000-0002-0000-0000-000014000000}"/>
    <dataValidation type="list" errorStyle="warning" allowBlank="1" showInputMessage="1" showErrorMessage="1" error="Selecione o mês na lista suspensa. Selecione CANCELAR, pressione Alt+Seta para baixo. Pressione Enter para selecionar um mês" prompt="Selecione o mês nesta célula. Pressione Alt+Seta para baixo para abrir a lista suspensa e, depois, Enter para selecionar um mês" sqref="F2" xr:uid="{F6135CEF-5416-42AD-9AA1-B3D9297F13C8}">
      <formula1>"JAN,FEV,MAR,ABR,MAI,JUN,JUL,AGO,SET,OUT,NOV,DEZ"</formula1>
    </dataValidation>
  </dataValidations>
  <printOptions horizontalCentered="1"/>
  <pageMargins left="0.25" right="0.25" top="0.75" bottom="0.75" header="0.3" footer="0.3"/>
  <pageSetup paperSize="9" fitToHeight="0" orientation="landscape" r:id="rId1"/>
  <headerFooter differentFirst="1">
    <oddFooter>Page &amp;P of &amp;N</oddFooter>
  </headerFooter>
  <tableParts count="1"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lineWeight="1" displayEmptyCellsAs="gap" high="1" low="1" negative="1" xr2:uid="{00000000-0003-0000-0000-000000000000}">
          <x14:colorSeries theme="5" tint="-0.499984740745262"/>
          <x14:colorNegative theme="0"/>
          <x14:colorAxis rgb="FF000000"/>
          <x14:colorMarkers theme="4" tint="-0.499984740745262"/>
          <x14:colorFirst theme="4" tint="0.39997558519241921"/>
          <x14:colorLast theme="4" tint="0.39997558519241921"/>
          <x14:colorHigh theme="5" tint="-0.499984740745262"/>
          <x14:colorLow theme="5" tint="-0.499984740745262"/>
          <x14:sparklines>
            <x14:sparkline>
              <xm:f>'Receitas (Vendas)'!D14:O14</xm:f>
              <xm:sqref>C14</xm:sqref>
            </x14:sparkline>
          </x14:sparklines>
        </x14:sparklineGroup>
        <x14:sparklineGroup lineWeight="1" displayEmptyCellsAs="gap" high="1" low="1" xr2:uid="{00000000-0003-0000-0000-000001000000}">
          <x14:colorSeries theme="5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5" tint="-0.499984740745262"/>
          <x14:colorLow theme="5" tint="-0.499984740745262"/>
          <x14:sparklines>
            <x14:sparkline>
              <xm:f>'Receitas (Vendas)'!$D$7:$O$7</xm:f>
              <xm:sqref>C7</xm:sqref>
            </x14:sparkline>
            <x14:sparkline>
              <xm:f>'Receitas (Vendas)'!$D$8:$O$8</xm:f>
              <xm:sqref>C8</xm:sqref>
            </x14:sparkline>
            <x14:sparkline>
              <xm:f>'Receitas (Vendas)'!$D$9:$O$9</xm:f>
              <xm:sqref>C9</xm:sqref>
            </x14:sparkline>
            <x14:sparkline>
              <xm:f>'Receitas (Vendas)'!$D$10:$O$10</xm:f>
              <xm:sqref>C10</xm:sqref>
            </x14:sparkline>
            <x14:sparkline>
              <xm:f>'Receitas (Vendas)'!$D$11:$O$11</xm:f>
              <xm:sqref>C11</xm:sqref>
            </x14:sparkline>
            <x14:sparkline>
              <xm:f>'Receitas (Vendas)'!$D$12:$O$12</xm:f>
              <xm:sqref>C12</xm:sqref>
            </x14:sparkline>
            <x14:sparkline>
              <xm:f>'Receitas (Vendas)'!$D$13:$O$13</xm:f>
              <xm:sqref>C13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  <pageSetUpPr fitToPage="1"/>
  </sheetPr>
  <dimension ref="B1:AE16"/>
  <sheetViews>
    <sheetView showGridLines="0" zoomScaleNormal="100" workbookViewId="0">
      <pane xSplit="3" ySplit="5" topLeftCell="D6" activePane="bottomRight" state="frozen"/>
      <selection pane="topRight"/>
      <selection pane="bottomLeft"/>
      <selection pane="bottomRight" activeCell="D6" sqref="D6"/>
    </sheetView>
  </sheetViews>
  <sheetFormatPr defaultRowHeight="30" customHeight="1" x14ac:dyDescent="0.2"/>
  <cols>
    <col min="1" max="1" width="2.625" customWidth="1"/>
    <col min="2" max="3" width="22.125" customWidth="1"/>
    <col min="4" max="15" width="9.625" bestFit="1" customWidth="1"/>
    <col min="16" max="16" width="11.875" bestFit="1" customWidth="1"/>
    <col min="17" max="30" width="7.5" customWidth="1"/>
    <col min="31" max="31" width="2.625" customWidth="1"/>
  </cols>
  <sheetData>
    <row r="1" spans="2:31" ht="38.1" customHeight="1" x14ac:dyDescent="0.2">
      <c r="B1" s="44" t="str">
        <f>Nome_Empresa</f>
        <v>Pérolas do Rio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2:31" ht="35.1" customHeight="1" x14ac:dyDescent="0.2">
      <c r="B2" s="54" t="str">
        <f>Título_Período_Projeção</f>
        <v>Doze meses</v>
      </c>
      <c r="C2" s="42"/>
      <c r="D2" s="42"/>
      <c r="E2" s="55" t="s">
        <v>40</v>
      </c>
      <c r="F2" s="56" t="str">
        <f>InícioMêsAF</f>
        <v>JAN</v>
      </c>
      <c r="G2" s="56">
        <f ca="1">AnoInícioAF</f>
        <v>2024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2:31" ht="60" customHeight="1" x14ac:dyDescent="0.2">
      <c r="B3" s="43" t="str">
        <f>Título_Planilha</f>
        <v>Projeção de Lucros e Perdas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1"/>
      <c r="Q3" s="11"/>
      <c r="R3" s="11"/>
      <c r="S3" s="11"/>
      <c r="T3" s="11"/>
      <c r="U3" s="11"/>
      <c r="V3" s="11"/>
      <c r="W3" s="11"/>
      <c r="X3" s="13"/>
      <c r="Y3" s="13"/>
      <c r="Z3" s="13"/>
      <c r="AA3" s="13"/>
      <c r="AB3" s="11"/>
      <c r="AC3" s="11"/>
      <c r="AD3" s="11"/>
    </row>
    <row r="4" spans="2:31" ht="15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7"/>
      <c r="X4" s="2"/>
      <c r="Y4" s="2"/>
      <c r="Z4" s="2"/>
      <c r="AA4" s="2"/>
      <c r="AB4" s="7"/>
      <c r="AC4" s="7"/>
      <c r="AD4" s="7"/>
    </row>
    <row r="5" spans="2:31" ht="20.100000000000001" customHeight="1" x14ac:dyDescent="0.2">
      <c r="D5" s="83" t="str" cm="1">
        <f t="array" aca="1" ref="D5" ca="1">UPPER(TEXT(DATE(AnoInícioAF,NúmMêsAF,1),"mmm-aa"))</f>
        <v>JAN-24</v>
      </c>
      <c r="E5" s="83" t="str" cm="1">
        <f t="array" aca="1" ref="E5" ca="1">UPPER(TEXT(DATE(AnoInícioAF,NúmMêsAF+1,1),"mmm-aa"))</f>
        <v>FEV-24</v>
      </c>
      <c r="F5" s="83" t="str" cm="1">
        <f t="array" aca="1" ref="F5" ca="1">UPPER(TEXT(DATE(AnoInícioAF,NúmMêsAF+2,1),"mmm-aa"))</f>
        <v>MAR-24</v>
      </c>
      <c r="G5" s="83" t="str" cm="1">
        <f t="array" aca="1" ref="G5" ca="1">UPPER(TEXT(DATE(AnoInícioAF,NúmMêsAF+3,1),"mmm-aa"))</f>
        <v>ABR-24</v>
      </c>
      <c r="H5" s="83" t="str" cm="1">
        <f t="array" aca="1" ref="H5" ca="1">UPPER(TEXT(DATE(AnoInícioAF,NúmMêsAF+4,1),"mmm-aa"))</f>
        <v>MAI-24</v>
      </c>
      <c r="I5" s="83" t="str" cm="1">
        <f t="array" aca="1" ref="I5" ca="1">UPPER(TEXT(DATE(AnoInícioAF,NúmMêsAF+5,1),"mmm-aa"))</f>
        <v>JUN-24</v>
      </c>
      <c r="J5" s="83" t="str" cm="1">
        <f t="array" aca="1" ref="J5" ca="1">UPPER(TEXT(DATE(AnoInícioAF,NúmMêsAF+6,1),"mmm-aa"))</f>
        <v>JUL-24</v>
      </c>
      <c r="K5" s="83" t="str" cm="1">
        <f t="array" aca="1" ref="K5" ca="1">UPPER(TEXT(DATE(AnoInícioAF,NúmMêsAF+7,1),"mmm-aa"))</f>
        <v>AGO-24</v>
      </c>
      <c r="L5" s="83" t="str" cm="1">
        <f t="array" aca="1" ref="L5" ca="1">UPPER(TEXT(DATE(AnoInícioAF,NúmMêsAF+8,1),"mmm-aa"))</f>
        <v>SET-24</v>
      </c>
      <c r="M5" s="83" t="str" cm="1">
        <f t="array" aca="1" ref="M5" ca="1">UPPER(TEXT(DATE(AnoInícioAF,NúmMêsAF+9,1),"mmm-aa"))</f>
        <v>OUT-24</v>
      </c>
      <c r="N5" s="83" t="str" cm="1">
        <f t="array" aca="1" ref="N5" ca="1">UPPER(TEXT(DATE(AnoInícioAF,NúmMêsAF+10,1),"mmm-aa"))</f>
        <v>NOV-24</v>
      </c>
      <c r="O5" s="75" t="str" cm="1">
        <f t="array" aca="1" ref="O5" ca="1">UPPER(TEXT(DATE(AnoInícioAF,NúmMêsAF+11,1),"mmm-aa"))</f>
        <v>DEZ-24</v>
      </c>
      <c r="P5" s="84" t="s">
        <v>19</v>
      </c>
      <c r="Q5" s="75" t="s">
        <v>21</v>
      </c>
      <c r="R5" s="85" t="str">
        <f ca="1">LEFT(D5,3)&amp;" %"</f>
        <v>JAN %</v>
      </c>
      <c r="S5" s="86" t="str">
        <f t="shared" ref="S5:AC5" ca="1" si="0">LEFT(E5,3)&amp;" %"</f>
        <v>FEV %</v>
      </c>
      <c r="T5" s="86" t="str">
        <f t="shared" ca="1" si="0"/>
        <v>MAR %</v>
      </c>
      <c r="U5" s="86" t="str">
        <f t="shared" ca="1" si="0"/>
        <v>ABR %</v>
      </c>
      <c r="V5" s="86" t="str">
        <f t="shared" ca="1" si="0"/>
        <v>MAI %</v>
      </c>
      <c r="W5" s="86" t="str">
        <f t="shared" ca="1" si="0"/>
        <v>JUN %</v>
      </c>
      <c r="X5" s="86" t="str">
        <f t="shared" ca="1" si="0"/>
        <v>JUL %</v>
      </c>
      <c r="Y5" s="86" t="str">
        <f t="shared" ca="1" si="0"/>
        <v>AGO %</v>
      </c>
      <c r="Z5" s="86" t="str">
        <f t="shared" ca="1" si="0"/>
        <v>SET %</v>
      </c>
      <c r="AA5" s="86" t="str">
        <f t="shared" ca="1" si="0"/>
        <v>OUT %</v>
      </c>
      <c r="AB5" s="86" t="str">
        <f t="shared" ca="1" si="0"/>
        <v>NOV %</v>
      </c>
      <c r="AC5" s="86" t="str">
        <f t="shared" ca="1" si="0"/>
        <v>DEZ %</v>
      </c>
      <c r="AD5" s="87" t="s">
        <v>35</v>
      </c>
      <c r="AE5" s="71"/>
    </row>
    <row r="6" spans="2:31" ht="30" customHeight="1" x14ac:dyDescent="0.2">
      <c r="B6" s="61" t="s">
        <v>37</v>
      </c>
      <c r="C6" s="61" t="s">
        <v>4</v>
      </c>
      <c r="D6" s="8" t="s">
        <v>5</v>
      </c>
      <c r="E6" s="8" t="s">
        <v>7</v>
      </c>
      <c r="F6" s="8" t="s">
        <v>9</v>
      </c>
      <c r="G6" s="8" t="s">
        <v>10</v>
      </c>
      <c r="H6" s="8" t="s">
        <v>11</v>
      </c>
      <c r="I6" s="8" t="s">
        <v>12</v>
      </c>
      <c r="J6" s="8" t="s">
        <v>13</v>
      </c>
      <c r="K6" s="8" t="s">
        <v>14</v>
      </c>
      <c r="L6" s="8" t="s">
        <v>15</v>
      </c>
      <c r="M6" s="8" t="s">
        <v>16</v>
      </c>
      <c r="N6" s="8" t="s">
        <v>17</v>
      </c>
      <c r="O6" s="8" t="s">
        <v>18</v>
      </c>
      <c r="P6" s="37" t="s">
        <v>20</v>
      </c>
      <c r="Q6" s="8" t="s">
        <v>22</v>
      </c>
      <c r="R6" s="30" t="s">
        <v>23</v>
      </c>
      <c r="S6" s="8" t="s">
        <v>24</v>
      </c>
      <c r="T6" s="8" t="s">
        <v>25</v>
      </c>
      <c r="U6" s="8" t="s">
        <v>26</v>
      </c>
      <c r="V6" s="8" t="s">
        <v>27</v>
      </c>
      <c r="W6" s="8" t="s">
        <v>28</v>
      </c>
      <c r="X6" s="8" t="s">
        <v>29</v>
      </c>
      <c r="Y6" s="8" t="s">
        <v>30</v>
      </c>
      <c r="Z6" s="8" t="s">
        <v>31</v>
      </c>
      <c r="AA6" s="8" t="s">
        <v>32</v>
      </c>
      <c r="AB6" s="8" t="s">
        <v>33</v>
      </c>
      <c r="AC6" s="8" t="s">
        <v>34</v>
      </c>
      <c r="AD6" s="28" t="s">
        <v>36</v>
      </c>
      <c r="AE6" s="71"/>
    </row>
    <row r="7" spans="2:31" ht="30" customHeight="1" x14ac:dyDescent="0.2">
      <c r="B7" s="14" t="s">
        <v>80</v>
      </c>
      <c r="C7" s="15"/>
      <c r="D7" s="79">
        <v>18</v>
      </c>
      <c r="E7" s="79">
        <v>11</v>
      </c>
      <c r="F7" s="79">
        <v>30</v>
      </c>
      <c r="G7" s="79">
        <v>9</v>
      </c>
      <c r="H7" s="79">
        <v>62</v>
      </c>
      <c r="I7" s="79">
        <v>39</v>
      </c>
      <c r="J7" s="79">
        <v>102</v>
      </c>
      <c r="K7" s="79">
        <v>44</v>
      </c>
      <c r="L7" s="79">
        <v>121</v>
      </c>
      <c r="M7" s="79">
        <v>19</v>
      </c>
      <c r="N7" s="79">
        <v>33</v>
      </c>
      <c r="O7" s="79">
        <v>40</v>
      </c>
      <c r="P7" s="88">
        <f>SUM(CustodeVendas[[#This Row],[Jan]:[Dez]])</f>
        <v>528</v>
      </c>
      <c r="Q7" s="9">
        <v>0.1</v>
      </c>
      <c r="R7" s="31">
        <f>IFERROR(CustodeVendas[[#This Row],[Jan]]/CustodeVendas[[#Totals],[Jan]],"-")</f>
        <v>6.7924528301886791E-2</v>
      </c>
      <c r="S7" s="9">
        <f>IFERROR(CustodeVendas[[#This Row],[Fev]]/CustodeVendas[[#Totals],[Fev]],"-")</f>
        <v>3.0898876404494381E-2</v>
      </c>
      <c r="T7" s="9">
        <f>IFERROR(CustodeVendas[[#This Row],[Mar]]/CustodeVendas[[#Totals],[Mar]],"-")</f>
        <v>9.5238095238095233E-2</v>
      </c>
      <c r="U7" s="9">
        <f>IFERROR(CustodeVendas[[#This Row],[Abr]]/CustodeVendas[[#Totals],[Abr]],"-")</f>
        <v>3.7344398340248962E-2</v>
      </c>
      <c r="V7" s="9">
        <f>IFERROR(CustodeVendas[[#This Row],[Mai]]/CustodeVendas[[#Totals],[Mai]],"-")</f>
        <v>0.15538847117794485</v>
      </c>
      <c r="W7" s="9">
        <f>IFERROR(CustodeVendas[[#This Row],[Jun]]/CustodeVendas[[#Totals],[Jun]],"-")</f>
        <v>0.125</v>
      </c>
      <c r="X7" s="9">
        <f>IFERROR(CustodeVendas[[#This Row],[Jul]]/CustodeVendas[[#Totals],[Jul]],"-")</f>
        <v>0.34113712374581939</v>
      </c>
      <c r="Y7" s="9">
        <f>IFERROR(CustodeVendas[[#This Row],[Ago]]/CustodeVendas[[#Totals],[Ago]],"-")</f>
        <v>0.19469026548672566</v>
      </c>
      <c r="Z7" s="9">
        <f>IFERROR(CustodeVendas[[#This Row],[Set]]/CustodeVendas[[#Totals],[Set]],"-")</f>
        <v>0.2922705314009662</v>
      </c>
      <c r="AA7" s="9">
        <f>IFERROR(CustodeVendas[[#This Row],[Out]]/CustodeVendas[[#Totals],[Out]],"-")</f>
        <v>6.9343065693430656E-2</v>
      </c>
      <c r="AB7" s="9">
        <f>IFERROR(CustodeVendas[[#This Row],[Nov]]/CustodeVendas[[#Totals],[Nov]],"-")</f>
        <v>0.125</v>
      </c>
      <c r="AC7" s="9">
        <f>IFERROR(CustodeVendas[[#This Row],[Dez]]/CustodeVendas[[#Totals],[Dez]],"-")</f>
        <v>8.8300220750551883E-2</v>
      </c>
      <c r="AD7" s="29">
        <f>IFERROR(CustodeVendas[[#This Row],[Anualmente]]/CustodeVendas[[#Totals],[Anualmente]],"-")</f>
        <v>0.13829229963331588</v>
      </c>
      <c r="AE7" s="71"/>
    </row>
    <row r="8" spans="2:31" ht="30" customHeight="1" x14ac:dyDescent="0.2">
      <c r="B8" s="14" t="s">
        <v>81</v>
      </c>
      <c r="C8" s="15"/>
      <c r="D8" s="79">
        <v>61</v>
      </c>
      <c r="E8" s="79">
        <v>78</v>
      </c>
      <c r="F8" s="79">
        <v>65</v>
      </c>
      <c r="G8" s="79">
        <v>29</v>
      </c>
      <c r="H8" s="79">
        <v>125</v>
      </c>
      <c r="I8" s="79">
        <v>49</v>
      </c>
      <c r="J8" s="79">
        <v>14</v>
      </c>
      <c r="K8" s="79">
        <v>26</v>
      </c>
      <c r="L8" s="79">
        <v>14</v>
      </c>
      <c r="M8" s="79">
        <v>129</v>
      </c>
      <c r="N8" s="79">
        <v>60</v>
      </c>
      <c r="O8" s="79">
        <v>65</v>
      </c>
      <c r="P8" s="88">
        <f>SUM(CustodeVendas[[#This Row],[Jan]:[Dez]])</f>
        <v>715</v>
      </c>
      <c r="Q8" s="9">
        <v>0.12</v>
      </c>
      <c r="R8" s="31">
        <f>IFERROR(CustodeVendas[[#This Row],[Jan]]/CustodeVendas[[#Totals],[Jan]],"-")</f>
        <v>0.23018867924528302</v>
      </c>
      <c r="S8" s="9">
        <f>IFERROR(CustodeVendas[[#This Row],[Fev]]/CustodeVendas[[#Totals],[Fev]],"-")</f>
        <v>0.21910112359550563</v>
      </c>
      <c r="T8" s="9">
        <f>IFERROR(CustodeVendas[[#This Row],[Mar]]/CustodeVendas[[#Totals],[Mar]],"-")</f>
        <v>0.20634920634920634</v>
      </c>
      <c r="U8" s="9">
        <f>IFERROR(CustodeVendas[[#This Row],[Abr]]/CustodeVendas[[#Totals],[Abr]],"-")</f>
        <v>0.12033195020746888</v>
      </c>
      <c r="V8" s="9">
        <f>IFERROR(CustodeVendas[[#This Row],[Mai]]/CustodeVendas[[#Totals],[Mai]],"-")</f>
        <v>0.31328320802005011</v>
      </c>
      <c r="W8" s="9">
        <f>IFERROR(CustodeVendas[[#This Row],[Jun]]/CustodeVendas[[#Totals],[Jun]],"-")</f>
        <v>0.15705128205128205</v>
      </c>
      <c r="X8" s="9">
        <f>IFERROR(CustodeVendas[[#This Row],[Jul]]/CustodeVendas[[#Totals],[Jul]],"-")</f>
        <v>4.6822742474916385E-2</v>
      </c>
      <c r="Y8" s="9">
        <f>IFERROR(CustodeVendas[[#This Row],[Ago]]/CustodeVendas[[#Totals],[Ago]],"-")</f>
        <v>0.11504424778761062</v>
      </c>
      <c r="Z8" s="9">
        <f>IFERROR(CustodeVendas[[#This Row],[Set]]/CustodeVendas[[#Totals],[Set]],"-")</f>
        <v>3.3816425120772944E-2</v>
      </c>
      <c r="AA8" s="9">
        <f>IFERROR(CustodeVendas[[#This Row],[Out]]/CustodeVendas[[#Totals],[Out]],"-")</f>
        <v>0.47080291970802918</v>
      </c>
      <c r="AB8" s="9">
        <f>IFERROR(CustodeVendas[[#This Row],[Nov]]/CustodeVendas[[#Totals],[Nov]],"-")</f>
        <v>0.22727272727272727</v>
      </c>
      <c r="AC8" s="9">
        <f>IFERROR(CustodeVendas[[#This Row],[Dez]]/CustodeVendas[[#Totals],[Dez]],"-")</f>
        <v>0.14348785871964681</v>
      </c>
      <c r="AD8" s="29">
        <f>IFERROR(CustodeVendas[[#This Row],[Anualmente]]/CustodeVendas[[#Totals],[Anualmente]],"-")</f>
        <v>0.18727082242011525</v>
      </c>
      <c r="AE8" s="71"/>
    </row>
    <row r="9" spans="2:31" ht="30" customHeight="1" x14ac:dyDescent="0.2">
      <c r="B9" s="14" t="s">
        <v>83</v>
      </c>
      <c r="C9" s="15"/>
      <c r="D9" s="79">
        <v>7</v>
      </c>
      <c r="E9" s="79">
        <v>5</v>
      </c>
      <c r="F9" s="79">
        <v>69</v>
      </c>
      <c r="G9" s="79">
        <v>32</v>
      </c>
      <c r="H9" s="79">
        <v>11</v>
      </c>
      <c r="I9" s="79">
        <v>30</v>
      </c>
      <c r="J9" s="79">
        <v>27</v>
      </c>
      <c r="K9" s="79">
        <v>32</v>
      </c>
      <c r="L9" s="79">
        <v>10</v>
      </c>
      <c r="M9" s="79">
        <v>41</v>
      </c>
      <c r="N9" s="79">
        <v>13</v>
      </c>
      <c r="O9" s="79">
        <v>105</v>
      </c>
      <c r="P9" s="88">
        <f>SUM(CustodeVendas[[#This Row],[Jan]:[Dez]])</f>
        <v>382</v>
      </c>
      <c r="Q9" s="9">
        <v>0.18</v>
      </c>
      <c r="R9" s="31">
        <f>IFERROR(CustodeVendas[[#This Row],[Jan]]/CustodeVendas[[#Totals],[Jan]],"-")</f>
        <v>2.6415094339622643E-2</v>
      </c>
      <c r="S9" s="9">
        <f>IFERROR(CustodeVendas[[#This Row],[Fev]]/CustodeVendas[[#Totals],[Fev]],"-")</f>
        <v>1.4044943820224719E-2</v>
      </c>
      <c r="T9" s="9">
        <f>IFERROR(CustodeVendas[[#This Row],[Mar]]/CustodeVendas[[#Totals],[Mar]],"-")</f>
        <v>0.21904761904761905</v>
      </c>
      <c r="U9" s="9">
        <f>IFERROR(CustodeVendas[[#This Row],[Abr]]/CustodeVendas[[#Totals],[Abr]],"-")</f>
        <v>0.13278008298755187</v>
      </c>
      <c r="V9" s="9">
        <f>IFERROR(CustodeVendas[[#This Row],[Mai]]/CustodeVendas[[#Totals],[Mai]],"-")</f>
        <v>2.7568922305764409E-2</v>
      </c>
      <c r="W9" s="9">
        <f>IFERROR(CustodeVendas[[#This Row],[Jun]]/CustodeVendas[[#Totals],[Jun]],"-")</f>
        <v>9.6153846153846159E-2</v>
      </c>
      <c r="X9" s="9">
        <f>IFERROR(CustodeVendas[[#This Row],[Jul]]/CustodeVendas[[#Totals],[Jul]],"-")</f>
        <v>9.0301003344481601E-2</v>
      </c>
      <c r="Y9" s="9">
        <f>IFERROR(CustodeVendas[[#This Row],[Ago]]/CustodeVendas[[#Totals],[Ago]],"-")</f>
        <v>0.1415929203539823</v>
      </c>
      <c r="Z9" s="9">
        <f>IFERROR(CustodeVendas[[#This Row],[Set]]/CustodeVendas[[#Totals],[Set]],"-")</f>
        <v>2.4154589371980676E-2</v>
      </c>
      <c r="AA9" s="9">
        <f>IFERROR(CustodeVendas[[#This Row],[Out]]/CustodeVendas[[#Totals],[Out]],"-")</f>
        <v>0.14963503649635038</v>
      </c>
      <c r="AB9" s="9">
        <f>IFERROR(CustodeVendas[[#This Row],[Nov]]/CustodeVendas[[#Totals],[Nov]],"-")</f>
        <v>4.924242424242424E-2</v>
      </c>
      <c r="AC9" s="9">
        <f>IFERROR(CustodeVendas[[#This Row],[Dez]]/CustodeVendas[[#Totals],[Dez]],"-")</f>
        <v>0.23178807947019867</v>
      </c>
      <c r="AD9" s="29">
        <f>IFERROR(CustodeVendas[[#This Row],[Anualmente]]/CustodeVendas[[#Totals],[Anualmente]],"-")</f>
        <v>0.1000523834468308</v>
      </c>
      <c r="AE9" s="71"/>
    </row>
    <row r="10" spans="2:31" ht="30" customHeight="1" x14ac:dyDescent="0.2">
      <c r="B10" s="14" t="s">
        <v>84</v>
      </c>
      <c r="C10" s="15"/>
      <c r="D10" s="79">
        <v>13</v>
      </c>
      <c r="E10" s="79">
        <v>28</v>
      </c>
      <c r="F10" s="79">
        <v>15</v>
      </c>
      <c r="G10" s="79">
        <v>8</v>
      </c>
      <c r="H10" s="79">
        <v>84</v>
      </c>
      <c r="I10" s="79">
        <v>12</v>
      </c>
      <c r="J10" s="79">
        <v>54</v>
      </c>
      <c r="K10" s="79">
        <v>72</v>
      </c>
      <c r="L10" s="79">
        <v>49</v>
      </c>
      <c r="M10" s="79">
        <v>24</v>
      </c>
      <c r="N10" s="79">
        <v>60</v>
      </c>
      <c r="O10" s="79">
        <v>39</v>
      </c>
      <c r="P10" s="88">
        <f>SUM(CustodeVendas[[#This Row],[Jan]:[Dez]])</f>
        <v>458</v>
      </c>
      <c r="Q10" s="9">
        <v>0.11</v>
      </c>
      <c r="R10" s="31">
        <f>IFERROR(CustodeVendas[[#This Row],[Jan]]/CustodeVendas[[#Totals],[Jan]],"-")</f>
        <v>4.9056603773584909E-2</v>
      </c>
      <c r="S10" s="9">
        <f>IFERROR(CustodeVendas[[#This Row],[Fev]]/CustodeVendas[[#Totals],[Fev]],"-")</f>
        <v>7.8651685393258425E-2</v>
      </c>
      <c r="T10" s="9">
        <f>IFERROR(CustodeVendas[[#This Row],[Mar]]/CustodeVendas[[#Totals],[Mar]],"-")</f>
        <v>4.7619047619047616E-2</v>
      </c>
      <c r="U10" s="9">
        <f>IFERROR(CustodeVendas[[#This Row],[Abr]]/CustodeVendas[[#Totals],[Abr]],"-")</f>
        <v>3.3195020746887967E-2</v>
      </c>
      <c r="V10" s="9">
        <f>IFERROR(CustodeVendas[[#This Row],[Mai]]/CustodeVendas[[#Totals],[Mai]],"-")</f>
        <v>0.21052631578947367</v>
      </c>
      <c r="W10" s="9">
        <f>IFERROR(CustodeVendas[[#This Row],[Jun]]/CustodeVendas[[#Totals],[Jun]],"-")</f>
        <v>3.8461538461538464E-2</v>
      </c>
      <c r="X10" s="9">
        <f>IFERROR(CustodeVendas[[#This Row],[Jul]]/CustodeVendas[[#Totals],[Jul]],"-")</f>
        <v>0.1806020066889632</v>
      </c>
      <c r="Y10" s="9">
        <f>IFERROR(CustodeVendas[[#This Row],[Ago]]/CustodeVendas[[#Totals],[Ago]],"-")</f>
        <v>0.31858407079646017</v>
      </c>
      <c r="Z10" s="9">
        <f>IFERROR(CustodeVendas[[#This Row],[Set]]/CustodeVendas[[#Totals],[Set]],"-")</f>
        <v>0.11835748792270531</v>
      </c>
      <c r="AA10" s="9">
        <f>IFERROR(CustodeVendas[[#This Row],[Out]]/CustodeVendas[[#Totals],[Out]],"-")</f>
        <v>8.7591240875912413E-2</v>
      </c>
      <c r="AB10" s="9">
        <f>IFERROR(CustodeVendas[[#This Row],[Nov]]/CustodeVendas[[#Totals],[Nov]],"-")</f>
        <v>0.22727272727272727</v>
      </c>
      <c r="AC10" s="9">
        <f>IFERROR(CustodeVendas[[#This Row],[Dez]]/CustodeVendas[[#Totals],[Dez]],"-")</f>
        <v>8.6092715231788075E-2</v>
      </c>
      <c r="AD10" s="29">
        <f>IFERROR(CustodeVendas[[#This Row],[Anualmente]]/CustodeVendas[[#Totals],[Anualmente]],"-")</f>
        <v>0.11995809324253535</v>
      </c>
      <c r="AE10" s="71"/>
    </row>
    <row r="11" spans="2:31" ht="30" customHeight="1" x14ac:dyDescent="0.2">
      <c r="B11" s="14" t="s">
        <v>78</v>
      </c>
      <c r="C11" s="15"/>
      <c r="D11" s="79">
        <v>99</v>
      </c>
      <c r="E11" s="79">
        <v>95</v>
      </c>
      <c r="F11" s="79">
        <v>51</v>
      </c>
      <c r="G11" s="79">
        <v>90</v>
      </c>
      <c r="H11" s="79">
        <v>21</v>
      </c>
      <c r="I11" s="79">
        <v>34</v>
      </c>
      <c r="J11" s="79">
        <v>30</v>
      </c>
      <c r="K11" s="79">
        <v>24</v>
      </c>
      <c r="L11" s="79">
        <v>109</v>
      </c>
      <c r="M11" s="79">
        <v>16</v>
      </c>
      <c r="N11" s="79">
        <v>21</v>
      </c>
      <c r="O11" s="79">
        <v>52</v>
      </c>
      <c r="P11" s="88">
        <f>SUM(CustodeVendas[[#This Row],[Jan]:[Dez]])</f>
        <v>642</v>
      </c>
      <c r="Q11" s="9">
        <v>0.19</v>
      </c>
      <c r="R11" s="31">
        <f>IFERROR(CustodeVendas[[#This Row],[Jan]]/CustodeVendas[[#Totals],[Jan]],"-")</f>
        <v>0.37358490566037733</v>
      </c>
      <c r="S11" s="9">
        <f>IFERROR(CustodeVendas[[#This Row],[Fev]]/CustodeVendas[[#Totals],[Fev]],"-")</f>
        <v>0.26685393258426965</v>
      </c>
      <c r="T11" s="9">
        <f>IFERROR(CustodeVendas[[#This Row],[Mar]]/CustodeVendas[[#Totals],[Mar]],"-")</f>
        <v>0.16190476190476191</v>
      </c>
      <c r="U11" s="9">
        <f>IFERROR(CustodeVendas[[#This Row],[Abr]]/CustodeVendas[[#Totals],[Abr]],"-")</f>
        <v>0.37344398340248963</v>
      </c>
      <c r="V11" s="9">
        <f>IFERROR(CustodeVendas[[#This Row],[Mai]]/CustodeVendas[[#Totals],[Mai]],"-")</f>
        <v>5.2631578947368418E-2</v>
      </c>
      <c r="W11" s="9">
        <f>IFERROR(CustodeVendas[[#This Row],[Jun]]/CustodeVendas[[#Totals],[Jun]],"-")</f>
        <v>0.10897435897435898</v>
      </c>
      <c r="X11" s="9">
        <f>IFERROR(CustodeVendas[[#This Row],[Jul]]/CustodeVendas[[#Totals],[Jul]],"-")</f>
        <v>0.10033444816053512</v>
      </c>
      <c r="Y11" s="9">
        <f>IFERROR(CustodeVendas[[#This Row],[Ago]]/CustodeVendas[[#Totals],[Ago]],"-")</f>
        <v>0.10619469026548672</v>
      </c>
      <c r="Z11" s="9">
        <f>IFERROR(CustodeVendas[[#This Row],[Set]]/CustodeVendas[[#Totals],[Set]],"-")</f>
        <v>0.26328502415458938</v>
      </c>
      <c r="AA11" s="9">
        <f>IFERROR(CustodeVendas[[#This Row],[Out]]/CustodeVendas[[#Totals],[Out]],"-")</f>
        <v>5.8394160583941604E-2</v>
      </c>
      <c r="AB11" s="9">
        <f>IFERROR(CustodeVendas[[#This Row],[Nov]]/CustodeVendas[[#Totals],[Nov]],"-")</f>
        <v>7.9545454545454544E-2</v>
      </c>
      <c r="AC11" s="9">
        <f>IFERROR(CustodeVendas[[#This Row],[Dez]]/CustodeVendas[[#Totals],[Dez]],"-")</f>
        <v>0.11479028697571744</v>
      </c>
      <c r="AD11" s="29">
        <f>IFERROR(CustodeVendas[[#This Row],[Anualmente]]/CustodeVendas[[#Totals],[Anualmente]],"-")</f>
        <v>0.16815086432687271</v>
      </c>
      <c r="AE11" s="71"/>
    </row>
    <row r="12" spans="2:31" ht="30" customHeight="1" x14ac:dyDescent="0.2">
      <c r="B12" s="14" t="s">
        <v>79</v>
      </c>
      <c r="C12" s="15"/>
      <c r="D12" s="79">
        <v>33</v>
      </c>
      <c r="E12" s="79">
        <v>61</v>
      </c>
      <c r="F12" s="79">
        <v>42</v>
      </c>
      <c r="G12" s="79">
        <v>43</v>
      </c>
      <c r="H12" s="79">
        <v>19</v>
      </c>
      <c r="I12" s="79">
        <v>94</v>
      </c>
      <c r="J12" s="79">
        <v>46</v>
      </c>
      <c r="K12" s="79">
        <v>15</v>
      </c>
      <c r="L12" s="79">
        <v>55</v>
      </c>
      <c r="M12" s="79">
        <v>15</v>
      </c>
      <c r="N12" s="79">
        <v>37</v>
      </c>
      <c r="O12" s="79">
        <v>89</v>
      </c>
      <c r="P12" s="88">
        <f>SUM(CustodeVendas[[#This Row],[Jan]:[Dez]])</f>
        <v>549</v>
      </c>
      <c r="Q12" s="9">
        <v>0.1</v>
      </c>
      <c r="R12" s="31">
        <f>IFERROR(CustodeVendas[[#This Row],[Jan]]/CustodeVendas[[#Totals],[Jan]],"-")</f>
        <v>0.12452830188679245</v>
      </c>
      <c r="S12" s="9">
        <f>IFERROR(CustodeVendas[[#This Row],[Fev]]/CustodeVendas[[#Totals],[Fev]],"-")</f>
        <v>0.17134831460674158</v>
      </c>
      <c r="T12" s="9">
        <f>IFERROR(CustodeVendas[[#This Row],[Mar]]/CustodeVendas[[#Totals],[Mar]],"-")</f>
        <v>0.13333333333333333</v>
      </c>
      <c r="U12" s="9">
        <f>IFERROR(CustodeVendas[[#This Row],[Abr]]/CustodeVendas[[#Totals],[Abr]],"-")</f>
        <v>0.17842323651452283</v>
      </c>
      <c r="V12" s="9">
        <f>IFERROR(CustodeVendas[[#This Row],[Mai]]/CustodeVendas[[#Totals],[Mai]],"-")</f>
        <v>4.7619047619047616E-2</v>
      </c>
      <c r="W12" s="9">
        <f>IFERROR(CustodeVendas[[#This Row],[Jun]]/CustodeVendas[[#Totals],[Jun]],"-")</f>
        <v>0.30128205128205127</v>
      </c>
      <c r="X12" s="9">
        <f>IFERROR(CustodeVendas[[#This Row],[Jul]]/CustodeVendas[[#Totals],[Jul]],"-")</f>
        <v>0.15384615384615385</v>
      </c>
      <c r="Y12" s="9">
        <f>IFERROR(CustodeVendas[[#This Row],[Ago]]/CustodeVendas[[#Totals],[Ago]],"-")</f>
        <v>6.637168141592921E-2</v>
      </c>
      <c r="Z12" s="9">
        <f>IFERROR(CustodeVendas[[#This Row],[Set]]/CustodeVendas[[#Totals],[Set]],"-")</f>
        <v>0.13285024154589373</v>
      </c>
      <c r="AA12" s="9">
        <f>IFERROR(CustodeVendas[[#This Row],[Out]]/CustodeVendas[[#Totals],[Out]],"-")</f>
        <v>5.4744525547445258E-2</v>
      </c>
      <c r="AB12" s="9">
        <f>IFERROR(CustodeVendas[[#This Row],[Nov]]/CustodeVendas[[#Totals],[Nov]],"-")</f>
        <v>0.14015151515151514</v>
      </c>
      <c r="AC12" s="9">
        <f>IFERROR(CustodeVendas[[#This Row],[Dez]]/CustodeVendas[[#Totals],[Dez]],"-")</f>
        <v>0.19646799116997793</v>
      </c>
      <c r="AD12" s="29">
        <f>IFERROR(CustodeVendas[[#This Row],[Anualmente]]/CustodeVendas[[#Totals],[Anualmente]],"-")</f>
        <v>0.14379256155055004</v>
      </c>
      <c r="AE12" s="71"/>
    </row>
    <row r="13" spans="2:31" ht="30" customHeight="1" x14ac:dyDescent="0.2">
      <c r="B13" s="14" t="s">
        <v>82</v>
      </c>
      <c r="C13" s="15"/>
      <c r="D13" s="79">
        <v>34</v>
      </c>
      <c r="E13" s="79">
        <v>78</v>
      </c>
      <c r="F13" s="79">
        <v>43</v>
      </c>
      <c r="G13" s="79">
        <v>30</v>
      </c>
      <c r="H13" s="79">
        <v>77</v>
      </c>
      <c r="I13" s="79">
        <v>54</v>
      </c>
      <c r="J13" s="79">
        <v>26</v>
      </c>
      <c r="K13" s="79">
        <v>13</v>
      </c>
      <c r="L13" s="79">
        <v>56</v>
      </c>
      <c r="M13" s="79">
        <v>30</v>
      </c>
      <c r="N13" s="79">
        <v>40</v>
      </c>
      <c r="O13" s="79">
        <v>63</v>
      </c>
      <c r="P13" s="88">
        <f>SUM(CustodeVendas[[#This Row],[Jan]:[Dez]])</f>
        <v>544</v>
      </c>
      <c r="Q13" s="9">
        <v>0.2</v>
      </c>
      <c r="R13" s="31">
        <f>IFERROR(CustodeVendas[[#This Row],[Jan]]/CustodeVendas[[#Totals],[Jan]],"-")</f>
        <v>0.12830188679245283</v>
      </c>
      <c r="S13" s="9">
        <f>IFERROR(CustodeVendas[[#This Row],[Fev]]/CustodeVendas[[#Totals],[Fev]],"-")</f>
        <v>0.21910112359550563</v>
      </c>
      <c r="T13" s="9">
        <f>IFERROR(CustodeVendas[[#This Row],[Mar]]/CustodeVendas[[#Totals],[Mar]],"-")</f>
        <v>0.13650793650793649</v>
      </c>
      <c r="U13" s="9">
        <f>IFERROR(CustodeVendas[[#This Row],[Abr]]/CustodeVendas[[#Totals],[Abr]],"-")</f>
        <v>0.12448132780082988</v>
      </c>
      <c r="V13" s="9">
        <f>IFERROR(CustodeVendas[[#This Row],[Mai]]/CustodeVendas[[#Totals],[Mai]],"-")</f>
        <v>0.19298245614035087</v>
      </c>
      <c r="W13" s="9">
        <f>IFERROR(CustodeVendas[[#This Row],[Jun]]/CustodeVendas[[#Totals],[Jun]],"-")</f>
        <v>0.17307692307692307</v>
      </c>
      <c r="X13" s="9">
        <f>IFERROR(CustodeVendas[[#This Row],[Jul]]/CustodeVendas[[#Totals],[Jul]],"-")</f>
        <v>8.6956521739130432E-2</v>
      </c>
      <c r="Y13" s="9">
        <f>IFERROR(CustodeVendas[[#This Row],[Ago]]/CustodeVendas[[#Totals],[Ago]],"-")</f>
        <v>5.7522123893805309E-2</v>
      </c>
      <c r="Z13" s="9">
        <f>IFERROR(CustodeVendas[[#This Row],[Set]]/CustodeVendas[[#Totals],[Set]],"-")</f>
        <v>0.13526570048309178</v>
      </c>
      <c r="AA13" s="9">
        <f>IFERROR(CustodeVendas[[#This Row],[Out]]/CustodeVendas[[#Totals],[Out]],"-")</f>
        <v>0.10948905109489052</v>
      </c>
      <c r="AB13" s="9">
        <f>IFERROR(CustodeVendas[[#This Row],[Nov]]/CustodeVendas[[#Totals],[Nov]],"-")</f>
        <v>0.15151515151515152</v>
      </c>
      <c r="AC13" s="9">
        <f>IFERROR(CustodeVendas[[#This Row],[Dez]]/CustodeVendas[[#Totals],[Dez]],"-")</f>
        <v>0.13907284768211919</v>
      </c>
      <c r="AD13" s="29">
        <f>IFERROR(CustodeVendas[[#This Row],[Anualmente]]/CustodeVendas[[#Totals],[Anualmente]],"-")</f>
        <v>0.14248297537978</v>
      </c>
      <c r="AE13" s="71"/>
    </row>
    <row r="14" spans="2:31" ht="30" customHeight="1" x14ac:dyDescent="0.2">
      <c r="B14" s="27" t="s">
        <v>38</v>
      </c>
      <c r="D14" s="81">
        <f>SUBTOTAL(109,CustodeVendas[Jan])</f>
        <v>265</v>
      </c>
      <c r="E14" s="81">
        <f>SUBTOTAL(109,CustodeVendas[Fev])</f>
        <v>356</v>
      </c>
      <c r="F14" s="81">
        <f>SUBTOTAL(109,CustodeVendas[Mar])</f>
        <v>315</v>
      </c>
      <c r="G14" s="81">
        <f>SUBTOTAL(109,CustodeVendas[Abr])</f>
        <v>241</v>
      </c>
      <c r="H14" s="81">
        <f>SUBTOTAL(109,CustodeVendas[Mai])</f>
        <v>399</v>
      </c>
      <c r="I14" s="81">
        <f>SUBTOTAL(109,CustodeVendas[Jun])</f>
        <v>312</v>
      </c>
      <c r="J14" s="81">
        <f>SUBTOTAL(109,CustodeVendas[Jul])</f>
        <v>299</v>
      </c>
      <c r="K14" s="81">
        <f>SUBTOTAL(109,CustodeVendas[Ago])</f>
        <v>226</v>
      </c>
      <c r="L14" s="81">
        <f>SUBTOTAL(109,CustodeVendas[Set])</f>
        <v>414</v>
      </c>
      <c r="M14" s="81">
        <f>SUBTOTAL(109,CustodeVendas[Out])</f>
        <v>274</v>
      </c>
      <c r="N14" s="81">
        <f>SUBTOTAL(109,CustodeVendas[Nov])</f>
        <v>264</v>
      </c>
      <c r="O14" s="81">
        <f>SUBTOTAL(109,CustodeVendas[Dez])</f>
        <v>453</v>
      </c>
      <c r="P14" s="89">
        <f>SUBTOTAL(109,CustodeVendas[Anualmente])</f>
        <v>3818</v>
      </c>
      <c r="Q14" s="10">
        <f>SUBTOTAL(109,CustodeVendas[Índice %])</f>
        <v>1</v>
      </c>
      <c r="R14" s="32">
        <f>SUBTOTAL(109,CustodeVendas[Jan %])</f>
        <v>0.99999999999999989</v>
      </c>
      <c r="S14" s="33">
        <f>SUBTOTAL(109,CustodeVendas[Fev %])</f>
        <v>1</v>
      </c>
      <c r="T14" s="33">
        <f>SUBTOTAL(109,CustodeVendas[Mar %])</f>
        <v>0.99999999999999989</v>
      </c>
      <c r="U14" s="33">
        <f>SUBTOTAL(109,CustodeVendas[Abr %])</f>
        <v>1</v>
      </c>
      <c r="V14" s="33">
        <f>SUBTOTAL(109,CustodeVendas[Mai %])</f>
        <v>1</v>
      </c>
      <c r="W14" s="33">
        <f>SUBTOTAL(109,CustodeVendas[Jun %])</f>
        <v>1</v>
      </c>
      <c r="X14" s="33">
        <f>SUBTOTAL(109,CustodeVendas[Jul %])</f>
        <v>1</v>
      </c>
      <c r="Y14" s="33">
        <f>SUBTOTAL(109,CustodeVendas[Ago %])</f>
        <v>1</v>
      </c>
      <c r="Z14" s="33">
        <f>SUBTOTAL(109,CustodeVendas[Set %])</f>
        <v>1</v>
      </c>
      <c r="AA14" s="33">
        <f>SUBTOTAL(109,CustodeVendas[Out %])</f>
        <v>1</v>
      </c>
      <c r="AB14" s="33">
        <f>SUBTOTAL(109,CustodeVendas[Nov %])</f>
        <v>1</v>
      </c>
      <c r="AC14" s="33">
        <f>SUBTOTAL(109,CustodeVendas[Dez %])</f>
        <v>1</v>
      </c>
      <c r="AD14" s="34">
        <f>SUBTOTAL(109,CustodeVendas[Ano %])</f>
        <v>1</v>
      </c>
      <c r="AE14" s="71"/>
    </row>
    <row r="15" spans="2:31" ht="9.9499999999999993" customHeight="1" x14ac:dyDescent="0.2"/>
    <row r="16" spans="2:31" ht="25.5" customHeight="1" x14ac:dyDescent="0.2">
      <c r="B16" s="41" t="s">
        <v>39</v>
      </c>
      <c r="C16" s="4"/>
      <c r="D16" s="90">
        <f>Receita[[#Totals],[Jan]]-CustodeVendas[[#Totals],[Jan]]</f>
        <v>359</v>
      </c>
      <c r="E16" s="90">
        <f>Receita[[#Totals],[Fev]]-CustodeVendas[[#Totals],[Fev]]</f>
        <v>380</v>
      </c>
      <c r="F16" s="90">
        <f>Receita[[#Totals],[Mar]]-CustodeVendas[[#Totals],[Mar]]</f>
        <v>505</v>
      </c>
      <c r="G16" s="90">
        <f>Receita[[#Totals],[Abr]]-CustodeVendas[[#Totals],[Abr]]</f>
        <v>370</v>
      </c>
      <c r="H16" s="90">
        <f>Receita[[#Totals],[Mai]]-CustodeVendas[[#Totals],[Mai]]</f>
        <v>413</v>
      </c>
      <c r="I16" s="90">
        <f>Receita[[#Totals],[Jun]]-CustodeVendas[[#Totals],[Jun]]</f>
        <v>266</v>
      </c>
      <c r="J16" s="90">
        <f>Receita[[#Totals],[Jul]]-CustodeVendas[[#Totals],[Jul]]</f>
        <v>298</v>
      </c>
      <c r="K16" s="90">
        <f>Receita[[#Totals],[Ago]]-CustodeVendas[[#Totals],[Ago]]</f>
        <v>449</v>
      </c>
      <c r="L16" s="90">
        <f>Receita[[#Totals],[Set]]-CustodeVendas[[#Totals],[Set]]</f>
        <v>330</v>
      </c>
      <c r="M16" s="90">
        <f>Receita[[#Totals],[Out]]-CustodeVendas[[#Totals],[Out]]</f>
        <v>407</v>
      </c>
      <c r="N16" s="90">
        <f>Receita[[#Totals],[Nov]]-CustodeVendas[[#Totals],[Nov]]</f>
        <v>475</v>
      </c>
      <c r="O16" s="90">
        <f>Receita[[#Totals],[Dez]]-CustodeVendas[[#Totals],[Dez]]</f>
        <v>590</v>
      </c>
      <c r="P16" s="90">
        <f>Receita[[#Totals],[Anualmente]]-CustodeVendas[[#Totals],[Anualmente]]</f>
        <v>4842</v>
      </c>
      <c r="Q16" s="39"/>
      <c r="R16" s="40">
        <f t="shared" ref="R16:AC16" si="1">D16/$P$16</f>
        <v>7.4142916150351096E-2</v>
      </c>
      <c r="S16" s="40">
        <f t="shared" si="1"/>
        <v>7.8479966955803393E-2</v>
      </c>
      <c r="T16" s="40">
        <f t="shared" si="1"/>
        <v>0.10429574555968608</v>
      </c>
      <c r="U16" s="40">
        <f t="shared" si="1"/>
        <v>7.6414704667492769E-2</v>
      </c>
      <c r="V16" s="40">
        <f t="shared" si="1"/>
        <v>8.5295332507228414E-2</v>
      </c>
      <c r="W16" s="40">
        <f t="shared" si="1"/>
        <v>5.4935976869062368E-2</v>
      </c>
      <c r="X16" s="40">
        <f t="shared" si="1"/>
        <v>6.1544816191656339E-2</v>
      </c>
      <c r="Y16" s="40">
        <f t="shared" si="1"/>
        <v>9.2730276745146639E-2</v>
      </c>
      <c r="Z16" s="40">
        <f t="shared" si="1"/>
        <v>6.8153655514250316E-2</v>
      </c>
      <c r="AA16" s="40">
        <f t="shared" si="1"/>
        <v>8.4056175134242045E-2</v>
      </c>
      <c r="AB16" s="40">
        <f t="shared" si="1"/>
        <v>9.8099958694754227E-2</v>
      </c>
      <c r="AC16" s="40">
        <f t="shared" si="1"/>
        <v>0.12185047501032631</v>
      </c>
      <c r="AD16" s="40">
        <f>P16/$P$16</f>
        <v>1</v>
      </c>
    </row>
  </sheetData>
  <dataValidations count="18">
    <dataValidation allowBlank="1" showInputMessage="1" showErrorMessage="1" prompt="O lucro bruto de cada mês e ano é calculado automaticamente nesta linha com base no total de vendas e custos totais de vendas" sqref="B16" xr:uid="{00000000-0002-0000-0100-000000000000}"/>
    <dataValidation allowBlank="1" showInputMessage="1" showErrorMessage="1" prompt="Esta planilha calcula o custo total de vendas para cada mês e ano, e os custos de vendas anuais de itens. Com base nas entradas, o lucro bruto é calculado automaticamente" sqref="A1" xr:uid="{00000000-0002-0000-0100-000001000000}"/>
    <dataValidation allowBlank="1" showInputMessage="1" showErrorMessage="1" prompt="O título da planilha Receitas (Vendas) foi atualizado automaticamente. Insira os valores na tabela Custo de Vendas abaixo para calcular os custos totais de vendas" sqref="B3:B4" xr:uid="{00000000-0002-0000-0100-000002000000}"/>
    <dataValidation allowBlank="1" showInputMessage="1" showErrorMessage="1" prompt="Mês e ano são atualizados automaticamente nas células à direita. Para alterar o mês ou ano, modifique as células F2 e G2 da planilha Receitas (Vendas)" sqref="E2" xr:uid="{00000000-0002-0000-0100-000003000000}"/>
    <dataValidation allowBlank="1" showInputMessage="1" showErrorMessage="1" prompt="Insira o índice percentual nesta coluna" sqref="Q6" xr:uid="{00000000-0002-0000-0100-000004000000}"/>
    <dataValidation allowBlank="1" showInputMessage="1" showErrorMessage="1" prompt="Insira nesta coluna o custo das fontes listadas na coluna B" sqref="D6:O6" xr:uid="{00000000-0002-0000-0100-000005000000}"/>
    <dataValidation allowBlank="1" showInputMessage="1" showErrorMessage="1" prompt="Um gráfico de tendências de custos ao longo do tempo está nesta coluna" sqref="C6" xr:uid="{00000000-0002-0000-0100-000006000000}"/>
    <dataValidation allowBlank="1" showInputMessage="1" showErrorMessage="1" prompt="Insira o custo das vendas desta coluna" sqref="B6" xr:uid="{00000000-0002-0000-0100-000007000000}"/>
    <dataValidation allowBlank="1" showInputMessage="1" showErrorMessage="1" prompt="Calcula automaticamente a proporção de custo de vendas de diversas fontes para o total de vendas para o ano nesta coluna" sqref="AD5" xr:uid="{00000000-0002-0000-0100-000008000000}"/>
    <dataValidation allowBlank="1" showInputMessage="1" showErrorMessage="1" prompt="Calcula automaticamente a proporção de custo de vendas de diversas fontes para o total de vendas nessa coluna para o mês nesta célula" sqref="R5:AC5" xr:uid="{00000000-0002-0000-0100-000009000000}"/>
    <dataValidation allowBlank="1" showInputMessage="1" showErrorMessage="1" prompt="Mês atualizado automaticamente" sqref="E5:O5" xr:uid="{00000000-0002-0000-0100-00000A000000}"/>
    <dataValidation allowBlank="1" showInputMessage="1" showErrorMessage="1" prompt="As datas nesta linha são atualizadas automaticamente com base no mês inicial do ano fiscal. Para alterar o mês inicial, modifique a célula F2 na planilha Receitas (Vendas)" sqref="D5" xr:uid="{00000000-0002-0000-0100-00000B000000}"/>
    <dataValidation allowBlank="1" showInputMessage="1" showErrorMessage="1" prompt="O custo anual é calculado automaticamente nesta coluna" sqref="P5" xr:uid="{00000000-0002-0000-0100-00000C000000}"/>
    <dataValidation allowBlank="1" showInputMessage="1" showErrorMessage="1" prompt="O índice percentual está nesta coluna" sqref="Q5" xr:uid="{00000000-0002-0000-0100-00000D000000}"/>
    <dataValidation allowBlank="1" showInputMessage="1" showErrorMessage="1" prompt="O mês é atualizado automaticamente. Para alterar, modifique a célula F2 na planilha Receitas (Vendas)" sqref="F2" xr:uid="{00000000-0002-0000-0100-00000E000000}"/>
    <dataValidation allowBlank="1" showInputMessage="1" showErrorMessage="1" prompt="O ano é atualizado automaticamente. Para alterar, modifique a célula G2 na planilha Receitas (Vendas)" sqref="G2" xr:uid="{00000000-0002-0000-0100-00000F000000}"/>
    <dataValidation allowBlank="1" showInputMessage="1" showErrorMessage="1" prompt="Essa célula é atualizada automaticamente a partir do título do período de projeção na planilha Receita (Vendas)" sqref="B2" xr:uid="{00000000-0002-0000-0100-000010000000}"/>
    <dataValidation allowBlank="1" showInputMessage="1" showErrorMessage="1" prompt="O nome da empresa é atualizado automaticamente usando a entrada da planilha Receita (Vendas)" sqref="AD2 B1" xr:uid="{00000000-0002-0000-0100-000011000000}"/>
  </dataValidations>
  <printOptions horizontalCentered="1"/>
  <pageMargins left="0.25" right="0.25" top="0.75" bottom="0.75" header="0.3" footer="0.3"/>
  <pageSetup paperSize="9" scale="47" fitToHeight="0" orientation="landscape" r:id="rId1"/>
  <headerFooter differentFirst="1">
    <oddFooter>Page &amp;P of &amp;N</oddFooter>
  </headerFooter>
  <tableParts count="1"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lineWeight="1" displayEmptyCellsAs="gap" high="1" low="1" xr2:uid="{00000000-0003-0000-0100-000002000000}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 tint="-0.499984740745262"/>
          <x14:colorLow theme="4" tint="-0.499984740745262"/>
          <x14:sparklines>
            <x14:sparkline>
              <xm:f>'Custo de vendas'!D7:O7</xm:f>
              <xm:sqref>C7</xm:sqref>
            </x14:sparkline>
            <x14:sparkline>
              <xm:f>'Custo de vendas'!D8:O8</xm:f>
              <xm:sqref>C8</xm:sqref>
            </x14:sparkline>
            <x14:sparkline>
              <xm:f>'Custo de vendas'!D9:O9</xm:f>
              <xm:sqref>C9</xm:sqref>
            </x14:sparkline>
            <x14:sparkline>
              <xm:f>'Custo de vendas'!D10:O10</xm:f>
              <xm:sqref>C10</xm:sqref>
            </x14:sparkline>
            <x14:sparkline>
              <xm:f>'Custo de vendas'!D11:O11</xm:f>
              <xm:sqref>C11</xm:sqref>
            </x14:sparkline>
            <x14:sparkline>
              <xm:f>'Custo de vendas'!D12:O12</xm:f>
              <xm:sqref>C12</xm:sqref>
            </x14:sparkline>
            <x14:sparkline>
              <xm:f>'Custo de vendas'!D13:O13</xm:f>
              <xm:sqref>C13</xm:sqref>
            </x14:sparkline>
          </x14:sparklines>
        </x14:sparklineGroup>
        <x14:sparklineGroup lineWeight="1" displayEmptyCellsAs="gap" high="1" low="1" xr2:uid="{00000000-0003-0000-0100-000003000000}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 tint="-0.499984740745262"/>
          <x14:colorLow theme="4" tint="-0.499984740745262"/>
          <x14:sparklines>
            <x14:sparkline>
              <xm:f>'Custo de vendas'!D14:O14</xm:f>
              <xm:sqref>C14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0.39997558519241921"/>
    <pageSetUpPr fitToPage="1"/>
  </sheetPr>
  <dimension ref="B1:AE33"/>
  <sheetViews>
    <sheetView showGridLines="0" zoomScaleNormal="100" workbookViewId="0">
      <pane xSplit="3" ySplit="5" topLeftCell="D6" activePane="bottomRight" state="frozen"/>
      <selection activeCell="D5" sqref="D5"/>
      <selection pane="topRight" activeCell="D5" sqref="D5"/>
      <selection pane="bottomLeft" activeCell="D5" sqref="D5"/>
      <selection pane="bottomRight" activeCell="B6" sqref="B6:C6"/>
    </sheetView>
  </sheetViews>
  <sheetFormatPr defaultRowHeight="30" customHeight="1" x14ac:dyDescent="0.2"/>
  <cols>
    <col min="1" max="1" width="2.625" customWidth="1"/>
    <col min="2" max="3" width="22.125" customWidth="1"/>
    <col min="4" max="15" width="9.625" customWidth="1"/>
    <col min="16" max="16" width="11.875" bestFit="1" customWidth="1"/>
    <col min="17" max="17" width="11.875" customWidth="1"/>
    <col min="18" max="31" width="7.5" customWidth="1"/>
    <col min="32" max="32" width="2.625" customWidth="1"/>
  </cols>
  <sheetData>
    <row r="1" spans="2:31" ht="38.1" customHeight="1" x14ac:dyDescent="0.2">
      <c r="B1" s="44" t="str">
        <f>Nome_Empresa</f>
        <v>Pérolas do Rio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2:31" ht="35.1" customHeight="1" x14ac:dyDescent="0.2">
      <c r="B2" s="57" t="str">
        <f>Título_Período_Projeção</f>
        <v>Doze meses</v>
      </c>
      <c r="C2" s="58"/>
      <c r="D2" s="58"/>
      <c r="E2" s="59" t="s">
        <v>40</v>
      </c>
      <c r="F2" s="60" t="str">
        <f>InícioMêsAF</f>
        <v>JAN</v>
      </c>
      <c r="G2" s="60">
        <f ca="1">AnoInícioAF</f>
        <v>2024</v>
      </c>
      <c r="J2" s="5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6"/>
    </row>
    <row r="3" spans="2:31" ht="60" customHeight="1" x14ac:dyDescent="0.2">
      <c r="B3" s="43" t="str">
        <f>'Receitas (Vendas)'!$B$3</f>
        <v>Projeção de Lucros e Perdas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1"/>
      <c r="Q3" s="11"/>
      <c r="R3" s="11"/>
      <c r="S3" s="11"/>
      <c r="T3" s="11"/>
      <c r="U3" s="11"/>
      <c r="V3" s="11"/>
      <c r="W3" s="11"/>
      <c r="X3" s="11"/>
      <c r="Y3" s="13"/>
      <c r="Z3" s="13"/>
      <c r="AA3" s="13"/>
      <c r="AB3" s="13"/>
      <c r="AC3" s="11"/>
      <c r="AD3" s="11"/>
      <c r="AE3" s="11"/>
    </row>
    <row r="4" spans="2:31" ht="15" customHeight="1" x14ac:dyDescent="0.2">
      <c r="B4" s="35"/>
      <c r="D4" s="1"/>
      <c r="E4" s="1"/>
      <c r="F4" s="1"/>
      <c r="G4" s="1"/>
      <c r="K4" s="1"/>
      <c r="L4" s="1"/>
      <c r="M4" s="1"/>
      <c r="N4" s="1"/>
      <c r="O4" s="1"/>
      <c r="Y4" s="2"/>
      <c r="Z4" s="2"/>
    </row>
    <row r="5" spans="2:31" ht="20.100000000000001" customHeight="1" x14ac:dyDescent="0.2">
      <c r="D5" s="91" t="str" cm="1">
        <f t="array" aca="1" ref="D5" ca="1">UPPER(TEXT(DATE(AnoInícioAF,NúmMêsAF,1),"mmm-aa"))</f>
        <v>JAN-24</v>
      </c>
      <c r="E5" s="91" t="str" cm="1">
        <f t="array" aca="1" ref="E5" ca="1">UPPER(TEXT(DATE(AnoInícioAF,NúmMêsAF+1,1),"mmm-aa"))</f>
        <v>FEV-24</v>
      </c>
      <c r="F5" s="91" t="str" cm="1">
        <f t="array" aca="1" ref="F5" ca="1">UPPER(TEXT(DATE(AnoInícioAF,NúmMêsAF+2,1),"mmm-aa"))</f>
        <v>MAR-24</v>
      </c>
      <c r="G5" s="91" t="str" cm="1">
        <f t="array" aca="1" ref="G5" ca="1">UPPER(TEXT(DATE(AnoInícioAF,NúmMêsAF+3,1),"mmm-aa"))</f>
        <v>ABR-24</v>
      </c>
      <c r="H5" s="91" t="str" cm="1">
        <f t="array" aca="1" ref="H5" ca="1">UPPER(TEXT(DATE(AnoInícioAF,NúmMêsAF+4,1),"mmm-aa"))</f>
        <v>MAI-24</v>
      </c>
      <c r="I5" s="91" t="str" cm="1">
        <f t="array" aca="1" ref="I5" ca="1">UPPER(TEXT(DATE(AnoInícioAF,NúmMêsAF+5,1),"mmm-aa"))</f>
        <v>JUN-24</v>
      </c>
      <c r="J5" s="91" t="str" cm="1">
        <f t="array" aca="1" ref="J5" ca="1">UPPER(TEXT(DATE(AnoInícioAF,NúmMêsAF+6,1),"mmm-aa"))</f>
        <v>JUL-24</v>
      </c>
      <c r="K5" s="91" t="str" cm="1">
        <f t="array" aca="1" ref="K5" ca="1">UPPER(TEXT(DATE(AnoInícioAF,NúmMêsAF+7,1),"mmm-aa"))</f>
        <v>AGO-24</v>
      </c>
      <c r="L5" s="91" t="str" cm="1">
        <f t="array" aca="1" ref="L5" ca="1">UPPER(TEXT(DATE(AnoInícioAF,NúmMêsAF+8,1),"mmm-aa"))</f>
        <v>SET-24</v>
      </c>
      <c r="M5" s="91" t="str" cm="1">
        <f t="array" aca="1" ref="M5" ca="1">UPPER(TEXT(DATE(AnoInícioAF,NúmMêsAF+9,1),"mmm-aa"))</f>
        <v>OUT-24</v>
      </c>
      <c r="N5" s="91" t="str" cm="1">
        <f t="array" aca="1" ref="N5" ca="1">UPPER(TEXT(DATE(AnoInícioAF,NúmMêsAF+10,1),"mmm-aa"))</f>
        <v>NOV-24</v>
      </c>
      <c r="O5" s="92" t="str" cm="1">
        <f t="array" aca="1" ref="O5" ca="1">UPPER(TEXT(DATE(AnoInícioAF,NúmMêsAF+11,1),"mmm-aa"))</f>
        <v>DEZ-24</v>
      </c>
      <c r="P5" s="93" t="s">
        <v>19</v>
      </c>
      <c r="Q5" s="102"/>
      <c r="R5" s="92" t="s">
        <v>21</v>
      </c>
      <c r="S5" s="94" t="str">
        <f ca="1">LEFT(D5,3)&amp;" %"</f>
        <v>JAN %</v>
      </c>
      <c r="T5" s="95" t="str">
        <f t="shared" ref="T5:AD5" ca="1" si="0">LEFT(E5,3)&amp;" %"</f>
        <v>FEV %</v>
      </c>
      <c r="U5" s="95" t="str">
        <f t="shared" ca="1" si="0"/>
        <v>MAR %</v>
      </c>
      <c r="V5" s="95" t="str">
        <f t="shared" ca="1" si="0"/>
        <v>ABR %</v>
      </c>
      <c r="W5" s="95" t="str">
        <f t="shared" ca="1" si="0"/>
        <v>MAI %</v>
      </c>
      <c r="X5" s="95" t="str">
        <f t="shared" ca="1" si="0"/>
        <v>JUN %</v>
      </c>
      <c r="Y5" s="95" t="str">
        <f t="shared" ca="1" si="0"/>
        <v>JUL %</v>
      </c>
      <c r="Z5" s="95" t="str">
        <f t="shared" ca="1" si="0"/>
        <v>AGO %</v>
      </c>
      <c r="AA5" s="95" t="str">
        <f t="shared" ca="1" si="0"/>
        <v>SET %</v>
      </c>
      <c r="AB5" s="95" t="str">
        <f t="shared" ca="1" si="0"/>
        <v>OUT %</v>
      </c>
      <c r="AC5" s="95" t="str">
        <f t="shared" ca="1" si="0"/>
        <v>NOV %</v>
      </c>
      <c r="AD5" s="95" t="str">
        <f t="shared" ca="1" si="0"/>
        <v>DEZ %</v>
      </c>
      <c r="AE5" s="96" t="s">
        <v>35</v>
      </c>
    </row>
    <row r="6" spans="2:31" ht="30" customHeight="1" x14ac:dyDescent="0.2">
      <c r="B6" s="62" t="s">
        <v>41</v>
      </c>
      <c r="C6" s="62" t="s">
        <v>4</v>
      </c>
      <c r="D6" s="63" t="s">
        <v>5</v>
      </c>
      <c r="E6" s="63" t="s">
        <v>7</v>
      </c>
      <c r="F6" s="63" t="s">
        <v>9</v>
      </c>
      <c r="G6" s="63" t="s">
        <v>10</v>
      </c>
      <c r="H6" s="63" t="s">
        <v>11</v>
      </c>
      <c r="I6" s="63" t="s">
        <v>12</v>
      </c>
      <c r="J6" s="63" t="s">
        <v>13</v>
      </c>
      <c r="K6" s="63" t="s">
        <v>14</v>
      </c>
      <c r="L6" s="63" t="s">
        <v>15</v>
      </c>
      <c r="M6" s="63" t="s">
        <v>16</v>
      </c>
      <c r="N6" s="63" t="s">
        <v>17</v>
      </c>
      <c r="O6" s="63" t="s">
        <v>18</v>
      </c>
      <c r="P6" s="64" t="s">
        <v>20</v>
      </c>
      <c r="Q6" s="103" t="s">
        <v>70</v>
      </c>
      <c r="R6" s="63" t="s">
        <v>22</v>
      </c>
      <c r="S6" s="65" t="s">
        <v>23</v>
      </c>
      <c r="T6" s="63" t="s">
        <v>24</v>
      </c>
      <c r="U6" s="63" t="s">
        <v>25</v>
      </c>
      <c r="V6" s="63" t="s">
        <v>26</v>
      </c>
      <c r="W6" s="63" t="s">
        <v>27</v>
      </c>
      <c r="X6" s="63" t="s">
        <v>28</v>
      </c>
      <c r="Y6" s="63" t="s">
        <v>29</v>
      </c>
      <c r="Z6" s="63" t="s">
        <v>30</v>
      </c>
      <c r="AA6" s="63" t="s">
        <v>31</v>
      </c>
      <c r="AB6" s="63" t="s">
        <v>32</v>
      </c>
      <c r="AC6" s="63" t="s">
        <v>33</v>
      </c>
      <c r="AD6" s="63" t="s">
        <v>34</v>
      </c>
      <c r="AE6" s="66" t="s">
        <v>36</v>
      </c>
    </row>
    <row r="7" spans="2:31" ht="30" customHeight="1" x14ac:dyDescent="0.2">
      <c r="B7" s="36" t="s">
        <v>42</v>
      </c>
      <c r="C7" t="s">
        <v>58</v>
      </c>
      <c r="D7" s="79">
        <v>10</v>
      </c>
      <c r="E7" s="79">
        <v>18</v>
      </c>
      <c r="F7" s="79">
        <v>13</v>
      </c>
      <c r="G7" s="79">
        <v>8</v>
      </c>
      <c r="H7" s="79">
        <v>22</v>
      </c>
      <c r="I7" s="79">
        <v>18</v>
      </c>
      <c r="J7" s="79">
        <v>8</v>
      </c>
      <c r="K7" s="79">
        <v>17</v>
      </c>
      <c r="L7" s="79">
        <v>20</v>
      </c>
      <c r="M7" s="79">
        <v>8</v>
      </c>
      <c r="N7" s="79">
        <v>4</v>
      </c>
      <c r="O7" s="79">
        <v>12</v>
      </c>
      <c r="P7" s="97">
        <f>SUM(tblDespesas[[#This Row],[Jan]:[Dez]])</f>
        <v>158</v>
      </c>
      <c r="Q7" s="104"/>
      <c r="R7" s="9">
        <v>0.12</v>
      </c>
      <c r="S7" s="45">
        <f>IFERROR(tblDespesas[[#This Row],[Jan]]/tblDespesas[[#Totals],[Jan]],"-")</f>
        <v>3.5842293906810034E-2</v>
      </c>
      <c r="T7" s="9">
        <f>IFERROR(tblDespesas[[#This Row],[Fev]]/tblDespesas[[#Totals],[Fev]],"-")</f>
        <v>6.4516129032258063E-2</v>
      </c>
      <c r="U7" s="9">
        <f>IFERROR(tblDespesas[[#This Row],[Mar]]/tblDespesas[[#Totals],[Mar]],"-")</f>
        <v>4.1800643086816719E-2</v>
      </c>
      <c r="V7" s="9">
        <f>IFERROR(tblDespesas[[#This Row],[Abr]]/tblDespesas[[#Totals],[Abr]],"-")</f>
        <v>2.4539877300613498E-2</v>
      </c>
      <c r="W7" s="9">
        <f>IFERROR(tblDespesas[[#This Row],[Mai]]/tblDespesas[[#Totals],[Mai]],"-")</f>
        <v>7.1661237785016291E-2</v>
      </c>
      <c r="X7" s="9">
        <f>IFERROR(tblDespesas[[#This Row],[Jun]]/tblDespesas[[#Totals],[Jun]],"-")</f>
        <v>4.6632124352331605E-2</v>
      </c>
      <c r="Y7" s="9">
        <f>IFERROR(tblDespesas[[#This Row],[Jul]]/tblDespesas[[#Totals],[Jul]],"-")</f>
        <v>2.3668639053254437E-2</v>
      </c>
      <c r="Z7" s="9">
        <f>IFERROR(tblDespesas[[#This Row],[Ago]]/tblDespesas[[#Totals],[Ago]],"-")</f>
        <v>5.6666666666666664E-2</v>
      </c>
      <c r="AA7" s="9">
        <f>IFERROR(tblDespesas[[#This Row],[Set]]/tblDespesas[[#Totals],[Set]],"-")</f>
        <v>6.8965517241379309E-2</v>
      </c>
      <c r="AB7" s="9">
        <f>IFERROR(tblDespesas[[#This Row],[Out]]/tblDespesas[[#Totals],[Out]],"-")</f>
        <v>2.318840579710145E-2</v>
      </c>
      <c r="AC7" s="9">
        <f>IFERROR(tblDespesas[[#This Row],[Nov]]/tblDespesas[[#Totals],[Nov]],"-")</f>
        <v>1.020408163265306E-2</v>
      </c>
      <c r="AD7" s="9">
        <f>IFERROR(tblDespesas[[#This Row],[Dez]]/tblDespesas[[#Totals],[Dez]],"-")</f>
        <v>4.5627376425855515E-2</v>
      </c>
      <c r="AE7" s="46">
        <f>IFERROR(tblDespesas[[#This Row],[Anualmente]]/tblDespesas[[#Totals],[Anualmente]],"-")</f>
        <v>4.1404612159329141E-2</v>
      </c>
    </row>
    <row r="8" spans="2:31" ht="30" customHeight="1" x14ac:dyDescent="0.2">
      <c r="B8" s="36" t="s">
        <v>43</v>
      </c>
      <c r="C8" t="s">
        <v>58</v>
      </c>
      <c r="D8" s="79">
        <v>23</v>
      </c>
      <c r="E8" s="79">
        <v>11</v>
      </c>
      <c r="F8" s="79">
        <v>7</v>
      </c>
      <c r="G8" s="79">
        <v>14</v>
      </c>
      <c r="H8" s="79">
        <v>12</v>
      </c>
      <c r="I8" s="79">
        <v>19</v>
      </c>
      <c r="J8" s="79">
        <v>19</v>
      </c>
      <c r="K8" s="79">
        <v>4</v>
      </c>
      <c r="L8" s="79">
        <v>7</v>
      </c>
      <c r="M8" s="79">
        <v>13</v>
      </c>
      <c r="N8" s="79">
        <v>25</v>
      </c>
      <c r="O8" s="79">
        <v>5</v>
      </c>
      <c r="P8" s="97">
        <f>SUM(tblDespesas[[#This Row],[Jan]:[Dez]])</f>
        <v>159</v>
      </c>
      <c r="Q8" s="104"/>
      <c r="R8" s="9">
        <v>0.09</v>
      </c>
      <c r="S8" s="45">
        <f>IFERROR(tblDespesas[[#This Row],[Jan]]/tblDespesas[[#Totals],[Jan]],"-")</f>
        <v>8.2437275985663083E-2</v>
      </c>
      <c r="T8" s="9">
        <f>IFERROR(tblDespesas[[#This Row],[Fev]]/tblDespesas[[#Totals],[Fev]],"-")</f>
        <v>3.9426523297491037E-2</v>
      </c>
      <c r="U8" s="9">
        <f>IFERROR(tblDespesas[[#This Row],[Mar]]/tblDespesas[[#Totals],[Mar]],"-")</f>
        <v>2.2508038585209004E-2</v>
      </c>
      <c r="V8" s="9">
        <f>IFERROR(tblDespesas[[#This Row],[Abr]]/tblDespesas[[#Totals],[Abr]],"-")</f>
        <v>4.2944785276073622E-2</v>
      </c>
      <c r="W8" s="9">
        <f>IFERROR(tblDespesas[[#This Row],[Mai]]/tblDespesas[[#Totals],[Mai]],"-")</f>
        <v>3.9087947882736153E-2</v>
      </c>
      <c r="X8" s="9">
        <f>IFERROR(tblDespesas[[#This Row],[Jun]]/tblDespesas[[#Totals],[Jun]],"-")</f>
        <v>4.9222797927461141E-2</v>
      </c>
      <c r="Y8" s="9">
        <f>IFERROR(tblDespesas[[#This Row],[Jul]]/tblDespesas[[#Totals],[Jul]],"-")</f>
        <v>5.6213017751479293E-2</v>
      </c>
      <c r="Z8" s="9">
        <f>IFERROR(tblDespesas[[#This Row],[Ago]]/tblDespesas[[#Totals],[Ago]],"-")</f>
        <v>1.3333333333333334E-2</v>
      </c>
      <c r="AA8" s="9">
        <f>IFERROR(tblDespesas[[#This Row],[Set]]/tblDespesas[[#Totals],[Set]],"-")</f>
        <v>2.4137931034482758E-2</v>
      </c>
      <c r="AB8" s="9">
        <f>IFERROR(tblDespesas[[#This Row],[Out]]/tblDespesas[[#Totals],[Out]],"-")</f>
        <v>3.7681159420289857E-2</v>
      </c>
      <c r="AC8" s="9">
        <f>IFERROR(tblDespesas[[#This Row],[Nov]]/tblDespesas[[#Totals],[Nov]],"-")</f>
        <v>6.3775510204081634E-2</v>
      </c>
      <c r="AD8" s="9">
        <f>IFERROR(tblDespesas[[#This Row],[Dez]]/tblDespesas[[#Totals],[Dez]],"-")</f>
        <v>1.9011406844106463E-2</v>
      </c>
      <c r="AE8" s="46">
        <f>IFERROR(tblDespesas[[#This Row],[Anualmente]]/tblDespesas[[#Totals],[Anualmente]],"-")</f>
        <v>4.1666666666666664E-2</v>
      </c>
    </row>
    <row r="9" spans="2:31" ht="30" customHeight="1" x14ac:dyDescent="0.2">
      <c r="B9" s="36" t="s">
        <v>44</v>
      </c>
      <c r="C9" t="s">
        <v>58</v>
      </c>
      <c r="D9" s="79">
        <v>23</v>
      </c>
      <c r="E9" s="79">
        <v>20</v>
      </c>
      <c r="F9" s="79">
        <v>3</v>
      </c>
      <c r="G9" s="79">
        <v>16</v>
      </c>
      <c r="H9" s="79">
        <v>10</v>
      </c>
      <c r="I9" s="79">
        <v>5</v>
      </c>
      <c r="J9" s="79">
        <v>20</v>
      </c>
      <c r="K9" s="79">
        <v>7</v>
      </c>
      <c r="L9" s="79">
        <v>4</v>
      </c>
      <c r="M9" s="79">
        <v>22</v>
      </c>
      <c r="N9" s="79">
        <v>13</v>
      </c>
      <c r="O9" s="79">
        <v>14</v>
      </c>
      <c r="P9" s="97">
        <f>SUM(tblDespesas[[#This Row],[Jan]:[Dez]])</f>
        <v>157</v>
      </c>
      <c r="Q9" s="104"/>
      <c r="R9" s="9">
        <v>0.02</v>
      </c>
      <c r="S9" s="45">
        <f>IFERROR(tblDespesas[[#This Row],[Jan]]/tblDespesas[[#Totals],[Jan]],"-")</f>
        <v>8.2437275985663083E-2</v>
      </c>
      <c r="T9" s="9">
        <f>IFERROR(tblDespesas[[#This Row],[Fev]]/tblDespesas[[#Totals],[Fev]],"-")</f>
        <v>7.1684587813620068E-2</v>
      </c>
      <c r="U9" s="9">
        <f>IFERROR(tblDespesas[[#This Row],[Mar]]/tblDespesas[[#Totals],[Mar]],"-")</f>
        <v>9.6463022508038593E-3</v>
      </c>
      <c r="V9" s="9">
        <f>IFERROR(tblDespesas[[#This Row],[Abr]]/tblDespesas[[#Totals],[Abr]],"-")</f>
        <v>4.9079754601226995E-2</v>
      </c>
      <c r="W9" s="9">
        <f>IFERROR(tblDespesas[[#This Row],[Mai]]/tblDespesas[[#Totals],[Mai]],"-")</f>
        <v>3.2573289902280131E-2</v>
      </c>
      <c r="X9" s="9">
        <f>IFERROR(tblDespesas[[#This Row],[Jun]]/tblDespesas[[#Totals],[Jun]],"-")</f>
        <v>1.2953367875647668E-2</v>
      </c>
      <c r="Y9" s="9">
        <f>IFERROR(tblDespesas[[#This Row],[Jul]]/tblDespesas[[#Totals],[Jul]],"-")</f>
        <v>5.9171597633136092E-2</v>
      </c>
      <c r="Z9" s="9">
        <f>IFERROR(tblDespesas[[#This Row],[Ago]]/tblDespesas[[#Totals],[Ago]],"-")</f>
        <v>2.3333333333333334E-2</v>
      </c>
      <c r="AA9" s="9">
        <f>IFERROR(tblDespesas[[#This Row],[Set]]/tblDespesas[[#Totals],[Set]],"-")</f>
        <v>1.3793103448275862E-2</v>
      </c>
      <c r="AB9" s="9">
        <f>IFERROR(tblDespesas[[#This Row],[Out]]/tblDespesas[[#Totals],[Out]],"-")</f>
        <v>6.3768115942028983E-2</v>
      </c>
      <c r="AC9" s="9">
        <f>IFERROR(tblDespesas[[#This Row],[Nov]]/tblDespesas[[#Totals],[Nov]],"-")</f>
        <v>3.3163265306122451E-2</v>
      </c>
      <c r="AD9" s="9">
        <f>IFERROR(tblDespesas[[#This Row],[Dez]]/tblDespesas[[#Totals],[Dez]],"-")</f>
        <v>5.3231939163498096E-2</v>
      </c>
      <c r="AE9" s="46">
        <f>IFERROR(tblDespesas[[#This Row],[Anualmente]]/tblDespesas[[#Totals],[Anualmente]],"-")</f>
        <v>4.1142557651991617E-2</v>
      </c>
    </row>
    <row r="10" spans="2:31" ht="30" customHeight="1" x14ac:dyDescent="0.2">
      <c r="B10" s="36" t="s">
        <v>45</v>
      </c>
      <c r="C10" t="s">
        <v>58</v>
      </c>
      <c r="D10" s="79">
        <v>19</v>
      </c>
      <c r="E10" s="79">
        <v>4</v>
      </c>
      <c r="F10" s="79">
        <v>7</v>
      </c>
      <c r="G10" s="79">
        <v>14</v>
      </c>
      <c r="H10" s="79">
        <v>22</v>
      </c>
      <c r="I10" s="79">
        <v>10</v>
      </c>
      <c r="J10" s="79">
        <v>22</v>
      </c>
      <c r="K10" s="79">
        <v>5</v>
      </c>
      <c r="L10" s="79">
        <v>4</v>
      </c>
      <c r="M10" s="79">
        <v>12</v>
      </c>
      <c r="N10" s="79">
        <v>18</v>
      </c>
      <c r="O10" s="79">
        <v>24</v>
      </c>
      <c r="P10" s="97">
        <f>SUM(tblDespesas[[#This Row],[Jan]:[Dez]])</f>
        <v>161</v>
      </c>
      <c r="Q10" s="104"/>
      <c r="R10" s="9">
        <v>0.08</v>
      </c>
      <c r="S10" s="45">
        <f>IFERROR(tblDespesas[[#This Row],[Jan]]/tblDespesas[[#Totals],[Jan]],"-")</f>
        <v>6.8100358422939072E-2</v>
      </c>
      <c r="T10" s="9">
        <f>IFERROR(tblDespesas[[#This Row],[Fev]]/tblDespesas[[#Totals],[Fev]],"-")</f>
        <v>1.4336917562724014E-2</v>
      </c>
      <c r="U10" s="9">
        <f>IFERROR(tblDespesas[[#This Row],[Mar]]/tblDespesas[[#Totals],[Mar]],"-")</f>
        <v>2.2508038585209004E-2</v>
      </c>
      <c r="V10" s="9">
        <f>IFERROR(tblDespesas[[#This Row],[Abr]]/tblDespesas[[#Totals],[Abr]],"-")</f>
        <v>4.2944785276073622E-2</v>
      </c>
      <c r="W10" s="9">
        <f>IFERROR(tblDespesas[[#This Row],[Mai]]/tblDespesas[[#Totals],[Mai]],"-")</f>
        <v>7.1661237785016291E-2</v>
      </c>
      <c r="X10" s="9">
        <f>IFERROR(tblDespesas[[#This Row],[Jun]]/tblDespesas[[#Totals],[Jun]],"-")</f>
        <v>2.5906735751295335E-2</v>
      </c>
      <c r="Y10" s="9">
        <f>IFERROR(tblDespesas[[#This Row],[Jul]]/tblDespesas[[#Totals],[Jul]],"-")</f>
        <v>6.5088757396449703E-2</v>
      </c>
      <c r="Z10" s="9">
        <f>IFERROR(tblDespesas[[#This Row],[Ago]]/tblDespesas[[#Totals],[Ago]],"-")</f>
        <v>1.6666666666666666E-2</v>
      </c>
      <c r="AA10" s="9">
        <f>IFERROR(tblDespesas[[#This Row],[Set]]/tblDespesas[[#Totals],[Set]],"-")</f>
        <v>1.3793103448275862E-2</v>
      </c>
      <c r="AB10" s="9">
        <f>IFERROR(tblDespesas[[#This Row],[Out]]/tblDespesas[[#Totals],[Out]],"-")</f>
        <v>3.4782608695652174E-2</v>
      </c>
      <c r="AC10" s="9">
        <f>IFERROR(tblDespesas[[#This Row],[Nov]]/tblDespesas[[#Totals],[Nov]],"-")</f>
        <v>4.5918367346938778E-2</v>
      </c>
      <c r="AD10" s="9">
        <f>IFERROR(tblDespesas[[#This Row],[Dez]]/tblDespesas[[#Totals],[Dez]],"-")</f>
        <v>9.125475285171103E-2</v>
      </c>
      <c r="AE10" s="46">
        <f>IFERROR(tblDespesas[[#This Row],[Anualmente]]/tblDespesas[[#Totals],[Anualmente]],"-")</f>
        <v>4.2190775681341719E-2</v>
      </c>
    </row>
    <row r="11" spans="2:31" ht="30" customHeight="1" x14ac:dyDescent="0.2">
      <c r="B11" s="36" t="s">
        <v>46</v>
      </c>
      <c r="C11" t="s">
        <v>58</v>
      </c>
      <c r="D11" s="79">
        <v>11</v>
      </c>
      <c r="E11" s="79">
        <v>11</v>
      </c>
      <c r="F11" s="79">
        <v>17</v>
      </c>
      <c r="G11" s="79">
        <v>12</v>
      </c>
      <c r="H11" s="79">
        <v>2</v>
      </c>
      <c r="I11" s="79">
        <v>14</v>
      </c>
      <c r="J11" s="79">
        <v>12</v>
      </c>
      <c r="K11" s="79">
        <v>10</v>
      </c>
      <c r="L11" s="79">
        <v>18</v>
      </c>
      <c r="M11" s="79">
        <v>11</v>
      </c>
      <c r="N11" s="79">
        <v>23</v>
      </c>
      <c r="O11" s="79">
        <v>11</v>
      </c>
      <c r="P11" s="97">
        <f>SUM(tblDespesas[[#This Row],[Jan]:[Dez]])</f>
        <v>152</v>
      </c>
      <c r="Q11" s="104"/>
      <c r="R11" s="9">
        <v>0.03</v>
      </c>
      <c r="S11" s="45">
        <f>IFERROR(tblDespesas[[#This Row],[Jan]]/tblDespesas[[#Totals],[Jan]],"-")</f>
        <v>3.9426523297491037E-2</v>
      </c>
      <c r="T11" s="9">
        <f>IFERROR(tblDespesas[[#This Row],[Fev]]/tblDespesas[[#Totals],[Fev]],"-")</f>
        <v>3.9426523297491037E-2</v>
      </c>
      <c r="U11" s="9">
        <f>IFERROR(tblDespesas[[#This Row],[Mar]]/tblDespesas[[#Totals],[Mar]],"-")</f>
        <v>5.4662379421221867E-2</v>
      </c>
      <c r="V11" s="9">
        <f>IFERROR(tblDespesas[[#This Row],[Abr]]/tblDespesas[[#Totals],[Abr]],"-")</f>
        <v>3.6809815950920248E-2</v>
      </c>
      <c r="W11" s="9">
        <f>IFERROR(tblDespesas[[#This Row],[Mai]]/tblDespesas[[#Totals],[Mai]],"-")</f>
        <v>6.5146579804560263E-3</v>
      </c>
      <c r="X11" s="9">
        <f>IFERROR(tblDespesas[[#This Row],[Jun]]/tblDespesas[[#Totals],[Jun]],"-")</f>
        <v>3.6269430051813469E-2</v>
      </c>
      <c r="Y11" s="9">
        <f>IFERROR(tblDespesas[[#This Row],[Jul]]/tblDespesas[[#Totals],[Jul]],"-")</f>
        <v>3.5502958579881658E-2</v>
      </c>
      <c r="Z11" s="9">
        <f>IFERROR(tblDespesas[[#This Row],[Ago]]/tblDespesas[[#Totals],[Ago]],"-")</f>
        <v>3.3333333333333333E-2</v>
      </c>
      <c r="AA11" s="9">
        <f>IFERROR(tblDespesas[[#This Row],[Set]]/tblDespesas[[#Totals],[Set]],"-")</f>
        <v>6.2068965517241378E-2</v>
      </c>
      <c r="AB11" s="9">
        <f>IFERROR(tblDespesas[[#This Row],[Out]]/tblDespesas[[#Totals],[Out]],"-")</f>
        <v>3.1884057971014491E-2</v>
      </c>
      <c r="AC11" s="9">
        <f>IFERROR(tblDespesas[[#This Row],[Nov]]/tblDespesas[[#Totals],[Nov]],"-")</f>
        <v>5.8673469387755105E-2</v>
      </c>
      <c r="AD11" s="9">
        <f>IFERROR(tblDespesas[[#This Row],[Dez]]/tblDespesas[[#Totals],[Dez]],"-")</f>
        <v>4.1825095057034217E-2</v>
      </c>
      <c r="AE11" s="46">
        <f>IFERROR(tblDespesas[[#This Row],[Anualmente]]/tblDespesas[[#Totals],[Anualmente]],"-")</f>
        <v>3.9832285115303984E-2</v>
      </c>
    </row>
    <row r="12" spans="2:31" ht="30" customHeight="1" x14ac:dyDescent="0.2">
      <c r="B12" s="36" t="s">
        <v>47</v>
      </c>
      <c r="C12" t="s">
        <v>58</v>
      </c>
      <c r="D12" s="98">
        <v>2</v>
      </c>
      <c r="E12" s="98">
        <v>16</v>
      </c>
      <c r="F12" s="98">
        <v>6</v>
      </c>
      <c r="G12" s="98">
        <v>13</v>
      </c>
      <c r="H12" s="98">
        <v>11</v>
      </c>
      <c r="I12" s="98">
        <v>22</v>
      </c>
      <c r="J12" s="98">
        <v>21</v>
      </c>
      <c r="K12" s="98">
        <v>3</v>
      </c>
      <c r="L12" s="98">
        <v>12</v>
      </c>
      <c r="M12" s="98">
        <v>7</v>
      </c>
      <c r="N12" s="98">
        <v>17</v>
      </c>
      <c r="O12" s="98">
        <v>20</v>
      </c>
      <c r="P12" s="99">
        <f>SUM(tblDespesas[[#This Row],[Jan]:[Dez]])</f>
        <v>150</v>
      </c>
      <c r="Q12" s="105"/>
      <c r="R12" s="9">
        <v>0.15</v>
      </c>
      <c r="S12" s="45">
        <f>IFERROR(tblDespesas[[#This Row],[Jan]]/tblDespesas[[#Totals],[Jan]],"-")</f>
        <v>7.1684587813620072E-3</v>
      </c>
      <c r="T12" s="9">
        <f>IFERROR(tblDespesas[[#This Row],[Fev]]/tblDespesas[[#Totals],[Fev]],"-")</f>
        <v>5.7347670250896057E-2</v>
      </c>
      <c r="U12" s="9">
        <f>IFERROR(tblDespesas[[#This Row],[Mar]]/tblDespesas[[#Totals],[Mar]],"-")</f>
        <v>1.9292604501607719E-2</v>
      </c>
      <c r="V12" s="9">
        <f>IFERROR(tblDespesas[[#This Row],[Abr]]/tblDespesas[[#Totals],[Abr]],"-")</f>
        <v>3.9877300613496931E-2</v>
      </c>
      <c r="W12" s="9">
        <f>IFERROR(tblDespesas[[#This Row],[Mai]]/tblDespesas[[#Totals],[Mai]],"-")</f>
        <v>3.5830618892508145E-2</v>
      </c>
      <c r="X12" s="9">
        <f>IFERROR(tblDespesas[[#This Row],[Jun]]/tblDespesas[[#Totals],[Jun]],"-")</f>
        <v>5.6994818652849742E-2</v>
      </c>
      <c r="Y12" s="9">
        <f>IFERROR(tblDespesas[[#This Row],[Jul]]/tblDespesas[[#Totals],[Jul]],"-")</f>
        <v>6.2130177514792898E-2</v>
      </c>
      <c r="Z12" s="9">
        <f>IFERROR(tblDespesas[[#This Row],[Ago]]/tblDespesas[[#Totals],[Ago]],"-")</f>
        <v>0.01</v>
      </c>
      <c r="AA12" s="9">
        <f>IFERROR(tblDespesas[[#This Row],[Set]]/tblDespesas[[#Totals],[Set]],"-")</f>
        <v>4.1379310344827586E-2</v>
      </c>
      <c r="AB12" s="9">
        <f>IFERROR(tblDespesas[[#This Row],[Out]]/tblDespesas[[#Totals],[Out]],"-")</f>
        <v>2.0289855072463767E-2</v>
      </c>
      <c r="AC12" s="9">
        <f>IFERROR(tblDespesas[[#This Row],[Nov]]/tblDespesas[[#Totals],[Nov]],"-")</f>
        <v>4.336734693877551E-2</v>
      </c>
      <c r="AD12" s="9">
        <f>IFERROR(tblDespesas[[#This Row],[Dez]]/tblDespesas[[#Totals],[Dez]],"-")</f>
        <v>7.6045627376425853E-2</v>
      </c>
      <c r="AE12" s="46">
        <f>IFERROR(tblDespesas[[#This Row],[Anualmente]]/tblDespesas[[#Totals],[Anualmente]],"-")</f>
        <v>3.9308176100628929E-2</v>
      </c>
    </row>
    <row r="13" spans="2:31" ht="30" customHeight="1" x14ac:dyDescent="0.2">
      <c r="B13" s="36" t="s">
        <v>48</v>
      </c>
      <c r="C13" t="s">
        <v>58</v>
      </c>
      <c r="D13" s="98">
        <v>8</v>
      </c>
      <c r="E13" s="98">
        <v>17</v>
      </c>
      <c r="F13" s="98">
        <v>11</v>
      </c>
      <c r="G13" s="98">
        <v>11</v>
      </c>
      <c r="H13" s="98">
        <v>21</v>
      </c>
      <c r="I13" s="98">
        <v>9</v>
      </c>
      <c r="J13" s="98">
        <v>20</v>
      </c>
      <c r="K13" s="98">
        <v>3</v>
      </c>
      <c r="L13" s="98">
        <v>14</v>
      </c>
      <c r="M13" s="98">
        <v>22</v>
      </c>
      <c r="N13" s="98">
        <v>16</v>
      </c>
      <c r="O13" s="98">
        <v>12</v>
      </c>
      <c r="P13" s="99">
        <f>SUM(tblDespesas[[#This Row],[Jan]:[Dez]])</f>
        <v>164</v>
      </c>
      <c r="Q13" s="105"/>
      <c r="R13" s="9">
        <v>0.12</v>
      </c>
      <c r="S13" s="45">
        <f>IFERROR(tblDespesas[[#This Row],[Jan]]/tblDespesas[[#Totals],[Jan]],"-")</f>
        <v>2.8673835125448029E-2</v>
      </c>
      <c r="T13" s="9">
        <f>IFERROR(tblDespesas[[#This Row],[Fev]]/tblDespesas[[#Totals],[Fev]],"-")</f>
        <v>6.093189964157706E-2</v>
      </c>
      <c r="U13" s="9">
        <f>IFERROR(tblDespesas[[#This Row],[Mar]]/tblDespesas[[#Totals],[Mar]],"-")</f>
        <v>3.5369774919614148E-2</v>
      </c>
      <c r="V13" s="9">
        <f>IFERROR(tblDespesas[[#This Row],[Abr]]/tblDespesas[[#Totals],[Abr]],"-")</f>
        <v>3.3742331288343558E-2</v>
      </c>
      <c r="W13" s="9">
        <f>IFERROR(tblDespesas[[#This Row],[Mai]]/tblDespesas[[#Totals],[Mai]],"-")</f>
        <v>6.8403908794788276E-2</v>
      </c>
      <c r="X13" s="9">
        <f>IFERROR(tblDespesas[[#This Row],[Jun]]/tblDespesas[[#Totals],[Jun]],"-")</f>
        <v>2.3316062176165803E-2</v>
      </c>
      <c r="Y13" s="9">
        <f>IFERROR(tblDespesas[[#This Row],[Jul]]/tblDespesas[[#Totals],[Jul]],"-")</f>
        <v>5.9171597633136092E-2</v>
      </c>
      <c r="Z13" s="9">
        <f>IFERROR(tblDespesas[[#This Row],[Ago]]/tblDespesas[[#Totals],[Ago]],"-")</f>
        <v>0.01</v>
      </c>
      <c r="AA13" s="9">
        <f>IFERROR(tblDespesas[[#This Row],[Set]]/tblDespesas[[#Totals],[Set]],"-")</f>
        <v>4.8275862068965517E-2</v>
      </c>
      <c r="AB13" s="9">
        <f>IFERROR(tblDespesas[[#This Row],[Out]]/tblDespesas[[#Totals],[Out]],"-")</f>
        <v>6.3768115942028983E-2</v>
      </c>
      <c r="AC13" s="9">
        <f>IFERROR(tblDespesas[[#This Row],[Nov]]/tblDespesas[[#Totals],[Nov]],"-")</f>
        <v>4.0816326530612242E-2</v>
      </c>
      <c r="AD13" s="9">
        <f>IFERROR(tblDespesas[[#This Row],[Dez]]/tblDespesas[[#Totals],[Dez]],"-")</f>
        <v>4.5627376425855515E-2</v>
      </c>
      <c r="AE13" s="46">
        <f>IFERROR(tblDespesas[[#This Row],[Anualmente]]/tblDespesas[[#Totals],[Anualmente]],"-")</f>
        <v>4.2976939203354297E-2</v>
      </c>
    </row>
    <row r="14" spans="2:31" ht="30" customHeight="1" x14ac:dyDescent="0.2">
      <c r="B14" s="36" t="s">
        <v>49</v>
      </c>
      <c r="C14" t="s">
        <v>58</v>
      </c>
      <c r="D14" s="98">
        <v>5</v>
      </c>
      <c r="E14" s="98">
        <v>13</v>
      </c>
      <c r="F14" s="98">
        <v>6</v>
      </c>
      <c r="G14" s="98">
        <v>15</v>
      </c>
      <c r="H14" s="98">
        <v>19</v>
      </c>
      <c r="I14" s="98">
        <v>10</v>
      </c>
      <c r="J14" s="98">
        <v>12</v>
      </c>
      <c r="K14" s="98">
        <v>9</v>
      </c>
      <c r="L14" s="98">
        <v>15</v>
      </c>
      <c r="M14" s="98">
        <v>16</v>
      </c>
      <c r="N14" s="98">
        <v>4</v>
      </c>
      <c r="O14" s="98">
        <v>9</v>
      </c>
      <c r="P14" s="99">
        <f>SUM(tblDespesas[[#This Row],[Jan]:[Dez]])</f>
        <v>133</v>
      </c>
      <c r="Q14" s="105"/>
      <c r="R14" s="9">
        <v>0.09</v>
      </c>
      <c r="S14" s="45">
        <f>IFERROR(tblDespesas[[#This Row],[Jan]]/tblDespesas[[#Totals],[Jan]],"-")</f>
        <v>1.7921146953405017E-2</v>
      </c>
      <c r="T14" s="9">
        <f>IFERROR(tblDespesas[[#This Row],[Fev]]/tblDespesas[[#Totals],[Fev]],"-")</f>
        <v>4.6594982078853049E-2</v>
      </c>
      <c r="U14" s="9">
        <f>IFERROR(tblDespesas[[#This Row],[Mar]]/tblDespesas[[#Totals],[Mar]],"-")</f>
        <v>1.9292604501607719E-2</v>
      </c>
      <c r="V14" s="9">
        <f>IFERROR(tblDespesas[[#This Row],[Abr]]/tblDespesas[[#Totals],[Abr]],"-")</f>
        <v>4.6012269938650305E-2</v>
      </c>
      <c r="W14" s="9">
        <f>IFERROR(tblDespesas[[#This Row],[Mai]]/tblDespesas[[#Totals],[Mai]],"-")</f>
        <v>6.1889250814332247E-2</v>
      </c>
      <c r="X14" s="9">
        <f>IFERROR(tblDespesas[[#This Row],[Jun]]/tblDespesas[[#Totals],[Jun]],"-")</f>
        <v>2.5906735751295335E-2</v>
      </c>
      <c r="Y14" s="9">
        <f>IFERROR(tblDespesas[[#This Row],[Jul]]/tblDespesas[[#Totals],[Jul]],"-")</f>
        <v>3.5502958579881658E-2</v>
      </c>
      <c r="Z14" s="9">
        <f>IFERROR(tblDespesas[[#This Row],[Ago]]/tblDespesas[[#Totals],[Ago]],"-")</f>
        <v>0.03</v>
      </c>
      <c r="AA14" s="9">
        <f>IFERROR(tblDespesas[[#This Row],[Set]]/tblDespesas[[#Totals],[Set]],"-")</f>
        <v>5.1724137931034482E-2</v>
      </c>
      <c r="AB14" s="9">
        <f>IFERROR(tblDespesas[[#This Row],[Out]]/tblDespesas[[#Totals],[Out]],"-")</f>
        <v>4.6376811594202899E-2</v>
      </c>
      <c r="AC14" s="9">
        <f>IFERROR(tblDespesas[[#This Row],[Nov]]/tblDespesas[[#Totals],[Nov]],"-")</f>
        <v>1.020408163265306E-2</v>
      </c>
      <c r="AD14" s="9">
        <f>IFERROR(tblDespesas[[#This Row],[Dez]]/tblDespesas[[#Totals],[Dez]],"-")</f>
        <v>3.4220532319391636E-2</v>
      </c>
      <c r="AE14" s="46">
        <f>IFERROR(tblDespesas[[#This Row],[Anualmente]]/tblDespesas[[#Totals],[Anualmente]],"-")</f>
        <v>3.4853249475890982E-2</v>
      </c>
    </row>
    <row r="15" spans="2:31" ht="30" customHeight="1" x14ac:dyDescent="0.2">
      <c r="B15" s="36" t="s">
        <v>50</v>
      </c>
      <c r="C15" t="s">
        <v>58</v>
      </c>
      <c r="D15" s="98">
        <v>8</v>
      </c>
      <c r="E15" s="98">
        <v>4</v>
      </c>
      <c r="F15" s="98">
        <v>23</v>
      </c>
      <c r="G15" s="98">
        <v>25</v>
      </c>
      <c r="H15" s="98">
        <v>10</v>
      </c>
      <c r="I15" s="98">
        <v>24</v>
      </c>
      <c r="J15" s="98">
        <v>22</v>
      </c>
      <c r="K15" s="98">
        <v>5</v>
      </c>
      <c r="L15" s="98">
        <v>12</v>
      </c>
      <c r="M15" s="98">
        <v>24</v>
      </c>
      <c r="N15" s="98">
        <v>24</v>
      </c>
      <c r="O15" s="98">
        <v>12</v>
      </c>
      <c r="P15" s="99">
        <f>SUM(tblDespesas[[#This Row],[Jan]:[Dez]])</f>
        <v>193</v>
      </c>
      <c r="Q15" s="105"/>
      <c r="R15" s="9">
        <v>0.01</v>
      </c>
      <c r="S15" s="45">
        <f>IFERROR(tblDespesas[[#This Row],[Jan]]/tblDespesas[[#Totals],[Jan]],"-")</f>
        <v>2.8673835125448029E-2</v>
      </c>
      <c r="T15" s="9">
        <f>IFERROR(tblDespesas[[#This Row],[Fev]]/tblDespesas[[#Totals],[Fev]],"-")</f>
        <v>1.4336917562724014E-2</v>
      </c>
      <c r="U15" s="9">
        <f>IFERROR(tblDespesas[[#This Row],[Mar]]/tblDespesas[[#Totals],[Mar]],"-")</f>
        <v>7.3954983922829579E-2</v>
      </c>
      <c r="V15" s="9">
        <f>IFERROR(tblDespesas[[#This Row],[Abr]]/tblDespesas[[#Totals],[Abr]],"-")</f>
        <v>7.6687116564417179E-2</v>
      </c>
      <c r="W15" s="9">
        <f>IFERROR(tblDespesas[[#This Row],[Mai]]/tblDespesas[[#Totals],[Mai]],"-")</f>
        <v>3.2573289902280131E-2</v>
      </c>
      <c r="X15" s="9">
        <f>IFERROR(tblDespesas[[#This Row],[Jun]]/tblDespesas[[#Totals],[Jun]],"-")</f>
        <v>6.2176165803108807E-2</v>
      </c>
      <c r="Y15" s="9">
        <f>IFERROR(tblDespesas[[#This Row],[Jul]]/tblDespesas[[#Totals],[Jul]],"-")</f>
        <v>6.5088757396449703E-2</v>
      </c>
      <c r="Z15" s="9">
        <f>IFERROR(tblDespesas[[#This Row],[Ago]]/tblDespesas[[#Totals],[Ago]],"-")</f>
        <v>1.6666666666666666E-2</v>
      </c>
      <c r="AA15" s="9">
        <f>IFERROR(tblDespesas[[#This Row],[Set]]/tblDespesas[[#Totals],[Set]],"-")</f>
        <v>4.1379310344827586E-2</v>
      </c>
      <c r="AB15" s="9">
        <f>IFERROR(tblDespesas[[#This Row],[Out]]/tblDespesas[[#Totals],[Out]],"-")</f>
        <v>6.9565217391304349E-2</v>
      </c>
      <c r="AC15" s="9">
        <f>IFERROR(tblDespesas[[#This Row],[Nov]]/tblDespesas[[#Totals],[Nov]],"-")</f>
        <v>6.1224489795918366E-2</v>
      </c>
      <c r="AD15" s="9">
        <f>IFERROR(tblDespesas[[#This Row],[Dez]]/tblDespesas[[#Totals],[Dez]],"-")</f>
        <v>4.5627376425855515E-2</v>
      </c>
      <c r="AE15" s="46">
        <f>IFERROR(tblDespesas[[#This Row],[Anualmente]]/tblDespesas[[#Totals],[Anualmente]],"-")</f>
        <v>5.0576519916142558E-2</v>
      </c>
    </row>
    <row r="16" spans="2:31" ht="30" customHeight="1" x14ac:dyDescent="0.2">
      <c r="B16" s="36" t="s">
        <v>62</v>
      </c>
      <c r="C16" t="s">
        <v>58</v>
      </c>
      <c r="D16" s="98">
        <v>8</v>
      </c>
      <c r="E16" s="98">
        <v>4</v>
      </c>
      <c r="F16" s="98">
        <v>23</v>
      </c>
      <c r="G16" s="98">
        <v>25</v>
      </c>
      <c r="H16" s="98">
        <v>10</v>
      </c>
      <c r="I16" s="98">
        <v>24</v>
      </c>
      <c r="J16" s="98">
        <v>22</v>
      </c>
      <c r="K16" s="98">
        <v>5</v>
      </c>
      <c r="L16" s="98">
        <v>12</v>
      </c>
      <c r="M16" s="98">
        <v>24</v>
      </c>
      <c r="N16" s="98">
        <v>24</v>
      </c>
      <c r="O16" s="98">
        <v>12</v>
      </c>
      <c r="P16" s="99">
        <f>SUM(tblDespesas[[#This Row],[Jan]:[Dez]])</f>
        <v>193</v>
      </c>
      <c r="Q16" s="105"/>
      <c r="R16" s="9">
        <v>0.01</v>
      </c>
      <c r="S16" s="45">
        <f>IFERROR(tblDespesas[[#This Row],[Jan]]/tblDespesas[[#Totals],[Jan]],"-")</f>
        <v>2.8673835125448029E-2</v>
      </c>
      <c r="T16" s="9">
        <f>IFERROR(tblDespesas[[#This Row],[Fev]]/tblDespesas[[#Totals],[Fev]],"-")</f>
        <v>1.4336917562724014E-2</v>
      </c>
      <c r="U16" s="9">
        <f>IFERROR(tblDespesas[[#This Row],[Mar]]/tblDespesas[[#Totals],[Mar]],"-")</f>
        <v>7.3954983922829579E-2</v>
      </c>
      <c r="V16" s="9">
        <f>IFERROR(tblDespesas[[#This Row],[Abr]]/tblDespesas[[#Totals],[Abr]],"-")</f>
        <v>7.6687116564417179E-2</v>
      </c>
      <c r="W16" s="9">
        <f>IFERROR(tblDespesas[[#This Row],[Mai]]/tblDespesas[[#Totals],[Mai]],"-")</f>
        <v>3.2573289902280131E-2</v>
      </c>
      <c r="X16" s="9">
        <f>IFERROR(tblDespesas[[#This Row],[Jun]]/tblDespesas[[#Totals],[Jun]],"-")</f>
        <v>6.2176165803108807E-2</v>
      </c>
      <c r="Y16" s="9">
        <f>IFERROR(tblDespesas[[#This Row],[Jul]]/tblDespesas[[#Totals],[Jul]],"-")</f>
        <v>6.5088757396449703E-2</v>
      </c>
      <c r="Z16" s="9">
        <f>IFERROR(tblDespesas[[#This Row],[Ago]]/tblDespesas[[#Totals],[Ago]],"-")</f>
        <v>1.6666666666666666E-2</v>
      </c>
      <c r="AA16" s="9">
        <f>IFERROR(tblDespesas[[#This Row],[Set]]/tblDespesas[[#Totals],[Set]],"-")</f>
        <v>4.1379310344827586E-2</v>
      </c>
      <c r="AB16" s="9">
        <f>IFERROR(tblDespesas[[#This Row],[Out]]/tblDespesas[[#Totals],[Out]],"-")</f>
        <v>6.9565217391304349E-2</v>
      </c>
      <c r="AC16" s="9">
        <f>IFERROR(tblDespesas[[#This Row],[Nov]]/tblDespesas[[#Totals],[Nov]],"-")</f>
        <v>6.1224489795918366E-2</v>
      </c>
      <c r="AD16" s="9">
        <f>IFERROR(tblDespesas[[#This Row],[Dez]]/tblDespesas[[#Totals],[Dez]],"-")</f>
        <v>4.5627376425855515E-2</v>
      </c>
      <c r="AE16" s="46">
        <f>IFERROR(tblDespesas[[#This Row],[Anualmente]]/tblDespesas[[#Totals],[Anualmente]],"-")</f>
        <v>5.0576519916142558E-2</v>
      </c>
    </row>
    <row r="17" spans="2:31" ht="30" customHeight="1" x14ac:dyDescent="0.2">
      <c r="B17" s="36" t="s">
        <v>63</v>
      </c>
      <c r="C17" t="s">
        <v>58</v>
      </c>
      <c r="D17" s="98">
        <v>25</v>
      </c>
      <c r="E17" s="98">
        <v>2</v>
      </c>
      <c r="F17" s="98">
        <v>12</v>
      </c>
      <c r="G17" s="98">
        <v>25</v>
      </c>
      <c r="H17" s="98">
        <v>10</v>
      </c>
      <c r="I17" s="98">
        <v>24</v>
      </c>
      <c r="J17" s="98">
        <v>3</v>
      </c>
      <c r="K17" s="98">
        <v>20</v>
      </c>
      <c r="L17" s="98">
        <v>3</v>
      </c>
      <c r="M17" s="98">
        <v>9</v>
      </c>
      <c r="N17" s="98">
        <v>20</v>
      </c>
      <c r="O17" s="98">
        <v>18</v>
      </c>
      <c r="P17" s="99">
        <f>SUM(tblDespesas[[#This Row],[Jan]:[Dez]])</f>
        <v>171</v>
      </c>
      <c r="Q17" s="105"/>
      <c r="R17" s="9">
        <v>0.01</v>
      </c>
      <c r="S17" s="45">
        <f>IFERROR(tblDespesas[[#This Row],[Jan]]/tblDespesas[[#Totals],[Jan]],"-")</f>
        <v>8.9605734767025089E-2</v>
      </c>
      <c r="T17" s="9">
        <f>IFERROR(tblDespesas[[#This Row],[Fev]]/tblDespesas[[#Totals],[Fev]],"-")</f>
        <v>7.1684587813620072E-3</v>
      </c>
      <c r="U17" s="9">
        <f>IFERROR(tblDespesas[[#This Row],[Mar]]/tblDespesas[[#Totals],[Mar]],"-")</f>
        <v>3.8585209003215437E-2</v>
      </c>
      <c r="V17" s="9">
        <f>IFERROR(tblDespesas[[#This Row],[Abr]]/tblDespesas[[#Totals],[Abr]],"-")</f>
        <v>7.6687116564417179E-2</v>
      </c>
      <c r="W17" s="9">
        <f>IFERROR(tblDespesas[[#This Row],[Mai]]/tblDespesas[[#Totals],[Mai]],"-")</f>
        <v>3.2573289902280131E-2</v>
      </c>
      <c r="X17" s="9">
        <f>IFERROR(tblDespesas[[#This Row],[Jun]]/tblDespesas[[#Totals],[Jun]],"-")</f>
        <v>6.2176165803108807E-2</v>
      </c>
      <c r="Y17" s="9">
        <f>IFERROR(tblDespesas[[#This Row],[Jul]]/tblDespesas[[#Totals],[Jul]],"-")</f>
        <v>8.8757396449704144E-3</v>
      </c>
      <c r="Z17" s="9">
        <f>IFERROR(tblDespesas[[#This Row],[Ago]]/tblDespesas[[#Totals],[Ago]],"-")</f>
        <v>6.6666666666666666E-2</v>
      </c>
      <c r="AA17" s="9">
        <f>IFERROR(tblDespesas[[#This Row],[Set]]/tblDespesas[[#Totals],[Set]],"-")</f>
        <v>1.0344827586206896E-2</v>
      </c>
      <c r="AB17" s="9">
        <f>IFERROR(tblDespesas[[#This Row],[Out]]/tblDespesas[[#Totals],[Out]],"-")</f>
        <v>2.6086956521739129E-2</v>
      </c>
      <c r="AC17" s="9">
        <f>IFERROR(tblDespesas[[#This Row],[Nov]]/tblDespesas[[#Totals],[Nov]],"-")</f>
        <v>5.1020408163265307E-2</v>
      </c>
      <c r="AD17" s="9">
        <f>IFERROR(tblDespesas[[#This Row],[Dez]]/tblDespesas[[#Totals],[Dez]],"-")</f>
        <v>6.8441064638783272E-2</v>
      </c>
      <c r="AE17" s="46">
        <f>IFERROR(tblDespesas[[#This Row],[Anualmente]]/tblDespesas[[#Totals],[Anualmente]],"-")</f>
        <v>4.4811320754716978E-2</v>
      </c>
    </row>
    <row r="18" spans="2:31" ht="30" customHeight="1" x14ac:dyDescent="0.2">
      <c r="B18" s="36" t="s">
        <v>68</v>
      </c>
      <c r="C18" t="s">
        <v>58</v>
      </c>
      <c r="D18" s="98">
        <v>16</v>
      </c>
      <c r="E18" s="98">
        <v>19</v>
      </c>
      <c r="F18" s="98">
        <v>9</v>
      </c>
      <c r="G18" s="98">
        <v>16</v>
      </c>
      <c r="H18" s="98">
        <v>13</v>
      </c>
      <c r="I18" s="98">
        <v>2</v>
      </c>
      <c r="J18" s="98">
        <v>4</v>
      </c>
      <c r="K18" s="98">
        <v>24</v>
      </c>
      <c r="L18" s="98">
        <v>16</v>
      </c>
      <c r="M18" s="98">
        <v>22</v>
      </c>
      <c r="N18" s="98">
        <v>7</v>
      </c>
      <c r="O18" s="98">
        <v>18</v>
      </c>
      <c r="P18" s="99">
        <f>SUM(tblDespesas[[#This Row],[Jan]:[Dez]])</f>
        <v>166</v>
      </c>
      <c r="Q18" s="105"/>
      <c r="R18" s="9">
        <v>0.01</v>
      </c>
      <c r="S18" s="45">
        <f>IFERROR(tblDespesas[[#This Row],[Jan]]/tblDespesas[[#Totals],[Jan]],"-")</f>
        <v>5.7347670250896057E-2</v>
      </c>
      <c r="T18" s="9">
        <f>IFERROR(tblDespesas[[#This Row],[Fev]]/tblDespesas[[#Totals],[Fev]],"-")</f>
        <v>6.8100358422939072E-2</v>
      </c>
      <c r="U18" s="9">
        <f>IFERROR(tblDespesas[[#This Row],[Mar]]/tblDespesas[[#Totals],[Mar]],"-")</f>
        <v>2.8938906752411574E-2</v>
      </c>
      <c r="V18" s="9">
        <f>IFERROR(tblDespesas[[#This Row],[Abr]]/tblDespesas[[#Totals],[Abr]],"-")</f>
        <v>4.9079754601226995E-2</v>
      </c>
      <c r="W18" s="9">
        <f>IFERROR(tblDespesas[[#This Row],[Mai]]/tblDespesas[[#Totals],[Mai]],"-")</f>
        <v>4.2345276872964167E-2</v>
      </c>
      <c r="X18" s="9">
        <f>IFERROR(tblDespesas[[#This Row],[Jun]]/tblDespesas[[#Totals],[Jun]],"-")</f>
        <v>5.1813471502590676E-3</v>
      </c>
      <c r="Y18" s="9">
        <f>IFERROR(tblDespesas[[#This Row],[Jul]]/tblDespesas[[#Totals],[Jul]],"-")</f>
        <v>1.1834319526627219E-2</v>
      </c>
      <c r="Z18" s="9">
        <f>IFERROR(tblDespesas[[#This Row],[Ago]]/tblDespesas[[#Totals],[Ago]],"-")</f>
        <v>0.08</v>
      </c>
      <c r="AA18" s="9">
        <f>IFERROR(tblDespesas[[#This Row],[Set]]/tblDespesas[[#Totals],[Set]],"-")</f>
        <v>5.5172413793103448E-2</v>
      </c>
      <c r="AB18" s="9">
        <f>IFERROR(tblDespesas[[#This Row],[Out]]/tblDespesas[[#Totals],[Out]],"-")</f>
        <v>6.3768115942028983E-2</v>
      </c>
      <c r="AC18" s="9">
        <f>IFERROR(tblDespesas[[#This Row],[Nov]]/tblDespesas[[#Totals],[Nov]],"-")</f>
        <v>1.7857142857142856E-2</v>
      </c>
      <c r="AD18" s="9">
        <f>IFERROR(tblDespesas[[#This Row],[Dez]]/tblDespesas[[#Totals],[Dez]],"-")</f>
        <v>6.8441064638783272E-2</v>
      </c>
      <c r="AE18" s="46">
        <f>IFERROR(tblDespesas[[#This Row],[Anualmente]]/tblDespesas[[#Totals],[Anualmente]],"-")</f>
        <v>4.3501048218029352E-2</v>
      </c>
    </row>
    <row r="19" spans="2:31" ht="30" customHeight="1" x14ac:dyDescent="0.2">
      <c r="B19" s="36" t="s">
        <v>51</v>
      </c>
      <c r="C19" t="s">
        <v>58</v>
      </c>
      <c r="D19" s="98">
        <v>12</v>
      </c>
      <c r="E19" s="98">
        <v>9</v>
      </c>
      <c r="F19" s="98">
        <v>16</v>
      </c>
      <c r="G19" s="98">
        <v>19</v>
      </c>
      <c r="H19" s="98">
        <v>25</v>
      </c>
      <c r="I19" s="98">
        <v>17</v>
      </c>
      <c r="J19" s="98">
        <v>20</v>
      </c>
      <c r="K19" s="98">
        <v>14</v>
      </c>
      <c r="L19" s="98">
        <v>5</v>
      </c>
      <c r="M19" s="98">
        <v>14</v>
      </c>
      <c r="N19" s="98">
        <v>5</v>
      </c>
      <c r="O19" s="98">
        <v>2</v>
      </c>
      <c r="P19" s="99">
        <f>SUM(tblDespesas[[#This Row],[Jan]:[Dez]])</f>
        <v>158</v>
      </c>
      <c r="Q19" s="105"/>
      <c r="R19" s="9">
        <v>0.01</v>
      </c>
      <c r="S19" s="45">
        <f>IFERROR(tblDespesas[[#This Row],[Jan]]/tblDespesas[[#Totals],[Jan]],"-")</f>
        <v>4.3010752688172046E-2</v>
      </c>
      <c r="T19" s="9">
        <f>IFERROR(tblDespesas[[#This Row],[Fev]]/tblDespesas[[#Totals],[Fev]],"-")</f>
        <v>3.2258064516129031E-2</v>
      </c>
      <c r="U19" s="9">
        <f>IFERROR(tblDespesas[[#This Row],[Mar]]/tblDespesas[[#Totals],[Mar]],"-")</f>
        <v>5.1446945337620578E-2</v>
      </c>
      <c r="V19" s="9">
        <f>IFERROR(tblDespesas[[#This Row],[Abr]]/tblDespesas[[#Totals],[Abr]],"-")</f>
        <v>5.8282208588957052E-2</v>
      </c>
      <c r="W19" s="9">
        <f>IFERROR(tblDespesas[[#This Row],[Mai]]/tblDespesas[[#Totals],[Mai]],"-")</f>
        <v>8.143322475570032E-2</v>
      </c>
      <c r="X19" s="9">
        <f>IFERROR(tblDespesas[[#This Row],[Jun]]/tblDespesas[[#Totals],[Jun]],"-")</f>
        <v>4.4041450777202069E-2</v>
      </c>
      <c r="Y19" s="9">
        <f>IFERROR(tblDespesas[[#This Row],[Jul]]/tblDespesas[[#Totals],[Jul]],"-")</f>
        <v>5.9171597633136092E-2</v>
      </c>
      <c r="Z19" s="9">
        <f>IFERROR(tblDespesas[[#This Row],[Ago]]/tblDespesas[[#Totals],[Ago]],"-")</f>
        <v>4.6666666666666669E-2</v>
      </c>
      <c r="AA19" s="9">
        <f>IFERROR(tblDespesas[[#This Row],[Set]]/tblDespesas[[#Totals],[Set]],"-")</f>
        <v>1.7241379310344827E-2</v>
      </c>
      <c r="AB19" s="9">
        <f>IFERROR(tblDespesas[[#This Row],[Out]]/tblDespesas[[#Totals],[Out]],"-")</f>
        <v>4.0579710144927533E-2</v>
      </c>
      <c r="AC19" s="9">
        <f>IFERROR(tblDespesas[[#This Row],[Nov]]/tblDespesas[[#Totals],[Nov]],"-")</f>
        <v>1.2755102040816327E-2</v>
      </c>
      <c r="AD19" s="9">
        <f>IFERROR(tblDespesas[[#This Row],[Dez]]/tblDespesas[[#Totals],[Dez]],"-")</f>
        <v>7.6045627376425855E-3</v>
      </c>
      <c r="AE19" s="46">
        <f>IFERROR(tblDespesas[[#This Row],[Anualmente]]/tblDespesas[[#Totals],[Anualmente]],"-")</f>
        <v>4.1404612159329141E-2</v>
      </c>
    </row>
    <row r="20" spans="2:31" ht="30" customHeight="1" x14ac:dyDescent="0.2">
      <c r="B20" s="36" t="s">
        <v>52</v>
      </c>
      <c r="C20" t="s">
        <v>58</v>
      </c>
      <c r="D20" s="98">
        <v>16</v>
      </c>
      <c r="E20" s="98">
        <v>13</v>
      </c>
      <c r="F20" s="98">
        <v>10</v>
      </c>
      <c r="G20" s="98">
        <v>7</v>
      </c>
      <c r="H20" s="98">
        <v>13</v>
      </c>
      <c r="I20" s="98">
        <v>3</v>
      </c>
      <c r="J20" s="98">
        <v>13</v>
      </c>
      <c r="K20" s="98">
        <v>17</v>
      </c>
      <c r="L20" s="98">
        <v>9</v>
      </c>
      <c r="M20" s="98">
        <v>4</v>
      </c>
      <c r="N20" s="98">
        <v>22</v>
      </c>
      <c r="O20" s="98">
        <v>18</v>
      </c>
      <c r="P20" s="99">
        <f>SUM(tblDespesas[[#This Row],[Jan]:[Dez]])</f>
        <v>145</v>
      </c>
      <c r="Q20" s="105"/>
      <c r="R20" s="9">
        <v>0.14000000000000001</v>
      </c>
      <c r="S20" s="45">
        <f>IFERROR(tblDespesas[[#This Row],[Jan]]/tblDespesas[[#Totals],[Jan]],"-")</f>
        <v>5.7347670250896057E-2</v>
      </c>
      <c r="T20" s="9">
        <f>IFERROR(tblDespesas[[#This Row],[Fev]]/tblDespesas[[#Totals],[Fev]],"-")</f>
        <v>4.6594982078853049E-2</v>
      </c>
      <c r="U20" s="9">
        <f>IFERROR(tblDespesas[[#This Row],[Mar]]/tblDespesas[[#Totals],[Mar]],"-")</f>
        <v>3.215434083601286E-2</v>
      </c>
      <c r="V20" s="9">
        <f>IFERROR(tblDespesas[[#This Row],[Abr]]/tblDespesas[[#Totals],[Abr]],"-")</f>
        <v>2.1472392638036811E-2</v>
      </c>
      <c r="W20" s="9">
        <f>IFERROR(tblDespesas[[#This Row],[Mai]]/tblDespesas[[#Totals],[Mai]],"-")</f>
        <v>4.2345276872964167E-2</v>
      </c>
      <c r="X20" s="9">
        <f>IFERROR(tblDespesas[[#This Row],[Jun]]/tblDespesas[[#Totals],[Jun]],"-")</f>
        <v>7.7720207253886009E-3</v>
      </c>
      <c r="Y20" s="9">
        <f>IFERROR(tblDespesas[[#This Row],[Jul]]/tblDespesas[[#Totals],[Jul]],"-")</f>
        <v>3.8461538461538464E-2</v>
      </c>
      <c r="Z20" s="9">
        <f>IFERROR(tblDespesas[[#This Row],[Ago]]/tblDespesas[[#Totals],[Ago]],"-")</f>
        <v>5.6666666666666664E-2</v>
      </c>
      <c r="AA20" s="9">
        <f>IFERROR(tblDespesas[[#This Row],[Set]]/tblDespesas[[#Totals],[Set]],"-")</f>
        <v>3.1034482758620689E-2</v>
      </c>
      <c r="AB20" s="9">
        <f>IFERROR(tblDespesas[[#This Row],[Out]]/tblDespesas[[#Totals],[Out]],"-")</f>
        <v>1.1594202898550725E-2</v>
      </c>
      <c r="AC20" s="9">
        <f>IFERROR(tblDespesas[[#This Row],[Nov]]/tblDespesas[[#Totals],[Nov]],"-")</f>
        <v>5.6122448979591837E-2</v>
      </c>
      <c r="AD20" s="9">
        <f>IFERROR(tblDespesas[[#This Row],[Dez]]/tblDespesas[[#Totals],[Dez]],"-")</f>
        <v>6.8441064638783272E-2</v>
      </c>
      <c r="AE20" s="46">
        <f>IFERROR(tblDespesas[[#This Row],[Anualmente]]/tblDespesas[[#Totals],[Anualmente]],"-")</f>
        <v>3.7997903563941303E-2</v>
      </c>
    </row>
    <row r="21" spans="2:31" ht="30" customHeight="1" x14ac:dyDescent="0.2">
      <c r="B21" s="36" t="s">
        <v>53</v>
      </c>
      <c r="C21" t="s">
        <v>58</v>
      </c>
      <c r="D21" s="98">
        <v>3</v>
      </c>
      <c r="E21" s="98">
        <v>2</v>
      </c>
      <c r="F21" s="98">
        <v>19</v>
      </c>
      <c r="G21" s="98">
        <v>21</v>
      </c>
      <c r="H21" s="98">
        <v>13</v>
      </c>
      <c r="I21" s="98">
        <v>9</v>
      </c>
      <c r="J21" s="98">
        <v>7</v>
      </c>
      <c r="K21" s="98">
        <v>13</v>
      </c>
      <c r="L21" s="98">
        <v>3</v>
      </c>
      <c r="M21" s="98">
        <v>6</v>
      </c>
      <c r="N21" s="98">
        <v>10</v>
      </c>
      <c r="O21" s="98">
        <v>13</v>
      </c>
      <c r="P21" s="99">
        <f>SUM(tblDespesas[[#This Row],[Jan]:[Dez]])</f>
        <v>119</v>
      </c>
      <c r="Q21" s="105"/>
      <c r="R21" s="9">
        <v>0.06</v>
      </c>
      <c r="S21" s="45">
        <f>IFERROR(tblDespesas[[#This Row],[Jan]]/tblDespesas[[#Totals],[Jan]],"-")</f>
        <v>1.0752688172043012E-2</v>
      </c>
      <c r="T21" s="9">
        <f>IFERROR(tblDespesas[[#This Row],[Fev]]/tblDespesas[[#Totals],[Fev]],"-")</f>
        <v>7.1684587813620072E-3</v>
      </c>
      <c r="U21" s="9">
        <f>IFERROR(tblDespesas[[#This Row],[Mar]]/tblDespesas[[#Totals],[Mar]],"-")</f>
        <v>6.1093247588424437E-2</v>
      </c>
      <c r="V21" s="9">
        <f>IFERROR(tblDespesas[[#This Row],[Abr]]/tblDespesas[[#Totals],[Abr]],"-")</f>
        <v>6.4417177914110432E-2</v>
      </c>
      <c r="W21" s="9">
        <f>IFERROR(tblDespesas[[#This Row],[Mai]]/tblDespesas[[#Totals],[Mai]],"-")</f>
        <v>4.2345276872964167E-2</v>
      </c>
      <c r="X21" s="9">
        <f>IFERROR(tblDespesas[[#This Row],[Jun]]/tblDespesas[[#Totals],[Jun]],"-")</f>
        <v>2.3316062176165803E-2</v>
      </c>
      <c r="Y21" s="9">
        <f>IFERROR(tblDespesas[[#This Row],[Jul]]/tblDespesas[[#Totals],[Jul]],"-")</f>
        <v>2.0710059171597635E-2</v>
      </c>
      <c r="Z21" s="9">
        <f>IFERROR(tblDespesas[[#This Row],[Ago]]/tblDespesas[[#Totals],[Ago]],"-")</f>
        <v>4.3333333333333335E-2</v>
      </c>
      <c r="AA21" s="9">
        <f>IFERROR(tblDespesas[[#This Row],[Set]]/tblDespesas[[#Totals],[Set]],"-")</f>
        <v>1.0344827586206896E-2</v>
      </c>
      <c r="AB21" s="9">
        <f>IFERROR(tblDespesas[[#This Row],[Out]]/tblDespesas[[#Totals],[Out]],"-")</f>
        <v>1.7391304347826087E-2</v>
      </c>
      <c r="AC21" s="9">
        <f>IFERROR(tblDespesas[[#This Row],[Nov]]/tblDespesas[[#Totals],[Nov]],"-")</f>
        <v>2.5510204081632654E-2</v>
      </c>
      <c r="AD21" s="9">
        <f>IFERROR(tblDespesas[[#This Row],[Dez]]/tblDespesas[[#Totals],[Dez]],"-")</f>
        <v>4.9429657794676805E-2</v>
      </c>
      <c r="AE21" s="46">
        <f>IFERROR(tblDespesas[[#This Row],[Anualmente]]/tblDespesas[[#Totals],[Anualmente]],"-")</f>
        <v>3.1184486373165617E-2</v>
      </c>
    </row>
    <row r="22" spans="2:31" ht="30" customHeight="1" x14ac:dyDescent="0.2">
      <c r="B22" s="36" t="s">
        <v>54</v>
      </c>
      <c r="C22" t="s">
        <v>58</v>
      </c>
      <c r="D22" s="98">
        <v>8</v>
      </c>
      <c r="E22" s="98">
        <v>7</v>
      </c>
      <c r="F22" s="98">
        <v>6</v>
      </c>
      <c r="G22" s="98">
        <v>7</v>
      </c>
      <c r="H22" s="98">
        <v>7</v>
      </c>
      <c r="I22" s="98">
        <v>6</v>
      </c>
      <c r="J22" s="98">
        <v>15</v>
      </c>
      <c r="K22" s="98">
        <v>23</v>
      </c>
      <c r="L22" s="98">
        <v>21</v>
      </c>
      <c r="M22" s="98">
        <v>16</v>
      </c>
      <c r="N22" s="98">
        <v>19</v>
      </c>
      <c r="O22" s="98">
        <v>7</v>
      </c>
      <c r="P22" s="99">
        <f>SUM(tblDespesas[[#This Row],[Jan]:[Dez]])</f>
        <v>142</v>
      </c>
      <c r="Q22" s="105"/>
      <c r="R22" s="9">
        <v>0.01</v>
      </c>
      <c r="S22" s="45">
        <f>IFERROR(tblDespesas[[#This Row],[Jan]]/tblDespesas[[#Totals],[Jan]],"-")</f>
        <v>2.8673835125448029E-2</v>
      </c>
      <c r="T22" s="9">
        <f>IFERROR(tblDespesas[[#This Row],[Fev]]/tblDespesas[[#Totals],[Fev]],"-")</f>
        <v>2.5089605734767026E-2</v>
      </c>
      <c r="U22" s="9">
        <f>IFERROR(tblDespesas[[#This Row],[Mar]]/tblDespesas[[#Totals],[Mar]],"-")</f>
        <v>1.9292604501607719E-2</v>
      </c>
      <c r="V22" s="9">
        <f>IFERROR(tblDespesas[[#This Row],[Abr]]/tblDespesas[[#Totals],[Abr]],"-")</f>
        <v>2.1472392638036811E-2</v>
      </c>
      <c r="W22" s="9">
        <f>IFERROR(tblDespesas[[#This Row],[Mai]]/tblDespesas[[#Totals],[Mai]],"-")</f>
        <v>2.2801302931596091E-2</v>
      </c>
      <c r="X22" s="9">
        <f>IFERROR(tblDespesas[[#This Row],[Jun]]/tblDespesas[[#Totals],[Jun]],"-")</f>
        <v>1.5544041450777202E-2</v>
      </c>
      <c r="Y22" s="9">
        <f>IFERROR(tblDespesas[[#This Row],[Jul]]/tblDespesas[[#Totals],[Jul]],"-")</f>
        <v>4.4378698224852069E-2</v>
      </c>
      <c r="Z22" s="9">
        <f>IFERROR(tblDespesas[[#This Row],[Ago]]/tblDespesas[[#Totals],[Ago]],"-")</f>
        <v>7.6666666666666661E-2</v>
      </c>
      <c r="AA22" s="9">
        <f>IFERROR(tblDespesas[[#This Row],[Set]]/tblDespesas[[#Totals],[Set]],"-")</f>
        <v>7.2413793103448282E-2</v>
      </c>
      <c r="AB22" s="9">
        <f>IFERROR(tblDespesas[[#This Row],[Out]]/tblDespesas[[#Totals],[Out]],"-")</f>
        <v>4.6376811594202899E-2</v>
      </c>
      <c r="AC22" s="9">
        <f>IFERROR(tblDespesas[[#This Row],[Nov]]/tblDespesas[[#Totals],[Nov]],"-")</f>
        <v>4.8469387755102039E-2</v>
      </c>
      <c r="AD22" s="9">
        <f>IFERROR(tblDespesas[[#This Row],[Dez]]/tblDespesas[[#Totals],[Dez]],"-")</f>
        <v>2.6615969581749048E-2</v>
      </c>
      <c r="AE22" s="46">
        <f>IFERROR(tblDespesas[[#This Row],[Anualmente]]/tblDespesas[[#Totals],[Anualmente]],"-")</f>
        <v>3.7211740041928724E-2</v>
      </c>
    </row>
    <row r="23" spans="2:31" ht="30" customHeight="1" x14ac:dyDescent="0.2">
      <c r="B23" s="36" t="s">
        <v>60</v>
      </c>
      <c r="C23" t="s">
        <v>58</v>
      </c>
      <c r="D23" s="98">
        <v>14</v>
      </c>
      <c r="E23" s="98">
        <v>4</v>
      </c>
      <c r="F23" s="98">
        <v>24</v>
      </c>
      <c r="G23" s="98">
        <v>6</v>
      </c>
      <c r="H23" s="98">
        <v>20</v>
      </c>
      <c r="I23" s="98">
        <v>14</v>
      </c>
      <c r="J23" s="98">
        <v>21</v>
      </c>
      <c r="K23" s="98">
        <v>20</v>
      </c>
      <c r="L23" s="98">
        <v>22</v>
      </c>
      <c r="M23" s="98">
        <v>3</v>
      </c>
      <c r="N23" s="98">
        <v>14</v>
      </c>
      <c r="O23" s="98">
        <v>6</v>
      </c>
      <c r="P23" s="99">
        <f>SUM(tblDespesas[[#This Row],[Jan]:[Dez]])</f>
        <v>168</v>
      </c>
      <c r="Q23" s="105"/>
      <c r="R23" s="9">
        <v>0.01</v>
      </c>
      <c r="S23" s="45">
        <f>IFERROR(tblDespesas[[#This Row],[Jan]]/tblDespesas[[#Totals],[Jan]],"-")</f>
        <v>5.0179211469534052E-2</v>
      </c>
      <c r="T23" s="9">
        <f>IFERROR(tblDespesas[[#This Row],[Fev]]/tblDespesas[[#Totals],[Fev]],"-")</f>
        <v>1.4336917562724014E-2</v>
      </c>
      <c r="U23" s="9">
        <f>IFERROR(tblDespesas[[#This Row],[Mar]]/tblDespesas[[#Totals],[Mar]],"-")</f>
        <v>7.7170418006430874E-2</v>
      </c>
      <c r="V23" s="9">
        <f>IFERROR(tblDespesas[[#This Row],[Abr]]/tblDespesas[[#Totals],[Abr]],"-")</f>
        <v>1.8404907975460124E-2</v>
      </c>
      <c r="W23" s="9">
        <f>IFERROR(tblDespesas[[#This Row],[Mai]]/tblDespesas[[#Totals],[Mai]],"-")</f>
        <v>6.5146579804560262E-2</v>
      </c>
      <c r="X23" s="9">
        <f>IFERROR(tblDespesas[[#This Row],[Jun]]/tblDespesas[[#Totals],[Jun]],"-")</f>
        <v>3.6269430051813469E-2</v>
      </c>
      <c r="Y23" s="9">
        <f>IFERROR(tblDespesas[[#This Row],[Jul]]/tblDespesas[[#Totals],[Jul]],"-")</f>
        <v>6.2130177514792898E-2</v>
      </c>
      <c r="Z23" s="9">
        <f>IFERROR(tblDespesas[[#This Row],[Ago]]/tblDespesas[[#Totals],[Ago]],"-")</f>
        <v>6.6666666666666666E-2</v>
      </c>
      <c r="AA23" s="9">
        <f>IFERROR(tblDespesas[[#This Row],[Set]]/tblDespesas[[#Totals],[Set]],"-")</f>
        <v>7.586206896551724E-2</v>
      </c>
      <c r="AB23" s="9">
        <f>IFERROR(tblDespesas[[#This Row],[Out]]/tblDespesas[[#Totals],[Out]],"-")</f>
        <v>8.6956521739130436E-3</v>
      </c>
      <c r="AC23" s="9">
        <f>IFERROR(tblDespesas[[#This Row],[Nov]]/tblDespesas[[#Totals],[Nov]],"-")</f>
        <v>3.5714285714285712E-2</v>
      </c>
      <c r="AD23" s="9">
        <f>IFERROR(tblDespesas[[#This Row],[Dez]]/tblDespesas[[#Totals],[Dez]],"-")</f>
        <v>2.2813688212927757E-2</v>
      </c>
      <c r="AE23" s="46">
        <f>IFERROR(tblDespesas[[#This Row],[Anualmente]]/tblDespesas[[#Totals],[Anualmente]],"-")</f>
        <v>4.40251572327044E-2</v>
      </c>
    </row>
    <row r="24" spans="2:31" ht="30" customHeight="1" x14ac:dyDescent="0.2">
      <c r="B24" s="36" t="s">
        <v>69</v>
      </c>
      <c r="C24" t="s">
        <v>58</v>
      </c>
      <c r="D24" s="98">
        <v>14</v>
      </c>
      <c r="E24" s="98">
        <v>7</v>
      </c>
      <c r="F24" s="98">
        <v>24</v>
      </c>
      <c r="G24" s="98">
        <v>10</v>
      </c>
      <c r="H24" s="98">
        <v>7</v>
      </c>
      <c r="I24" s="98">
        <v>24</v>
      </c>
      <c r="J24" s="98">
        <v>2</v>
      </c>
      <c r="K24" s="98">
        <v>11</v>
      </c>
      <c r="L24" s="98">
        <v>21</v>
      </c>
      <c r="M24" s="98">
        <v>19</v>
      </c>
      <c r="N24" s="98">
        <v>19</v>
      </c>
      <c r="O24" s="98">
        <v>20</v>
      </c>
      <c r="P24" s="99">
        <f>SUM(tblDespesas[[#This Row],[Jan]:[Dez]])</f>
        <v>178</v>
      </c>
      <c r="Q24" s="105"/>
      <c r="R24" s="9">
        <v>0.01</v>
      </c>
      <c r="S24" s="45">
        <f>IFERROR(tblDespesas[[#This Row],[Jan]]/tblDespesas[[#Totals],[Jan]],"-")</f>
        <v>5.0179211469534052E-2</v>
      </c>
      <c r="T24" s="9">
        <f>IFERROR(tblDespesas[[#This Row],[Fev]]/tblDespesas[[#Totals],[Fev]],"-")</f>
        <v>2.5089605734767026E-2</v>
      </c>
      <c r="U24" s="9">
        <f>IFERROR(tblDespesas[[#This Row],[Mar]]/tblDespesas[[#Totals],[Mar]],"-")</f>
        <v>7.7170418006430874E-2</v>
      </c>
      <c r="V24" s="9">
        <f>IFERROR(tblDespesas[[#This Row],[Abr]]/tblDespesas[[#Totals],[Abr]],"-")</f>
        <v>3.0674846625766871E-2</v>
      </c>
      <c r="W24" s="9">
        <f>IFERROR(tblDespesas[[#This Row],[Mai]]/tblDespesas[[#Totals],[Mai]],"-")</f>
        <v>2.2801302931596091E-2</v>
      </c>
      <c r="X24" s="9">
        <f>IFERROR(tblDespesas[[#This Row],[Jun]]/tblDespesas[[#Totals],[Jun]],"-")</f>
        <v>6.2176165803108807E-2</v>
      </c>
      <c r="Y24" s="9">
        <f>IFERROR(tblDespesas[[#This Row],[Jul]]/tblDespesas[[#Totals],[Jul]],"-")</f>
        <v>5.9171597633136093E-3</v>
      </c>
      <c r="Z24" s="9">
        <f>IFERROR(tblDespesas[[#This Row],[Ago]]/tblDespesas[[#Totals],[Ago]],"-")</f>
        <v>3.6666666666666667E-2</v>
      </c>
      <c r="AA24" s="9">
        <f>IFERROR(tblDespesas[[#This Row],[Set]]/tblDespesas[[#Totals],[Set]],"-")</f>
        <v>7.2413793103448282E-2</v>
      </c>
      <c r="AB24" s="9">
        <f>IFERROR(tblDespesas[[#This Row],[Out]]/tblDespesas[[#Totals],[Out]],"-")</f>
        <v>5.5072463768115941E-2</v>
      </c>
      <c r="AC24" s="9">
        <f>IFERROR(tblDespesas[[#This Row],[Nov]]/tblDespesas[[#Totals],[Nov]],"-")</f>
        <v>4.8469387755102039E-2</v>
      </c>
      <c r="AD24" s="9">
        <f>IFERROR(tblDespesas[[#This Row],[Dez]]/tblDespesas[[#Totals],[Dez]],"-")</f>
        <v>7.6045627376425853E-2</v>
      </c>
      <c r="AE24" s="46">
        <f>IFERROR(tblDespesas[[#This Row],[Anualmente]]/tblDespesas[[#Totals],[Anualmente]],"-")</f>
        <v>4.6645702306079666E-2</v>
      </c>
    </row>
    <row r="25" spans="2:31" ht="30" customHeight="1" x14ac:dyDescent="0.2">
      <c r="B25" s="36" t="s">
        <v>64</v>
      </c>
      <c r="C25" t="s">
        <v>58</v>
      </c>
      <c r="D25" s="98">
        <v>11</v>
      </c>
      <c r="E25" s="98">
        <v>8</v>
      </c>
      <c r="F25" s="98">
        <v>25</v>
      </c>
      <c r="G25" s="98">
        <v>11</v>
      </c>
      <c r="H25" s="98">
        <v>9</v>
      </c>
      <c r="I25" s="98">
        <v>24</v>
      </c>
      <c r="J25" s="98">
        <v>13</v>
      </c>
      <c r="K25" s="98">
        <v>14</v>
      </c>
      <c r="L25" s="98">
        <v>19</v>
      </c>
      <c r="M25" s="98">
        <v>24</v>
      </c>
      <c r="N25" s="98">
        <v>15</v>
      </c>
      <c r="O25" s="98">
        <v>7</v>
      </c>
      <c r="P25" s="99">
        <f>SUM(tblDespesas[[#This Row],[Jan]:[Dez]])</f>
        <v>180</v>
      </c>
      <c r="Q25" s="105"/>
      <c r="R25" s="9">
        <v>0.01</v>
      </c>
      <c r="S25" s="45">
        <f>IFERROR(tblDespesas[[#This Row],[Jan]]/tblDespesas[[#Totals],[Jan]],"-")</f>
        <v>3.9426523297491037E-2</v>
      </c>
      <c r="T25" s="9">
        <f>IFERROR(tblDespesas[[#This Row],[Fev]]/tblDespesas[[#Totals],[Fev]],"-")</f>
        <v>2.8673835125448029E-2</v>
      </c>
      <c r="U25" s="9">
        <f>IFERROR(tblDespesas[[#This Row],[Mar]]/tblDespesas[[#Totals],[Mar]],"-")</f>
        <v>8.0385852090032156E-2</v>
      </c>
      <c r="V25" s="9">
        <f>IFERROR(tblDespesas[[#This Row],[Abr]]/tblDespesas[[#Totals],[Abr]],"-")</f>
        <v>3.3742331288343558E-2</v>
      </c>
      <c r="W25" s="9">
        <f>IFERROR(tblDespesas[[#This Row],[Mai]]/tblDespesas[[#Totals],[Mai]],"-")</f>
        <v>2.9315960912052116E-2</v>
      </c>
      <c r="X25" s="9">
        <f>IFERROR(tblDespesas[[#This Row],[Jun]]/tblDespesas[[#Totals],[Jun]],"-")</f>
        <v>6.2176165803108807E-2</v>
      </c>
      <c r="Y25" s="9">
        <f>IFERROR(tblDespesas[[#This Row],[Jul]]/tblDespesas[[#Totals],[Jul]],"-")</f>
        <v>3.8461538461538464E-2</v>
      </c>
      <c r="Z25" s="9">
        <f>IFERROR(tblDespesas[[#This Row],[Ago]]/tblDespesas[[#Totals],[Ago]],"-")</f>
        <v>4.6666666666666669E-2</v>
      </c>
      <c r="AA25" s="9">
        <f>IFERROR(tblDespesas[[#This Row],[Set]]/tblDespesas[[#Totals],[Set]],"-")</f>
        <v>6.5517241379310351E-2</v>
      </c>
      <c r="AB25" s="9">
        <f>IFERROR(tblDespesas[[#This Row],[Out]]/tblDespesas[[#Totals],[Out]],"-")</f>
        <v>6.9565217391304349E-2</v>
      </c>
      <c r="AC25" s="9">
        <f>IFERROR(tblDespesas[[#This Row],[Nov]]/tblDespesas[[#Totals],[Nov]],"-")</f>
        <v>3.826530612244898E-2</v>
      </c>
      <c r="AD25" s="9">
        <f>IFERROR(tblDespesas[[#This Row],[Dez]]/tblDespesas[[#Totals],[Dez]],"-")</f>
        <v>2.6615969581749048E-2</v>
      </c>
      <c r="AE25" s="46">
        <f>IFERROR(tblDespesas[[#This Row],[Anualmente]]/tblDespesas[[#Totals],[Anualmente]],"-")</f>
        <v>4.716981132075472E-2</v>
      </c>
    </row>
    <row r="26" spans="2:31" ht="30" customHeight="1" x14ac:dyDescent="0.2">
      <c r="B26" s="36" t="s">
        <v>65</v>
      </c>
      <c r="C26" t="s">
        <v>58</v>
      </c>
      <c r="D26" s="98">
        <v>8</v>
      </c>
      <c r="E26" s="98">
        <v>20</v>
      </c>
      <c r="F26" s="98">
        <v>11</v>
      </c>
      <c r="G26" s="98">
        <v>11</v>
      </c>
      <c r="H26" s="98">
        <v>11</v>
      </c>
      <c r="I26" s="98">
        <v>20</v>
      </c>
      <c r="J26" s="98">
        <v>12</v>
      </c>
      <c r="K26" s="98">
        <v>16</v>
      </c>
      <c r="L26" s="98">
        <v>5</v>
      </c>
      <c r="M26" s="98">
        <v>7</v>
      </c>
      <c r="N26" s="98">
        <v>21</v>
      </c>
      <c r="O26" s="98">
        <v>3</v>
      </c>
      <c r="P26" s="99">
        <f>SUM(tblDespesas[[#This Row],[Jan]:[Dez]])</f>
        <v>145</v>
      </c>
      <c r="Q26" s="105"/>
      <c r="R26" s="9">
        <v>0.02</v>
      </c>
      <c r="S26" s="45">
        <f>IFERROR(tblDespesas[[#This Row],[Jan]]/tblDespesas[[#Totals],[Jan]],"-")</f>
        <v>2.8673835125448029E-2</v>
      </c>
      <c r="T26" s="9">
        <f>IFERROR(tblDespesas[[#This Row],[Fev]]/tblDespesas[[#Totals],[Fev]],"-")</f>
        <v>7.1684587813620068E-2</v>
      </c>
      <c r="U26" s="9">
        <f>IFERROR(tblDespesas[[#This Row],[Mar]]/tblDespesas[[#Totals],[Mar]],"-")</f>
        <v>3.5369774919614148E-2</v>
      </c>
      <c r="V26" s="9">
        <f>IFERROR(tblDespesas[[#This Row],[Abr]]/tblDespesas[[#Totals],[Abr]],"-")</f>
        <v>3.3742331288343558E-2</v>
      </c>
      <c r="W26" s="9">
        <f>IFERROR(tblDespesas[[#This Row],[Mai]]/tblDespesas[[#Totals],[Mai]],"-")</f>
        <v>3.5830618892508145E-2</v>
      </c>
      <c r="X26" s="9">
        <f>IFERROR(tblDespesas[[#This Row],[Jun]]/tblDespesas[[#Totals],[Jun]],"-")</f>
        <v>5.181347150259067E-2</v>
      </c>
      <c r="Y26" s="9">
        <f>IFERROR(tblDespesas[[#This Row],[Jul]]/tblDespesas[[#Totals],[Jul]],"-")</f>
        <v>3.5502958579881658E-2</v>
      </c>
      <c r="Z26" s="9">
        <f>IFERROR(tblDespesas[[#This Row],[Ago]]/tblDespesas[[#Totals],[Ago]],"-")</f>
        <v>5.3333333333333337E-2</v>
      </c>
      <c r="AA26" s="9">
        <f>IFERROR(tblDespesas[[#This Row],[Set]]/tblDespesas[[#Totals],[Set]],"-")</f>
        <v>1.7241379310344827E-2</v>
      </c>
      <c r="AB26" s="9">
        <f>IFERROR(tblDespesas[[#This Row],[Out]]/tblDespesas[[#Totals],[Out]],"-")</f>
        <v>2.0289855072463767E-2</v>
      </c>
      <c r="AC26" s="9">
        <f>IFERROR(tblDespesas[[#This Row],[Nov]]/tblDespesas[[#Totals],[Nov]],"-")</f>
        <v>5.3571428571428568E-2</v>
      </c>
      <c r="AD26" s="9">
        <f>IFERROR(tblDespesas[[#This Row],[Dez]]/tblDespesas[[#Totals],[Dez]],"-")</f>
        <v>1.1406844106463879E-2</v>
      </c>
      <c r="AE26" s="46">
        <f>IFERROR(tblDespesas[[#This Row],[Anualmente]]/tblDespesas[[#Totals],[Anualmente]],"-")</f>
        <v>3.7997903563941303E-2</v>
      </c>
    </row>
    <row r="27" spans="2:31" ht="30" customHeight="1" x14ac:dyDescent="0.2">
      <c r="B27" s="36" t="s">
        <v>66</v>
      </c>
      <c r="C27" t="s">
        <v>58</v>
      </c>
      <c r="D27" s="98">
        <v>7</v>
      </c>
      <c r="E27" s="98">
        <v>6</v>
      </c>
      <c r="F27" s="98">
        <v>7</v>
      </c>
      <c r="G27" s="98">
        <v>11</v>
      </c>
      <c r="H27" s="98">
        <v>9</v>
      </c>
      <c r="I27" s="98">
        <v>24</v>
      </c>
      <c r="J27" s="98">
        <v>13</v>
      </c>
      <c r="K27" s="98">
        <v>14</v>
      </c>
      <c r="L27" s="98">
        <v>19</v>
      </c>
      <c r="M27" s="98">
        <v>24</v>
      </c>
      <c r="N27" s="98">
        <v>15</v>
      </c>
      <c r="O27" s="98">
        <v>7</v>
      </c>
      <c r="P27" s="99">
        <f>SUM(tblDespesas[[#This Row],[Jan]:[Dez]])</f>
        <v>156</v>
      </c>
      <c r="Q27" s="105"/>
      <c r="R27" s="9">
        <v>0.01</v>
      </c>
      <c r="S27" s="45">
        <f>IFERROR(tblDespesas[[#This Row],[Jan]]/tblDespesas[[#Totals],[Jan]],"-")</f>
        <v>2.5089605734767026E-2</v>
      </c>
      <c r="T27" s="9">
        <f>IFERROR(tblDespesas[[#This Row],[Fev]]/tblDespesas[[#Totals],[Fev]],"-")</f>
        <v>2.1505376344086023E-2</v>
      </c>
      <c r="U27" s="9">
        <f>IFERROR(tblDespesas[[#This Row],[Mar]]/tblDespesas[[#Totals],[Mar]],"-")</f>
        <v>2.2508038585209004E-2</v>
      </c>
      <c r="V27" s="9">
        <f>IFERROR(tblDespesas[[#This Row],[Abr]]/tblDespesas[[#Totals],[Abr]],"-")</f>
        <v>3.3742331288343558E-2</v>
      </c>
      <c r="W27" s="9">
        <f>IFERROR(tblDespesas[[#This Row],[Mai]]/tblDespesas[[#Totals],[Mai]],"-")</f>
        <v>2.9315960912052116E-2</v>
      </c>
      <c r="X27" s="9">
        <f>IFERROR(tblDespesas[[#This Row],[Jun]]/tblDespesas[[#Totals],[Jun]],"-")</f>
        <v>6.2176165803108807E-2</v>
      </c>
      <c r="Y27" s="9">
        <f>IFERROR(tblDespesas[[#This Row],[Jul]]/tblDespesas[[#Totals],[Jul]],"-")</f>
        <v>3.8461538461538464E-2</v>
      </c>
      <c r="Z27" s="9">
        <f>IFERROR(tblDespesas[[#This Row],[Ago]]/tblDespesas[[#Totals],[Ago]],"-")</f>
        <v>4.6666666666666669E-2</v>
      </c>
      <c r="AA27" s="9">
        <f>IFERROR(tblDespesas[[#This Row],[Set]]/tblDespesas[[#Totals],[Set]],"-")</f>
        <v>6.5517241379310351E-2</v>
      </c>
      <c r="AB27" s="9">
        <f>IFERROR(tblDespesas[[#This Row],[Out]]/tblDespesas[[#Totals],[Out]],"-")</f>
        <v>6.9565217391304349E-2</v>
      </c>
      <c r="AC27" s="9">
        <f>IFERROR(tblDespesas[[#This Row],[Nov]]/tblDespesas[[#Totals],[Nov]],"-")</f>
        <v>3.826530612244898E-2</v>
      </c>
      <c r="AD27" s="9">
        <f>IFERROR(tblDespesas[[#This Row],[Dez]]/tblDespesas[[#Totals],[Dez]],"-")</f>
        <v>2.6615969581749048E-2</v>
      </c>
      <c r="AE27" s="46">
        <f>IFERROR(tblDespesas[[#This Row],[Anualmente]]/tblDespesas[[#Totals],[Anualmente]],"-")</f>
        <v>4.0880503144654086E-2</v>
      </c>
    </row>
    <row r="28" spans="2:31" ht="30" customHeight="1" x14ac:dyDescent="0.2">
      <c r="B28" s="36" t="s">
        <v>67</v>
      </c>
      <c r="C28" t="s">
        <v>58</v>
      </c>
      <c r="D28" s="98">
        <v>8</v>
      </c>
      <c r="E28" s="98">
        <v>20</v>
      </c>
      <c r="F28" s="98">
        <v>11</v>
      </c>
      <c r="G28" s="98">
        <v>11</v>
      </c>
      <c r="H28" s="98">
        <v>11</v>
      </c>
      <c r="I28" s="98">
        <v>20</v>
      </c>
      <c r="J28" s="98">
        <v>12</v>
      </c>
      <c r="K28" s="98">
        <v>16</v>
      </c>
      <c r="L28" s="98">
        <v>5</v>
      </c>
      <c r="M28" s="98">
        <v>7</v>
      </c>
      <c r="N28" s="98">
        <v>21</v>
      </c>
      <c r="O28" s="98">
        <v>3</v>
      </c>
      <c r="P28" s="99">
        <f>SUM(tblDespesas[[#This Row],[Jan]:[Dez]])</f>
        <v>145</v>
      </c>
      <c r="Q28" s="105"/>
      <c r="R28" s="9">
        <v>0.02</v>
      </c>
      <c r="S28" s="45">
        <f>IFERROR(tblDespesas[[#This Row],[Jan]]/tblDespesas[[#Totals],[Jan]],"-")</f>
        <v>2.8673835125448029E-2</v>
      </c>
      <c r="T28" s="9">
        <f>IFERROR(tblDespesas[[#This Row],[Fev]]/tblDespesas[[#Totals],[Fev]],"-")</f>
        <v>7.1684587813620068E-2</v>
      </c>
      <c r="U28" s="9">
        <f>IFERROR(tblDespesas[[#This Row],[Mar]]/tblDespesas[[#Totals],[Mar]],"-")</f>
        <v>3.5369774919614148E-2</v>
      </c>
      <c r="V28" s="9">
        <f>IFERROR(tblDespesas[[#This Row],[Abr]]/tblDespesas[[#Totals],[Abr]],"-")</f>
        <v>3.3742331288343558E-2</v>
      </c>
      <c r="W28" s="9">
        <f>IFERROR(tblDespesas[[#This Row],[Mai]]/tblDespesas[[#Totals],[Mai]],"-")</f>
        <v>3.5830618892508145E-2</v>
      </c>
      <c r="X28" s="9">
        <f>IFERROR(tblDespesas[[#This Row],[Jun]]/tblDespesas[[#Totals],[Jun]],"-")</f>
        <v>5.181347150259067E-2</v>
      </c>
      <c r="Y28" s="9">
        <f>IFERROR(tblDespesas[[#This Row],[Jul]]/tblDespesas[[#Totals],[Jul]],"-")</f>
        <v>3.5502958579881658E-2</v>
      </c>
      <c r="Z28" s="9">
        <f>IFERROR(tblDespesas[[#This Row],[Ago]]/tblDespesas[[#Totals],[Ago]],"-")</f>
        <v>5.3333333333333337E-2</v>
      </c>
      <c r="AA28" s="9">
        <f>IFERROR(tblDespesas[[#This Row],[Set]]/tblDespesas[[#Totals],[Set]],"-")</f>
        <v>1.7241379310344827E-2</v>
      </c>
      <c r="AB28" s="9">
        <f>IFERROR(tblDespesas[[#This Row],[Out]]/tblDespesas[[#Totals],[Out]],"-")</f>
        <v>2.0289855072463767E-2</v>
      </c>
      <c r="AC28" s="9">
        <f>IFERROR(tblDespesas[[#This Row],[Nov]]/tblDespesas[[#Totals],[Nov]],"-")</f>
        <v>5.3571428571428568E-2</v>
      </c>
      <c r="AD28" s="9">
        <f>IFERROR(tblDespesas[[#This Row],[Dez]]/tblDespesas[[#Totals],[Dez]],"-")</f>
        <v>1.1406844106463879E-2</v>
      </c>
      <c r="AE28" s="46">
        <f>IFERROR(tblDespesas[[#This Row],[Anualmente]]/tblDespesas[[#Totals],[Anualmente]],"-")</f>
        <v>3.7997903563941303E-2</v>
      </c>
    </row>
    <row r="29" spans="2:31" ht="30" customHeight="1" x14ac:dyDescent="0.2">
      <c r="B29" s="36" t="s">
        <v>61</v>
      </c>
      <c r="C29" t="s">
        <v>58</v>
      </c>
      <c r="D29" s="98">
        <v>12</v>
      </c>
      <c r="E29" s="98">
        <v>24</v>
      </c>
      <c r="F29" s="98">
        <v>10</v>
      </c>
      <c r="G29" s="98">
        <v>7</v>
      </c>
      <c r="H29" s="98">
        <v>9</v>
      </c>
      <c r="I29" s="98">
        <v>24</v>
      </c>
      <c r="J29" s="98">
        <v>13</v>
      </c>
      <c r="K29" s="98">
        <v>14</v>
      </c>
      <c r="L29" s="98">
        <v>19</v>
      </c>
      <c r="M29" s="98">
        <v>24</v>
      </c>
      <c r="N29" s="98">
        <v>15</v>
      </c>
      <c r="O29" s="98">
        <v>7</v>
      </c>
      <c r="P29" s="99">
        <f>SUM(tblDespesas[[#This Row],[Jan]:[Dez]])</f>
        <v>178</v>
      </c>
      <c r="Q29" s="105"/>
      <c r="R29" s="9">
        <v>0.01</v>
      </c>
      <c r="S29" s="45">
        <f>IFERROR(tblDespesas[[#This Row],[Jan]]/tblDespesas[[#Totals],[Jan]],"-")</f>
        <v>4.3010752688172046E-2</v>
      </c>
      <c r="T29" s="9">
        <f>IFERROR(tblDespesas[[#This Row],[Fev]]/tblDespesas[[#Totals],[Fev]],"-")</f>
        <v>8.6021505376344093E-2</v>
      </c>
      <c r="U29" s="9">
        <f>IFERROR(tblDespesas[[#This Row],[Mar]]/tblDespesas[[#Totals],[Mar]],"-")</f>
        <v>3.215434083601286E-2</v>
      </c>
      <c r="V29" s="9">
        <f>IFERROR(tblDespesas[[#This Row],[Abr]]/tblDespesas[[#Totals],[Abr]],"-")</f>
        <v>2.1472392638036811E-2</v>
      </c>
      <c r="W29" s="9">
        <f>IFERROR(tblDespesas[[#This Row],[Mai]]/tblDespesas[[#Totals],[Mai]],"-")</f>
        <v>2.9315960912052116E-2</v>
      </c>
      <c r="X29" s="9">
        <f>IFERROR(tblDespesas[[#This Row],[Jun]]/tblDespesas[[#Totals],[Jun]],"-")</f>
        <v>6.2176165803108807E-2</v>
      </c>
      <c r="Y29" s="9">
        <f>IFERROR(tblDespesas[[#This Row],[Jul]]/tblDespesas[[#Totals],[Jul]],"-")</f>
        <v>3.8461538461538464E-2</v>
      </c>
      <c r="Z29" s="9">
        <f>IFERROR(tblDespesas[[#This Row],[Ago]]/tblDespesas[[#Totals],[Ago]],"-")</f>
        <v>4.6666666666666669E-2</v>
      </c>
      <c r="AA29" s="9">
        <f>IFERROR(tblDespesas[[#This Row],[Set]]/tblDespesas[[#Totals],[Set]],"-")</f>
        <v>6.5517241379310351E-2</v>
      </c>
      <c r="AB29" s="9">
        <f>IFERROR(tblDespesas[[#This Row],[Out]]/tblDespesas[[#Totals],[Out]],"-")</f>
        <v>6.9565217391304349E-2</v>
      </c>
      <c r="AC29" s="9">
        <f>IFERROR(tblDespesas[[#This Row],[Nov]]/tblDespesas[[#Totals],[Nov]],"-")</f>
        <v>3.826530612244898E-2</v>
      </c>
      <c r="AD29" s="9">
        <f>IFERROR(tblDespesas[[#This Row],[Dez]]/tblDespesas[[#Totals],[Dez]],"-")</f>
        <v>2.6615969581749048E-2</v>
      </c>
      <c r="AE29" s="46">
        <f>IFERROR(tblDespesas[[#This Row],[Anualmente]]/tblDespesas[[#Totals],[Anualmente]],"-")</f>
        <v>4.6645702306079666E-2</v>
      </c>
    </row>
    <row r="30" spans="2:31" ht="30" customHeight="1" x14ac:dyDescent="0.2">
      <c r="B30" s="36" t="s">
        <v>55</v>
      </c>
      <c r="C30" t="s">
        <v>58</v>
      </c>
      <c r="D30" s="98">
        <v>8</v>
      </c>
      <c r="E30" s="98">
        <v>20</v>
      </c>
      <c r="F30" s="98">
        <v>11</v>
      </c>
      <c r="G30" s="98">
        <v>11</v>
      </c>
      <c r="H30" s="98">
        <v>11</v>
      </c>
      <c r="I30" s="98">
        <v>20</v>
      </c>
      <c r="J30" s="98">
        <v>12</v>
      </c>
      <c r="K30" s="98">
        <v>16</v>
      </c>
      <c r="L30" s="98">
        <v>5</v>
      </c>
      <c r="M30" s="98">
        <v>7</v>
      </c>
      <c r="N30" s="98">
        <v>21</v>
      </c>
      <c r="O30" s="98">
        <v>3</v>
      </c>
      <c r="P30" s="99">
        <f>SUM(tblDespesas[[#This Row],[Jan]:[Dez]])</f>
        <v>145</v>
      </c>
      <c r="Q30" s="105"/>
      <c r="R30" s="9">
        <v>0.02</v>
      </c>
      <c r="S30" s="45">
        <f>IFERROR(tblDespesas[[#This Row],[Jan]]/tblDespesas[[#Totals],[Jan]],"-")</f>
        <v>2.8673835125448029E-2</v>
      </c>
      <c r="T30" s="9">
        <f>IFERROR(tblDespesas[[#This Row],[Fev]]/tblDespesas[[#Totals],[Fev]],"-")</f>
        <v>7.1684587813620068E-2</v>
      </c>
      <c r="U30" s="9">
        <f>IFERROR(tblDespesas[[#This Row],[Mar]]/tblDespesas[[#Totals],[Mar]],"-")</f>
        <v>3.5369774919614148E-2</v>
      </c>
      <c r="V30" s="9">
        <f>IFERROR(tblDespesas[[#This Row],[Abr]]/tblDespesas[[#Totals],[Abr]],"-")</f>
        <v>3.3742331288343558E-2</v>
      </c>
      <c r="W30" s="9">
        <f>IFERROR(tblDespesas[[#This Row],[Mai]]/tblDespesas[[#Totals],[Mai]],"-")</f>
        <v>3.5830618892508145E-2</v>
      </c>
      <c r="X30" s="9">
        <f>IFERROR(tblDespesas[[#This Row],[Jun]]/tblDespesas[[#Totals],[Jun]],"-")</f>
        <v>5.181347150259067E-2</v>
      </c>
      <c r="Y30" s="9">
        <f>IFERROR(tblDespesas[[#This Row],[Jul]]/tblDespesas[[#Totals],[Jul]],"-")</f>
        <v>3.5502958579881658E-2</v>
      </c>
      <c r="Z30" s="9">
        <f>IFERROR(tblDespesas[[#This Row],[Ago]]/tblDespesas[[#Totals],[Ago]],"-")</f>
        <v>5.3333333333333337E-2</v>
      </c>
      <c r="AA30" s="9">
        <f>IFERROR(tblDespesas[[#This Row],[Set]]/tblDespesas[[#Totals],[Set]],"-")</f>
        <v>1.7241379310344827E-2</v>
      </c>
      <c r="AB30" s="9">
        <f>IFERROR(tblDespesas[[#This Row],[Out]]/tblDespesas[[#Totals],[Out]],"-")</f>
        <v>2.0289855072463767E-2</v>
      </c>
      <c r="AC30" s="9">
        <f>IFERROR(tblDespesas[[#This Row],[Nov]]/tblDespesas[[#Totals],[Nov]],"-")</f>
        <v>5.3571428571428568E-2</v>
      </c>
      <c r="AD30" s="9">
        <f>IFERROR(tblDespesas[[#This Row],[Dez]]/tblDespesas[[#Totals],[Dez]],"-")</f>
        <v>1.1406844106463879E-2</v>
      </c>
      <c r="AE30" s="46">
        <f>IFERROR(tblDespesas[[#This Row],[Anualmente]]/tblDespesas[[#Totals],[Anualmente]],"-")</f>
        <v>3.7997903563941303E-2</v>
      </c>
    </row>
    <row r="31" spans="2:31" ht="30" customHeight="1" x14ac:dyDescent="0.2">
      <c r="B31" s="67" t="s">
        <v>56</v>
      </c>
      <c r="C31" t="s">
        <v>58</v>
      </c>
      <c r="D31" s="81">
        <f>SUBTOTAL(109,tblDespesas[Jan])</f>
        <v>279</v>
      </c>
      <c r="E31" s="81">
        <f>SUBTOTAL(109,tblDespesas[Fev])</f>
        <v>279</v>
      </c>
      <c r="F31" s="81">
        <f>SUBTOTAL(109,tblDespesas[Mar])</f>
        <v>311</v>
      </c>
      <c r="G31" s="81">
        <f>SUBTOTAL(109,tblDespesas[Abr])</f>
        <v>326</v>
      </c>
      <c r="H31" s="81">
        <f>SUBTOTAL(109,tblDespesas[Mai])</f>
        <v>307</v>
      </c>
      <c r="I31" s="81">
        <f>SUBTOTAL(109,tblDespesas[Jun])</f>
        <v>386</v>
      </c>
      <c r="J31" s="81">
        <f>SUBTOTAL(109,tblDespesas[Jul])</f>
        <v>338</v>
      </c>
      <c r="K31" s="81">
        <f>SUBTOTAL(109,tblDespesas[Ago])</f>
        <v>300</v>
      </c>
      <c r="L31" s="81">
        <f>SUBTOTAL(109,tblDespesas[Set])</f>
        <v>290</v>
      </c>
      <c r="M31" s="81">
        <f>SUBTOTAL(109,tblDespesas[Out])</f>
        <v>345</v>
      </c>
      <c r="N31" s="81">
        <f>SUBTOTAL(109,tblDespesas[Nov])</f>
        <v>392</v>
      </c>
      <c r="O31" s="81">
        <f>SUBTOTAL(109,tblDespesas[Dez])</f>
        <v>263</v>
      </c>
      <c r="P31" s="100">
        <f>SUBTOTAL(109,tblDespesas[Anualmente])</f>
        <v>3816</v>
      </c>
      <c r="Q31" s="100"/>
      <c r="R31" s="69">
        <f>SUBTOTAL(109,tblDespesas[Índice %])</f>
        <v>1.07</v>
      </c>
      <c r="S31" s="68">
        <f>SUBTOTAL(109,tblDespesas[Jan %])</f>
        <v>1</v>
      </c>
      <c r="T31" s="68">
        <f>SUBTOTAL(109,tblDespesas[Fev %])</f>
        <v>1</v>
      </c>
      <c r="U31" s="68">
        <f>SUBTOTAL(109,tblDespesas[Mar %])</f>
        <v>0.99999999999999989</v>
      </c>
      <c r="V31" s="68">
        <f>SUBTOTAL(109,tblDespesas[Abr %])</f>
        <v>1</v>
      </c>
      <c r="W31" s="68">
        <f>SUBTOTAL(109,tblDespesas[Mai %])</f>
        <v>1.0000000000000002</v>
      </c>
      <c r="X31" s="68">
        <f>SUBTOTAL(109,tblDespesas[Jun %])</f>
        <v>0.99999999999999989</v>
      </c>
      <c r="Y31" s="68">
        <f>SUBTOTAL(109,tblDespesas[Jul %])</f>
        <v>0.99999999999999978</v>
      </c>
      <c r="Z31" s="68">
        <f>SUBTOTAL(109,tblDespesas[Ago %])</f>
        <v>0.99999999999999989</v>
      </c>
      <c r="AA31" s="68">
        <f>SUBTOTAL(109,tblDespesas[Set %])</f>
        <v>1.0000000000000002</v>
      </c>
      <c r="AB31" s="68">
        <f>SUBTOTAL(109,tblDespesas[Out %])</f>
        <v>0.99999999999999989</v>
      </c>
      <c r="AC31" s="68">
        <f>SUBTOTAL(109,tblDespesas[Nov %])</f>
        <v>0.99999999999999989</v>
      </c>
      <c r="AD31" s="68">
        <f>SUBTOTAL(109,tblDespesas[Dez %])</f>
        <v>1</v>
      </c>
      <c r="AE31" s="70">
        <f>SUBTOTAL(109,tblDespesas[Ano %])</f>
        <v>0.99999999999999978</v>
      </c>
    </row>
    <row r="32" spans="2:31" ht="9.9499999999999993" customHeight="1" x14ac:dyDescent="0.2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2:31" ht="30" customHeight="1" x14ac:dyDescent="0.2">
      <c r="B33" s="47" t="s">
        <v>57</v>
      </c>
      <c r="C33" s="48"/>
      <c r="D33" s="101">
        <f>'Custo de vendas'!$D$16-tblDespesas[[#Totals],[Jan]]</f>
        <v>80</v>
      </c>
      <c r="E33" s="101">
        <f>'Custo de vendas'!E16-tblDespesas[[#Totals],[Fev]]</f>
        <v>101</v>
      </c>
      <c r="F33" s="101">
        <f>'Custo de vendas'!F16-tblDespesas[[#Totals],[Mar]]</f>
        <v>194</v>
      </c>
      <c r="G33" s="101">
        <f>'Custo de vendas'!G16-tblDespesas[[#Totals],[Abr]]</f>
        <v>44</v>
      </c>
      <c r="H33" s="101">
        <f>'Custo de vendas'!H16-tblDespesas[[#Totals],[Mai]]</f>
        <v>106</v>
      </c>
      <c r="I33" s="101">
        <f>'Custo de vendas'!I16-tblDespesas[[#Totals],[Jun]]</f>
        <v>-120</v>
      </c>
      <c r="J33" s="101">
        <f>'Custo de vendas'!J16-tblDespesas[[#Totals],[Jul]]</f>
        <v>-40</v>
      </c>
      <c r="K33" s="101">
        <f>'Custo de vendas'!K16-tblDespesas[[#Totals],[Ago]]</f>
        <v>149</v>
      </c>
      <c r="L33" s="101">
        <f>'Custo de vendas'!L16-tblDespesas[[#Totals],[Set]]</f>
        <v>40</v>
      </c>
      <c r="M33" s="101">
        <f>'Custo de vendas'!M16-tblDespesas[[#Totals],[Out]]</f>
        <v>62</v>
      </c>
      <c r="N33" s="101">
        <f>'Custo de vendas'!N16-tblDespesas[[#Totals],[Nov]]</f>
        <v>83</v>
      </c>
      <c r="O33" s="101">
        <f>'Custo de vendas'!O16-tblDespesas[[#Totals],[Dez]]</f>
        <v>327</v>
      </c>
      <c r="P33" s="101">
        <f>SUM(D33:O33)</f>
        <v>1026</v>
      </c>
      <c r="Q33" s="101"/>
      <c r="R33" s="39"/>
      <c r="S33" s="49">
        <f>D33/$P$33</f>
        <v>7.7972709551656916E-2</v>
      </c>
      <c r="T33" s="49">
        <f t="shared" ref="T33:AE33" si="1">E33/$P$33</f>
        <v>9.8440545808966856E-2</v>
      </c>
      <c r="U33" s="49">
        <f t="shared" si="1"/>
        <v>0.18908382066276802</v>
      </c>
      <c r="V33" s="49">
        <f t="shared" si="1"/>
        <v>4.2884990253411304E-2</v>
      </c>
      <c r="W33" s="49">
        <f t="shared" si="1"/>
        <v>0.10331384015594541</v>
      </c>
      <c r="X33" s="49">
        <f t="shared" si="1"/>
        <v>-0.11695906432748537</v>
      </c>
      <c r="Y33" s="49">
        <f t="shared" si="1"/>
        <v>-3.8986354775828458E-2</v>
      </c>
      <c r="Z33" s="49">
        <f t="shared" si="1"/>
        <v>0.14522417153996101</v>
      </c>
      <c r="AA33" s="49">
        <f t="shared" si="1"/>
        <v>3.8986354775828458E-2</v>
      </c>
      <c r="AB33" s="49">
        <f t="shared" si="1"/>
        <v>6.042884990253411E-2</v>
      </c>
      <c r="AC33" s="49">
        <f t="shared" si="1"/>
        <v>8.089668615984405E-2</v>
      </c>
      <c r="AD33" s="49">
        <f t="shared" si="1"/>
        <v>0.31871345029239767</v>
      </c>
      <c r="AE33" s="49">
        <f t="shared" si="1"/>
        <v>1</v>
      </c>
    </row>
  </sheetData>
  <phoneticPr fontId="44" type="noConversion"/>
  <dataValidations count="18">
    <dataValidation allowBlank="1" showInputMessage="1" showErrorMessage="1" prompt="Esta planilha calcula o total de despesas para cada mês e ano, e o total de despesas anuais em cada item. O lucro líquido é calculado automaticamente com base no lucro bruto e no total de despesas" sqref="A1" xr:uid="{00000000-0002-0000-0200-000000000000}"/>
    <dataValidation allowBlank="1" showInputMessage="1" showErrorMessage="1" prompt="O título da planilha Receitas (Vendas) foi atualizado automaticamente. Insira os valores na tabela Despesas abaixo para calcular o total de despesas" sqref="B3:B4" xr:uid="{00000000-0002-0000-0200-000001000000}"/>
    <dataValidation allowBlank="1" showInputMessage="1" showErrorMessage="1" prompt="Insira o índice percentual nesta coluna" sqref="R6" xr:uid="{00000000-0002-0000-0200-000002000000}"/>
    <dataValidation allowBlank="1" showInputMessage="1" showErrorMessage="1" prompt="O lucro líquido é automaticamente calculado para cada mês e ano com base no lucro bruto e no total de despesas" sqref="B33" xr:uid="{00000000-0002-0000-0200-000003000000}"/>
    <dataValidation allowBlank="1" showInputMessage="1" showErrorMessage="1" prompt="Insira nesta coluna as despesas de fontes listadas na coluna B" sqref="D6:O6" xr:uid="{00000000-0002-0000-0200-000004000000}"/>
    <dataValidation allowBlank="1" showInputMessage="1" showErrorMessage="1" prompt="Um gráfico de tendências de despesas ao longo do tempo está nesta coluna" sqref="C6" xr:uid="{00000000-0002-0000-0200-000005000000}"/>
    <dataValidation allowBlank="1" showInputMessage="1" showErrorMessage="1" prompt="Insira as despesas nesta coluna" sqref="B6" xr:uid="{00000000-0002-0000-0200-000006000000}"/>
    <dataValidation allowBlank="1" showInputMessage="1" showErrorMessage="1" prompt="Calcula automaticamente a proporção de despesas de diversas fontes para o total de despesas para o ano nesta coluna" sqref="AE5" xr:uid="{00000000-0002-0000-0200-000007000000}"/>
    <dataValidation allowBlank="1" showInputMessage="1" showErrorMessage="1" prompt="Calcula automaticamente a proporção de despesas de diversas fontes para o total de despesas nessa coluna para o mês nesta célula" sqref="S5:AD5" xr:uid="{00000000-0002-0000-0200-000008000000}"/>
    <dataValidation allowBlank="1" showInputMessage="1" showErrorMessage="1" prompt="Mês atualizado automaticamente" sqref="E5:O5" xr:uid="{00000000-0002-0000-0200-000009000000}"/>
    <dataValidation allowBlank="1" showInputMessage="1" showErrorMessage="1" prompt="As datas nesta linha são automaticamente atualizadas com base no mês inicial do ano fiscal. Para alterar o mês inicial, modifique a célula F2" sqref="D5" xr:uid="{00000000-0002-0000-0200-00000A000000}"/>
    <dataValidation allowBlank="1" showInputMessage="1" showErrorMessage="1" prompt="A despesa anual é calculada automaticamente nesta coluna" sqref="P5:Q5" xr:uid="{00000000-0002-0000-0200-00000B000000}"/>
    <dataValidation allowBlank="1" showInputMessage="1" showErrorMessage="1" prompt="O índice percentual está nesta coluna" sqref="R5" xr:uid="{00000000-0002-0000-0200-00000C000000}"/>
    <dataValidation allowBlank="1" showInputMessage="1" showErrorMessage="1" prompt="Mês e ano são atualizados automaticamente nas células à direita. Para alterar o mês ou ano, modifique as células F2 e G2 da planilha Receitas (Vendas)" sqref="E2" xr:uid="{00000000-0002-0000-0200-00000D000000}"/>
    <dataValidation allowBlank="1" showInputMessage="1" showErrorMessage="1" prompt="O mês é atualizado automaticamente. Para alterar, modifique a célula F2 na planilha Receitas (Vendas)" sqref="F2" xr:uid="{00000000-0002-0000-0200-00000E000000}"/>
    <dataValidation allowBlank="1" showInputMessage="1" showErrorMessage="1" prompt="O ano é atualizado automaticamente. Para alterar, modifique a célula G2 na planilha Receitas (Vendas)" sqref="G2" xr:uid="{00000000-0002-0000-0200-00000F000000}"/>
    <dataValidation allowBlank="1" showInputMessage="1" showErrorMessage="1" prompt="Essa célula é atualizada automaticamente a partir do título do período de projeção na planilha Receita (Vendas)" sqref="B2" xr:uid="{00000000-0002-0000-0200-000010000000}"/>
    <dataValidation allowBlank="1" showInputMessage="1" showErrorMessage="1" prompt="O nome da empresa é atualizado automaticamente usando a entrada da planilha Receita (Vendas)" sqref="AE2 B1" xr:uid="{00000000-0002-0000-0200-000011000000}"/>
  </dataValidations>
  <printOptions horizontalCentered="1"/>
  <pageMargins left="0.25" right="0.25" top="0.75" bottom="0.75" header="0.3" footer="0.3"/>
  <pageSetup paperSize="9" scale="47" fitToHeight="0" orientation="landscape" r:id="rId1"/>
  <headerFooter differentFirst="1">
    <oddFooter>Page &amp;P of &amp;N</oddFooter>
  </headerFooter>
  <tableParts count="1"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low="1" xr2:uid="{66B12360-4D02-4588-B59A-7A93B1ECEA0F}">
          <x14:colorSeries theme="4" tint="-0.249977111117893"/>
          <x14:colorNegative theme="5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Despesas!S7:AD7</xm:f>
              <xm:sqref>Q7</xm:sqref>
            </x14:sparkline>
          </x14:sparklines>
        </x14:sparklineGroup>
        <x14:sparklineGroup lineWeight="1" displayEmptyCellsAs="gap" high="1" low="1" xr2:uid="{67548BAF-E25D-4EC1-87BE-736ECA557EEB}">
          <x14:colorSeries theme="9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9" tint="-0.499984740745262"/>
          <x14:colorLow theme="9" tint="-0.499984740745262"/>
          <x14:sparklines>
            <x14:sparkline>
              <xm:f>Despesas!D27:O27</xm:f>
              <xm:sqref>C27</xm:sqref>
            </x14:sparkline>
            <x14:sparkline>
              <xm:f>Despesas!D28:O28</xm:f>
              <xm:sqref>C28</xm:sqref>
            </x14:sparkline>
          </x14:sparklines>
        </x14:sparklineGroup>
        <x14:sparklineGroup lineWeight="1" displayEmptyCellsAs="gap" high="1" low="1" xr2:uid="{39983CE7-B6F5-4073-B1F2-F3888EDBFC83}">
          <x14:colorSeries theme="9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9" tint="-0.499984740745262"/>
          <x14:colorLow theme="9" tint="-0.499984740745262"/>
          <x14:sparklines>
            <x14:sparkline>
              <xm:f>Despesas!D25:O25</xm:f>
              <xm:sqref>C25</xm:sqref>
            </x14:sparkline>
            <x14:sparkline>
              <xm:f>Despesas!D26:O26</xm:f>
              <xm:sqref>C26</xm:sqref>
            </x14:sparkline>
          </x14:sparklines>
        </x14:sparklineGroup>
        <x14:sparklineGroup lineWeight="1" displayEmptyCellsAs="gap" high="1" low="1" xr2:uid="{7A4579E4-2B3B-4C19-9364-9ABD00EEEB62}">
          <x14:colorSeries theme="9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9" tint="-0.499984740745262"/>
          <x14:colorLow theme="9" tint="-0.499984740745262"/>
          <x14:sparklines>
            <x14:sparkline>
              <xm:f>Despesas!D16:O16</xm:f>
              <xm:sqref>C16</xm:sqref>
            </x14:sparkline>
          </x14:sparklines>
        </x14:sparklineGroup>
        <x14:sparklineGroup lineWeight="1" displayEmptyCellsAs="gap" high="1" low="1" xr2:uid="{00000000-0003-0000-0200-000004000000}">
          <x14:colorSeries theme="5" tint="-0.499984740745262"/>
          <x14:colorNegative theme="6"/>
          <x14:colorAxis rgb="FF000000"/>
          <x14:colorMarkers theme="5" tint="-0.499984740745262"/>
          <x14:colorFirst theme="5" tint="0.39997558519241921"/>
          <x14:colorLast theme="5" tint="0.39997558519241921"/>
          <x14:colorHigh theme="5"/>
          <x14:colorLow theme="5"/>
          <x14:sparklines>
            <x14:sparkline>
              <xm:f>Despesas!D7:O7</xm:f>
              <xm:sqref>C7</xm:sqref>
            </x14:sparkline>
            <x14:sparkline>
              <xm:f>Despesas!D8:O8</xm:f>
              <xm:sqref>C8</xm:sqref>
            </x14:sparkline>
            <x14:sparkline>
              <xm:f>Despesas!D9:O9</xm:f>
              <xm:sqref>C9</xm:sqref>
            </x14:sparkline>
            <x14:sparkline>
              <xm:f>Despesas!D10:O10</xm:f>
              <xm:sqref>C10</xm:sqref>
            </x14:sparkline>
            <x14:sparkline>
              <xm:f>Despesas!D11:O11</xm:f>
              <xm:sqref>C11</xm:sqref>
            </x14:sparkline>
            <x14:sparkline>
              <xm:f>Despesas!D12:O12</xm:f>
              <xm:sqref>C12</xm:sqref>
            </x14:sparkline>
            <x14:sparkline>
              <xm:f>Despesas!D13:O13</xm:f>
              <xm:sqref>C13</xm:sqref>
            </x14:sparkline>
            <x14:sparkline>
              <xm:f>Despesas!D14:O14</xm:f>
              <xm:sqref>C14</xm:sqref>
            </x14:sparkline>
            <x14:sparkline>
              <xm:f>Despesas!D15:O15</xm:f>
              <xm:sqref>C15</xm:sqref>
            </x14:sparkline>
            <x14:sparkline>
              <xm:f>Despesas!D17:O17</xm:f>
              <xm:sqref>C17</xm:sqref>
            </x14:sparkline>
            <x14:sparkline>
              <xm:f>Despesas!D18:O18</xm:f>
              <xm:sqref>C18</xm:sqref>
            </x14:sparkline>
            <x14:sparkline>
              <xm:f>Despesas!D19:O19</xm:f>
              <xm:sqref>C19</xm:sqref>
            </x14:sparkline>
            <x14:sparkline>
              <xm:f>Despesas!D20:O20</xm:f>
              <xm:sqref>C20</xm:sqref>
            </x14:sparkline>
            <x14:sparkline>
              <xm:f>Despesas!D21:O21</xm:f>
              <xm:sqref>C21</xm:sqref>
            </x14:sparkline>
            <x14:sparkline>
              <xm:f>Despesas!D22:O22</xm:f>
              <xm:sqref>C22</xm:sqref>
            </x14:sparkline>
            <x14:sparkline>
              <xm:f>Despesas!D23:O23</xm:f>
              <xm:sqref>C23</xm:sqref>
            </x14:sparkline>
            <x14:sparkline>
              <xm:f>Despesas!D24:O24</xm:f>
              <xm:sqref>C24</xm:sqref>
            </x14:sparkline>
            <x14:sparkline>
              <xm:f>Despesas!D29:O29</xm:f>
              <xm:sqref>C29</xm:sqref>
            </x14:sparkline>
            <x14:sparkline>
              <xm:f>Despesas!D30:O30</xm:f>
              <xm:sqref>C30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EA25CC0A0AC24199CDC46C25B8B0BC" ma:contentTypeVersion="10" ma:contentTypeDescription="Create a new document." ma:contentTypeScope="" ma:versionID="e3b47856d4cf355c0dacb39e1084d14f">
  <xsd:schema xmlns:xsd="http://www.w3.org/2001/XMLSchema" xmlns:xs="http://www.w3.org/2001/XMLSchema" xmlns:p="http://schemas.microsoft.com/office/2006/metadata/properties" xmlns:ns1="http://schemas.microsoft.com/sharepoint/v3" xmlns:ns2="6dc4bcd6-49db-4c07-9060-8acfc67cef9f" xmlns:ns3="fb0879af-3eba-417a-a55a-ffe6dcd6ca77" targetNamespace="http://schemas.microsoft.com/office/2006/metadata/properties" ma:root="true" ma:fieldsID="a845a615265fdb1f7b12cc65ac20ecbd" ns1:_="" ns2:_="" ns3:_="">
    <xsd:import namespace="http://schemas.microsoft.com/sharepoint/v3"/>
    <xsd:import namespace="6dc4bcd6-49db-4c07-9060-8acfc67cef9f"/>
    <xsd:import namespace="fb0879af-3eba-417a-a55a-ffe6dcd6ca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4bcd6-49db-4c07-9060-8acfc67cef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879af-3eba-417a-a55a-ffe6dcd6ca7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4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1E4CF0-2589-44C0-BE62-F28DADEE0B09}">
  <ds:schemaRefs>
    <ds:schemaRef ds:uri="http://schemas.microsoft.com/office/2006/documentManagement/types"/>
    <ds:schemaRef ds:uri="fb0879af-3eba-417a-a55a-ffe6dcd6ca77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6dc4bcd6-49db-4c07-9060-8acfc67cef9f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755C0DC-2BAC-4262-95AA-1319CC0100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dc4bcd6-49db-4c07-9060-8acfc67cef9f"/>
    <ds:schemaRef ds:uri="fb0879af-3eba-417a-a55a-ffe6dcd6ca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TM45130229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11</vt:i4>
      </vt:variant>
    </vt:vector>
  </HeadingPairs>
  <TitlesOfParts>
    <vt:vector size="16" baseType="lpstr">
      <vt:lpstr>DASHBOARD</vt:lpstr>
      <vt:lpstr>VENDAS</vt:lpstr>
      <vt:lpstr>Receitas (Vendas)</vt:lpstr>
      <vt:lpstr>Custo de vendas</vt:lpstr>
      <vt:lpstr>Despesas</vt:lpstr>
      <vt:lpstr>AnoInícioAF</vt:lpstr>
      <vt:lpstr>InícioMêsAF</vt:lpstr>
      <vt:lpstr>Nome_Empresa</vt:lpstr>
      <vt:lpstr>Título_Período_Projeção</vt:lpstr>
      <vt:lpstr>Título_Planilha</vt:lpstr>
      <vt:lpstr>Título1</vt:lpstr>
      <vt:lpstr>Título2</vt:lpstr>
      <vt:lpstr>Título3</vt:lpstr>
      <vt:lpstr>'Custo de vendas'!Titulos_de_impressao</vt:lpstr>
      <vt:lpstr>Despesas!Titulos_de_impressao</vt:lpstr>
      <vt:lpstr>'Receitas (Vendas)'!Titulos_de_impressao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2019-05-14T04:09:13Z</dcterms:created>
  <dcterms:modified xsi:type="dcterms:W3CDTF">2024-03-13T23:21:38Z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88f678-0b6e-4995-8ab3-bcc8062be905_Enabled">
    <vt:lpwstr>true</vt:lpwstr>
  </property>
  <property fmtid="{D5CDD505-2E9C-101B-9397-08002B2CF9AE}" pid="3" name="MSIP_Label_5c88f678-0b6e-4995-8ab3-bcc8062be905_SetDate">
    <vt:lpwstr>2024-03-13T00:45:40Z</vt:lpwstr>
  </property>
  <property fmtid="{D5CDD505-2E9C-101B-9397-08002B2CF9AE}" pid="4" name="MSIP_Label_5c88f678-0b6e-4995-8ab3-bcc8062be905_Method">
    <vt:lpwstr>Standard</vt:lpwstr>
  </property>
  <property fmtid="{D5CDD505-2E9C-101B-9397-08002B2CF9AE}" pid="5" name="MSIP_Label_5c88f678-0b6e-4995-8ab3-bcc8062be905_Name">
    <vt:lpwstr>Ostensivo</vt:lpwstr>
  </property>
  <property fmtid="{D5CDD505-2E9C-101B-9397-08002B2CF9AE}" pid="6" name="MSIP_Label_5c88f678-0b6e-4995-8ab3-bcc8062be905_SiteId">
    <vt:lpwstr>d0c698d4-e4ea-4ee9-a79d-f2d7a78399c8</vt:lpwstr>
  </property>
  <property fmtid="{D5CDD505-2E9C-101B-9397-08002B2CF9AE}" pid="7" name="MSIP_Label_5c88f678-0b6e-4995-8ab3-bcc8062be905_ActionId">
    <vt:lpwstr>159e96a2-b6b9-44a1-a82a-bcc93e59092d</vt:lpwstr>
  </property>
  <property fmtid="{D5CDD505-2E9C-101B-9397-08002B2CF9AE}" pid="8" name="MSIP_Label_5c88f678-0b6e-4995-8ab3-bcc8062be905_ContentBits">
    <vt:lpwstr>0</vt:lpwstr>
  </property>
</Properties>
</file>